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9.xml" ContentType="application/vnd.openxmlformats-officedocument.spreadsheetml.comments+xml"/>
  <Override PartName="/xl/sharedStrings.xml" ContentType="application/vnd.openxmlformats-officedocument.spreadsheetml.sharedStrings+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12.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arameters" sheetId="1" state="visible" r:id="rId2"/>
    <sheet name="ARV" sheetId="2" state="visible" r:id="rId3"/>
    <sheet name="Initial Conditions" sheetId="3" state="visible" r:id="rId4"/>
    <sheet name="ResultAnalysis" sheetId="4" state="visible" r:id="rId5"/>
    <sheet name="CurrentState" sheetId="5" state="visible" r:id="rId6"/>
    <sheet name="GDP" sheetId="6" state="visible" r:id="rId7"/>
    <sheet name="Costs-prelim" sheetId="7" state="visible" r:id="rId8"/>
    <sheet name="Costs" sheetId="8" state="visible" r:id="rId9"/>
    <sheet name="Costs-grouped" sheetId="9" state="visible" r:id="rId10"/>
    <sheet name="IncidencePrevalence" sheetId="10" state="visible" r:id="rId11"/>
    <sheet name="Population (15-49)" sheetId="11" state="visible" r:id="rId12"/>
    <sheet name="Parameters_OLD" sheetId="12" state="visible" r:id="rId1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0"/>
            <charset val="1"/>
          </rPr>
          <t xml:space="preserve">Disruption in trend between UNAIDS and World Bank data
	-Amber Tang
----
2008
http://www.ncbi.nlm.nih.gov/pmc/articles/PMC3833352/pdf/nihms520658.pdf
total ART costs 681.9
	-Amber Tang
----
http://www.stats.govt.nz/browse_for_stats/snapshots-of-nz/top-statistics.aspx
2015
GDP per capita in current prices
	-Amber Tang</t>
        </r>
      </text>
    </comment>
  </commentList>
</comments>
</file>

<file path=xl/comments12.xml><?xml version="1.0" encoding="utf-8"?>
<comments xmlns="http://schemas.openxmlformats.org/spreadsheetml/2006/main" xmlns:xdr="http://schemas.openxmlformats.org/drawingml/2006/spreadsheetDrawing">
  <authors>
    <author/>
  </authors>
  <commentList>
    <comment ref="T2" authorId="0">
      <text>
        <r>
          <rPr>
            <sz val="10"/>
            <color rgb="FF000000"/>
            <rFont val="Arial"/>
            <family val="0"/>
            <charset val="1"/>
          </rPr>
          <t xml:space="preserve">check this
	-Abhishek Pandey</t>
        </r>
      </text>
    </comment>
  </commentList>
</comments>
</file>

<file path=xl/comments2.xml><?xml version="1.0" encoding="utf-8"?>
<comments xmlns="http://schemas.openxmlformats.org/spreadsheetml/2006/main" xmlns:xdr="http://schemas.openxmlformats.org/drawingml/2006/spreadsheetDrawing">
  <authors>
    <author/>
  </authors>
  <commentList>
    <comment ref="AR52" authorId="0">
      <text>
        <r>
          <rPr>
            <sz val="10"/>
            <color rgb="FF000000"/>
            <rFont val="Arial"/>
            <family val="0"/>
            <charset val="1"/>
          </rPr>
          <t xml:space="preserve">I'm worried these are percent of "those eligible for treatment", which was CD4 count &lt; 200 or 350 or something, depending on year.  Can we chat about how to handle this?
	-Jan Medlock
I just looked up the source I got these from and you're right, it is percent of those eligible..
	-Amber Tang</t>
        </r>
      </text>
    </comment>
    <comment ref="AX52" authorId="0">
      <text>
        <r>
          <rPr>
            <sz val="10"/>
            <color rgb="FF000000"/>
            <rFont val="Arial"/>
            <family val="0"/>
            <charset val="1"/>
          </rPr>
          <t xml:space="preserve">Numbers reflect subsidized ART&gt; UNAIDS assumes in 2014 that 85% of people in care are on subsidized ART (estimated 2305 people on ART at the end of 2014)
	-Amber Tang</t>
        </r>
      </text>
    </comment>
  </commentList>
</comments>
</file>

<file path=xl/comments7.xml><?xml version="1.0" encoding="utf-8"?>
<comments xmlns="http://schemas.openxmlformats.org/spreadsheetml/2006/main" xmlns:xdr="http://schemas.openxmlformats.org/drawingml/2006/spreadsheetDrawing">
  <authors>
    <author/>
  </authors>
  <commentList>
    <comment ref="B2" authorId="0">
      <text>
        <r>
          <rPr>
            <sz val="10"/>
            <color rgb="FF000000"/>
            <rFont val="Arial"/>
            <family val="0"/>
            <charset val="1"/>
          </rPr>
          <t xml:space="preserve">estimated from averages of antibody/rapid kits from global price reporting mechanism
http://apps.who.int/hiv/amds/price/hdd/Default9.aspx
	-Amber Tang
Tanzania 
HIV testing kit 
$2.09
http://www.ncbi.nlm.nih.gov/pmc/articles/PMC1470448/pdf/0960114.pdf
	-Amber Tang</t>
        </r>
      </text>
    </comment>
    <comment ref="B4" authorId="0">
      <text>
        <r>
          <rPr>
            <sz val="10"/>
            <color rgb="FF000000"/>
            <rFont val="Arial"/>
            <family val="0"/>
            <charset val="1"/>
          </rPr>
          <t xml:space="preserve">2014: Roche announced a global ceiling price of $9.40 per test for 83 LMIC
https://www.msfaccess.org/sites/default/files/MSF_IssueBrief_undetectable6.pdf
	-Amber Tang
only reagents
	-Amber Tang
http://molecular.roche.com/GlobalAccessProgram/Documents/GAP_Country_List_15July2015.pdf
	-Amber Tang</t>
        </r>
      </text>
    </comment>
    <comment ref="B5" authorId="0">
      <text>
        <r>
          <rPr>
            <sz val="10"/>
            <color rgb="FF000000"/>
            <rFont val="Arial"/>
            <family val="0"/>
            <charset val="1"/>
          </rPr>
          <t xml:space="preserve">cost of three 1st line drugs (ABC + 3TC + ZDV or NFV)
regional data from http://apps.who.int/hiv/amds/price/hdd/Default2.aspx
2014 (for the most part)
	-Amber Tang
http://www.who.int/entity/hiv/data/tuapr_2009_figures_slideset.ppt?ua=1
charts breaking up first line ARVs by year and by income level
	-Amber Tang
In 2003 five
pharmaceutical companies agreed to provide a triple
antiretroviral (ARV) drug combination to African and
Caribbean countries at the reduced price of about
$140 per person per year (Clinton Foundation,
2003)
http://www.tandfonline.com/doi/pdf/10.1080/09540120500159334
	-Amber Tang</t>
        </r>
      </text>
    </comment>
    <comment ref="B6" authorId="0">
      <text>
        <r>
          <rPr>
            <sz val="10"/>
            <color rgb="FF000000"/>
            <rFont val="Arial"/>
            <family val="0"/>
            <charset val="1"/>
          </rPr>
          <t xml:space="preserve">2 tests/ year
	-Amber Tang</t>
        </r>
      </text>
    </comment>
    <comment ref="B7" authorId="0">
      <text>
        <r>
          <rPr>
            <sz val="10"/>
            <color rgb="FF000000"/>
            <rFont val="Arial"/>
            <family val="0"/>
            <charset val="1"/>
          </rPr>
          <t xml:space="preserve">1 test/year?
	-Amber Tang</t>
        </r>
      </text>
    </comment>
    <comment ref="D5" authorId="0">
      <text>
        <r>
          <rPr>
            <sz val="10"/>
            <color rgb="FF000000"/>
            <rFont val="Arial"/>
            <family val="0"/>
            <charset val="1"/>
          </rPr>
          <t xml:space="preserve">South Africa ARV + clinic + lab costs 
Triple ARV first 3 months=164
Triple ARV after first 3 months=123
http://www.tandfonline.com/doi/pdf/10.1080/09540120500159334
	-Amber Tang</t>
        </r>
      </text>
    </comment>
    <comment ref="D10" authorId="0">
      <text>
        <r>
          <rPr>
            <sz val="10"/>
            <color rgb="FF000000"/>
            <rFont val="Arial"/>
            <family val="0"/>
            <charset val="1"/>
          </rPr>
          <t xml:space="preserve">http://www.tandfonline.com/doi/pdf/10.1080/09540120500159334
	-Amber Tang</t>
        </r>
      </text>
    </comment>
    <comment ref="D12" authorId="0">
      <text>
        <r>
          <rPr>
            <sz val="10"/>
            <color rgb="FF000000"/>
            <rFont val="Arial"/>
            <family val="0"/>
            <charset val="1"/>
          </rPr>
          <t xml:space="preserve">Costs for ARV and additional costs for dying patients?
http://download.springer.com/static/pdf/542/art%253A10.1186%252F1478-7547-4-20.pdf?originUrl=http%3A%2F%2Fresource-allocation.biomedcentral.com%2Farticle%2F10.1186%2F1478-7547-4-20&amp;token2=exp=1456027807~acl=%2Fstatic%2Fpdf%2F542%2Fart%25253A10.1186%25252F1478-7547-4-20.pdf*~hmac=56f0e5c4c506b46283ddc0f0371f86da2a96e8f1fce9b4150e8caa8bbe796cd9
	-Amber Tang</t>
        </r>
      </text>
    </comment>
    <comment ref="D13" authorId="0">
      <text>
        <r>
          <rPr>
            <sz val="10"/>
            <color rgb="FF000000"/>
            <rFont val="Arial"/>
            <family val="0"/>
            <charset val="1"/>
          </rPr>
          <t xml:space="preserve">http://www.tandfonline.com/doi/pdf/10.1080/09540120500159334
	-Amber Tang</t>
        </r>
      </text>
    </comment>
    <comment ref="E45" authorId="0">
      <text>
        <r>
          <rPr>
            <sz val="10"/>
            <color rgb="FF000000"/>
            <rFont val="Arial"/>
            <family val="0"/>
            <charset val="1"/>
          </rPr>
          <t xml:space="preserve">+alyssa.parpia@gmail.com 
I  calculated the annual AIDS cost using this paper for SSA. Will you see if you can find things from difference source.
	-Abhishek Pandey</t>
        </r>
      </text>
    </comment>
    <comment ref="G1" authorId="0">
      <text>
        <r>
          <rPr>
            <sz val="10"/>
            <color rgb="FF000000"/>
            <rFont val="Arial"/>
            <family val="0"/>
            <charset val="1"/>
          </rPr>
          <t xml:space="preserve">of countries supported by global fund
	-Amber Tang
https://www.msfaccess.org/sites/default/files/MSF_IssueBrief_undetectable6.pdf
	-Amber Tang</t>
        </r>
      </text>
    </comment>
    <comment ref="N4" authorId="0">
      <text>
        <r>
          <rPr>
            <sz val="10"/>
            <color rgb="FF000000"/>
            <rFont val="Arial"/>
            <family val="0"/>
            <charset val="1"/>
          </rPr>
          <t xml:space="preserve">https://www.msfaccess.org/sites/default/files/MSF_assets/HIV_AIDS/Docs/MSF_ViralLoad_Report._FINAL_Sept2012_webres.pdf
	-Amber Tang</t>
        </r>
      </text>
    </comment>
    <comment ref="U5" authorId="0">
      <text>
        <r>
          <rPr>
            <sz val="10"/>
            <color rgb="FF000000"/>
            <rFont val="Arial"/>
            <family val="0"/>
            <charset val="1"/>
          </rPr>
          <t xml:space="preserve">$500.5
http://www.ncbi.nlm.nih.gov/pmc/articles/PMC3833352/pdf/nihms520658.pdf
2009 USD
$1540
https://www.bu.edu/av/iaen/research-library-1/docs/13387/Rosen%20Cost%20of%20ART%20in%20Africa.pdf
2005
	-Amber Tang</t>
        </r>
      </text>
    </comment>
    <comment ref="Y5" authorId="0">
      <text>
        <r>
          <rPr>
            <sz val="10"/>
            <color rgb="FF000000"/>
            <rFont val="Arial"/>
            <family val="0"/>
            <charset val="1"/>
          </rPr>
          <t xml:space="preserve">http://www.scielosp.org/pdf/bwho/v87n4/v87n4a13.pdf
6 US$ out of pocket expenditure monthly for patients 
(72$)
	-Amber Tang</t>
        </r>
      </text>
    </comment>
    <comment ref="AB5" authorId="0">
      <text>
        <r>
          <rPr>
            <sz val="10"/>
            <color rgb="FF000000"/>
            <rFont val="Arial"/>
            <family val="0"/>
            <charset val="1"/>
          </rPr>
          <t xml:space="preserve">$2242
2007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B10" authorId="0">
      <text>
        <r>
          <rPr>
            <sz val="10"/>
            <color rgb="FF000000"/>
            <rFont val="Arial"/>
            <family val="0"/>
            <charset val="1"/>
          </rPr>
          <t xml:space="preserve">2007
inpatient + outpatient meds for OIs, costs of diagnosing OIs, medical service charges for OIs
1st year of ARV (i assume no vs yet)
	-Amber Tang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B12" authorId="0">
      <text>
        <r>
          <rPr>
            <sz val="10"/>
            <color rgb="FF000000"/>
            <rFont val="Arial"/>
            <family val="0"/>
            <charset val="1"/>
          </rPr>
          <t xml:space="preserve">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D3" authorId="0">
      <text>
        <r>
          <rPr>
            <sz val="10"/>
            <color rgb="FF000000"/>
            <rFont val="Arial"/>
            <family val="0"/>
            <charset val="1"/>
          </rPr>
          <t xml:space="preserve">http://www.nejm.org/doi/pdf/10.1056/NEJMsa060247
	-Amber Tang</t>
        </r>
      </text>
    </comment>
    <comment ref="AD5" authorId="0">
      <text>
        <r>
          <rPr>
            <sz val="10"/>
            <color rgb="FF000000"/>
            <rFont val="Arial"/>
            <family val="0"/>
            <charset val="1"/>
          </rPr>
          <t xml:space="preserve">$295
https://www.bu.edu/av/iaen/research-library-1/docs/13387/Rosen%20Cost%20of%20ART%20in%20Africa.pdf
	-Amber Tang
$292 a year 
http://www.nejm.org/doi/pdf/10.1056/NEJMsa060247
	-Amber Tang</t>
        </r>
      </text>
    </comment>
    <comment ref="AD12" authorId="0">
      <text>
        <r>
          <rPr>
            <sz val="10"/>
            <color rgb="FF000000"/>
            <rFont val="Arial"/>
            <family val="0"/>
            <charset val="1"/>
          </rPr>
          <t xml:space="preserve">http://www.nejm.org/doi/pdf/10.1056/NEJMsa060247
	-Amber Tang</t>
        </r>
      </text>
    </comment>
    <comment ref="AG5" authorId="0">
      <text>
        <r>
          <rPr>
            <sz val="10"/>
            <color rgb="FF000000"/>
            <rFont val="Arial"/>
            <family val="0"/>
            <charset val="1"/>
          </rPr>
          <t xml:space="preserve">$111 
http://www.ncbi.nlm.nih.gov/pmc/articles/PMC4229087/pdf/pone.0108304.pdf 
2009-2011
$262.8-804.1
http://www.ncbi.nlm.nih.gov/pmc/articles/PMC3833352/pdf/nihms520658.pdf
2009USD
	-Amber Tang</t>
        </r>
      </text>
    </comment>
    <comment ref="AM2" authorId="0">
      <text>
        <r>
          <rPr>
            <sz val="10"/>
            <color rgb="FF000000"/>
            <rFont val="Arial"/>
            <family val="0"/>
            <charset val="1"/>
          </rPr>
          <t xml:space="preserve">2002-2003
fee charged for HIV test was $0.21
(kit)
https://www.researchgate.net/profile/Nell_Marshall/publication/7902687_Cost_and_efficiency_of_HIV_voluntary_counseling_and_testing_centres_in_Andhra_Pradesh_India/links/0f31752f1800939356000000.pdf
	-Amber Tang</t>
        </r>
      </text>
    </comment>
    <comment ref="AM3" authorId="0">
      <text>
        <r>
          <rPr>
            <sz val="10"/>
            <color rgb="FF000000"/>
            <rFont val="Arial"/>
            <family val="0"/>
            <charset val="1"/>
          </rPr>
          <t xml:space="preserve">https://www.msfaccess.org/sites/default/files/MSF_IssueBrief_undetectable6.pdf
gov lab, NGO lab, private lab
	-Amber Tang
2.93 only encompasses reagents; 19.05-24.42 for total costs in NGO and private labs
	-Amber Tang
$30 
http://europepmc.org/abstract/med/12447007
2000
	-Amber Tang</t>
        </r>
      </text>
    </comment>
    <comment ref="AM4" authorId="0">
      <text>
        <r>
          <rPr>
            <sz val="10"/>
            <color rgb="FF000000"/>
            <rFont val="Arial"/>
            <family val="0"/>
            <charset val="1"/>
          </rPr>
          <t xml:space="preserve">https://www.msfaccess.org/sites/default/files/MSF_assets/HIV_AIDS/Docs/MSF_ViralLoad_Report._FINAL_Sept2012_webres.pdf
	-Amber Tang
https://www.msfaccess.org/sites/default/files/MSF_IssueBrief_undetectable6.pdf
differences range from NGO labs, gov labs, private labs
	-Amber Tang
96.33 and 41.56 for private and gov labs (total costs); costs listed here only include reagents and maintenance
	-Amber Tang</t>
        </r>
      </text>
    </comment>
    <comment ref="AM5" authorId="0">
      <text>
        <r>
          <rPr>
            <sz val="10"/>
            <color rgb="FF000000"/>
            <rFont val="Arial"/>
            <family val="0"/>
            <charset val="1"/>
          </rPr>
          <t xml:space="preserve">83 per month (retail cost of drug)
(996)
http://www.who.int/whr/2004/media_centre/en/lancet.pdf
	-Amber Tang</t>
        </r>
      </text>
    </comment>
    <comment ref="AP4" authorId="0">
      <text>
        <r>
          <rPr>
            <sz val="10"/>
            <color rgb="FF000000"/>
            <rFont val="Arial"/>
            <family val="0"/>
            <charset val="1"/>
          </rPr>
          <t xml:space="preserve">http://www.msf.org/sites/msf.org/files/how_low_can_we_go_vl_pricing_brief.pdf
	-Amber Tang
total cost of VL test is 43.42
	-Amber Tang
https://www.msfaccess.org/sites/default/files/MSF_IssueBrief_undetectable6.pdf
10.50 public sector negotiated price
otherwise 46.82-79.62 for total cost (private labs and public sector)
	-Amber Tang
9.4 (eligible for Roch price ceiling for reagents only)
	-Amber Tang</t>
        </r>
      </text>
    </comment>
    <comment ref="AQ4" authorId="0">
      <text>
        <r>
          <rPr>
            <sz val="10"/>
            <color rgb="FF000000"/>
            <rFont val="Arial"/>
            <family val="0"/>
            <charset val="1"/>
          </rPr>
          <t xml:space="preserve">http://www.msf.org/sites/msf.org/files/how_low_can_we_go_vl_pricing_brief.pdf
	-Amber Tang
total VL cost; 34.17
	-Amber Tang
9.4 (eligible for Roch price ceiling for reagents only)
	-Amber Tang</t>
        </r>
      </text>
    </comment>
    <comment ref="AQ5" authorId="0">
      <text>
        <r>
          <rPr>
            <sz val="10"/>
            <color rgb="FF000000"/>
            <rFont val="Arial"/>
            <family val="0"/>
            <charset val="1"/>
          </rPr>
          <t xml:space="preserve">$127
http://www.ncbi.nlm.nih.gov/pmc/articles/PMC3833352/pdf/nihms520658.pdf
	-Amber Tang</t>
        </r>
      </text>
    </comment>
    <comment ref="AS4" authorId="0">
      <text>
        <r>
          <rPr>
            <sz val="10"/>
            <color rgb="FF000000"/>
            <rFont val="Arial"/>
            <family val="0"/>
            <charset val="1"/>
          </rPr>
          <t xml:space="preserve">http://www.msf.org/sites/msf.org/files/how_low_can_we_go_vl_pricing_brief.pdf
	-Amber Tang
total VL test cost= 35.38
	-Amber Tang
https://www.msfaccess.org/sites/default/files/MSF_IssueBrief_undetectable6.pdf
14.25 (for reagents) 20.76 total cost VL
	-Amber Tang</t>
        </r>
      </text>
    </comment>
    <comment ref="AS5" authorId="0">
      <text>
        <r>
          <rPr>
            <sz val="10"/>
            <color rgb="FF000000"/>
            <rFont val="Arial"/>
            <family val="0"/>
            <charset val="1"/>
          </rPr>
          <t xml:space="preserve">$72
http://www.ncbi.nlm.nih.gov/pmc/articles/PMC4229087/pdf/pone.0108304.pdf
	-Amber Tang
$158 for ARVs
237 total ART treatment
http://ac.els-cdn.com/S0140673611607022/1-s2.0-S0140673611607022-main.pdf?_tid=185c3c90-d854-11e5-b48a-00000aab0f6c&amp;acdnat=1456029320_f4dfbb4ee8e270c48102b64ef7e8b946
	-Amber Tang</t>
        </r>
      </text>
    </comment>
    <comment ref="BE5" authorId="0">
      <text>
        <r>
          <rPr>
            <sz val="10"/>
            <color rgb="FF000000"/>
            <rFont val="Arial"/>
            <family val="0"/>
            <charset val="1"/>
          </rPr>
          <t xml:space="preserve">$362.1-420.5
http://www.ncbi.nlm.nih.gov/pmc/articles/PMC3833352/pdf/nihms520658.pdf
$371
2001-2004 probably
https://www.bu.edu/av/iaen/research-library-1/docs/13387/Rosen%20Cost%20of%20ART%20in%20Africa.pdf
	-Amber Tang</t>
        </r>
      </text>
    </comment>
    <comment ref="BH5" authorId="0">
      <text>
        <r>
          <rPr>
            <sz val="10"/>
            <color rgb="FF000000"/>
            <rFont val="Arial"/>
            <family val="0"/>
            <charset val="1"/>
          </rPr>
          <t xml:space="preserve">$125
http://www.ncbi.nlm.nih.gov/pmc/articles/PMC4229087/pdf/pone.0108304.pdf 
2009-2011
$297
https://www.bu.edu/av/iaen/research-library-1/docs/13387/Rosen%20Cost%20of%20ART%20in%20Africa.pdf
2005
	-Amber Tang</t>
        </r>
      </text>
    </comment>
    <comment ref="BM4" authorId="0">
      <text>
        <r>
          <rPr>
            <sz val="10"/>
            <color rgb="FF000000"/>
            <rFont val="Arial"/>
            <family val="0"/>
            <charset val="1"/>
          </rPr>
          <t xml:space="preserve">http://www.msf.org/sites/msf.org/files/how_low_can_we_go_vl_pricing_brief.pdf
	-Amber Tang
total cost of VL test is 44.07
	-Amber Tang</t>
        </r>
      </text>
    </comment>
    <comment ref="BM5" authorId="0">
      <text>
        <r>
          <rPr>
            <sz val="10"/>
            <color rgb="FF000000"/>
            <rFont val="Arial"/>
            <family val="0"/>
            <charset val="1"/>
          </rPr>
          <t xml:space="preserve">$3415
http://www.ncbi.nlm.nih.gov/pmc/articles/PMC3833352/pdf/nihms520658.pdf
	-Amber Tang</t>
        </r>
      </text>
    </comment>
    <comment ref="BN5" authorId="0">
      <text>
        <r>
          <rPr>
            <sz val="10"/>
            <color rgb="FF000000"/>
            <rFont val="Arial"/>
            <family val="0"/>
            <charset val="1"/>
          </rPr>
          <t xml:space="preserve">$416
http://www.ncbi.nlm.nih.gov/pmc/articles/PMC3833352/pdf/nihms520658.pdf
2009 USD
$321.36
https://www.bu.edu/av/iaen/research-library-1/docs/13387/Rosen%20Cost%20of%20ART%20in%20Africa.pdf
2004
	-Amber Tang</t>
        </r>
      </text>
    </comment>
    <comment ref="BP5" authorId="0">
      <text>
        <r>
          <rPr>
            <sz val="10"/>
            <color rgb="FF000000"/>
            <rFont val="Arial"/>
            <family val="0"/>
            <charset val="1"/>
          </rPr>
          <t xml:space="preserve">http://onlinelibrary.wiley.com/doi/10.1111/j.1468-1293.2006.00424.x/epdf
832 (pounds)
	-Amber Tang</t>
        </r>
      </text>
    </comment>
    <comment ref="BQ3" authorId="0">
      <text>
        <r>
          <rPr>
            <sz val="10"/>
            <color rgb="FF000000"/>
            <rFont val="Arial"/>
            <family val="0"/>
            <charset val="1"/>
          </rPr>
          <t xml:space="preserve">66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
$83
http://www.nejm.org/doi/pdf/10.1056/NEJM200103153441108
	-Amber Tang</t>
        </r>
      </text>
    </comment>
    <comment ref="BQ4" authorId="0">
      <text>
        <r>
          <rPr>
            <sz val="10"/>
            <color rgb="FF000000"/>
            <rFont val="Arial"/>
            <family val="0"/>
            <charset val="1"/>
          </rPr>
          <t xml:space="preserve">http://www.nejm.org/doi/pdf/10.1056/NEJM200103153441108
	-Amber Tang</t>
        </r>
      </text>
    </comment>
    <comment ref="BQ5" authorId="0">
      <text>
        <r>
          <rPr>
            <sz val="10"/>
            <color rgb="FF000000"/>
            <rFont val="Arial"/>
            <family val="0"/>
            <charset val="1"/>
          </rPr>
          <t xml:space="preserve">http://cid.oxfordjournals.org/content/48/6/806.full.pdf+html
monthly costs in 2006 US$:
1139-3338
****
(1139-3338)*12
	-Amber Tang
1140 monthly costs for first line drugs
2001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
8930-11610
http://www.nejm.org/doi/pdf/10.1056/NEJM200103153441108
	-Amber Tang
http://www.who.int/whr/2004/media_centre/en/lancet.pdf
retail cost of drugs: 768 per month
=9216
	-Amber Tang</t>
        </r>
      </text>
    </comment>
    <comment ref="BQ12" authorId="0">
      <text>
        <r>
          <rPr>
            <sz val="10"/>
            <color rgb="FF000000"/>
            <rFont val="Arial"/>
            <family val="0"/>
            <charset val="1"/>
          </rPr>
          <t xml:space="preserve">For patients who initiate ART with CD4 cell count &lt;200/μL, projected life expectancy is 22.5 years, discounted lifetime cost is $354,100 and undiscounted cost is $567,000
http://journals.lww.com/lww-medicalcare/Abstract/2006/11000/The_Lifetime_Cost_of_Current_Human.5.aspx
	-Amber Tang</t>
        </r>
      </text>
    </comment>
    <comment ref="BS5" authorId="0">
      <text>
        <r>
          <rPr>
            <sz val="10"/>
            <color rgb="FF000000"/>
            <rFont val="Arial"/>
            <family val="0"/>
            <charset val="1"/>
          </rPr>
          <t xml:space="preserve">$153
http://www.ncbi.nlm.nih.gov/pmc/articles/PMC4229087/pdf/pone.0108304.pdf
2009-2011
	-Amber Tang</t>
        </r>
      </text>
    </comment>
  </commentList>
</comments>
</file>

<file path=xl/comments9.xml><?xml version="1.0" encoding="utf-8"?>
<comments xmlns="http://schemas.openxmlformats.org/spreadsheetml/2006/main" xmlns:xdr="http://schemas.openxmlformats.org/drawingml/2006/spreadsheetDrawing">
  <authors>
    <author/>
  </authors>
  <commentList>
    <comment ref="B1" authorId="0">
      <text>
        <r>
          <rPr>
            <sz val="10"/>
            <color rgb="FF000000"/>
            <rFont val="Arial"/>
            <family val="0"/>
            <charset val="1"/>
          </rPr>
          <t xml:space="preserve">excludes data from world bank global price reporting
	-Amber Tang</t>
        </r>
      </text>
    </comment>
    <comment ref="B17" authorId="0">
      <text>
        <r>
          <rPr>
            <sz val="10"/>
            <color rgb="FF000000"/>
            <rFont val="Arial"/>
            <family val="0"/>
            <charset val="1"/>
          </rPr>
          <t xml:space="preserve">what exactly is being included in this umbrella cost of AIDS?
data is inconsistent
	-Amber Tang</t>
        </r>
      </text>
    </comment>
    <comment ref="C25" authorId="0">
      <text>
        <r>
          <rPr>
            <sz val="10"/>
            <color rgb="FF000000"/>
            <rFont val="Arial"/>
            <family val="0"/>
            <charset val="1"/>
          </rPr>
          <t xml:space="preserve">with the assumption that after an HIV positive individual begins to suffer from opportunistic infections and falls ill, by the fifth year of infection, he or she will present three times annually to a health facility, for an average private cost of US$60 a year
	-Amber Tang</t>
        </r>
      </text>
    </comment>
    <comment ref="D2" authorId="0">
      <text>
        <r>
          <rPr>
            <sz val="10"/>
            <color rgb="FF000000"/>
            <rFont val="Arial"/>
            <family val="0"/>
            <charset val="1"/>
          </rPr>
          <t xml:space="preserve">http://jid.oxfordjournals.org/content/190/1/166.full.pdf
	-Amber Tang</t>
        </r>
      </text>
    </comment>
    <comment ref="D10" authorId="0">
      <text>
        <r>
          <rPr>
            <sz val="10"/>
            <color rgb="FF000000"/>
            <rFont val="Arial"/>
            <family val="0"/>
            <charset val="1"/>
          </rPr>
          <t xml:space="preserve">http://onlinelibrary.wiley.com/doi/10.1111/j.1468-1293.2008.00670.x/epdf
	-Amber Tang</t>
        </r>
      </text>
    </comment>
    <comment ref="D17" authorId="0">
      <text>
        <r>
          <rPr>
            <sz val="10"/>
            <color rgb="FF000000"/>
            <rFont val="Arial"/>
            <family val="0"/>
            <charset val="1"/>
          </rPr>
          <t xml:space="preserve">cost of last 3 months of life http://journals.lww.com/aidsonline/abstract/1995/07000/the_usage_and_costs_of_health_services_for_hiv.16.aspx
	-Amber Tang</t>
        </r>
      </text>
    </comment>
    <comment ref="E10" authorId="0">
      <text>
        <r>
          <rPr>
            <sz val="10"/>
            <color rgb="FF000000"/>
            <rFont val="Arial"/>
            <family val="0"/>
            <charset val="1"/>
          </rPr>
          <t xml:space="preserve">http://www.scielosp.org/pdf/rpsp/v17n1/24033.pdf
	-Amber Tang</t>
        </r>
      </text>
    </comment>
    <comment ref="F10" authorId="0">
      <text>
        <r>
          <rPr>
            <sz val="10"/>
            <color rgb="FF000000"/>
            <rFont val="Arial"/>
            <family val="0"/>
            <charset val="1"/>
          </rPr>
          <t xml:space="preserve">http://download.springer.com/static/pdf/682/art%253A10.2165%252F11587500-000000000-00000.pdf?originUrl=http%3A%2F%2Flink.springer.com%2Farticle%2F10.2165%2F11587500-000000000-00000&amp;token2=exp=1456531807~acl=%2Fstatic%2Fpdf%2F682%2Fart%25253A10.2165%25252F11587500-000000000-00000.pdf%3ForiginUrl%3Dhttp%253A%252F%252Flink.springer.com%252Farticle%252F10.2165%252F11587500-000000000-00000*~hmac=db7492e5404cbf76a691ff2118546ba224fe0f2ab49a7adfbf922977ceb941bb
	-Amber Tang</t>
        </r>
      </text>
    </comment>
    <comment ref="F17" authorId="0">
      <text>
        <r>
          <rPr>
            <sz val="10"/>
            <color rgb="FF000000"/>
            <rFont val="Arial"/>
            <family val="0"/>
            <charset val="1"/>
          </rPr>
          <t xml:space="preserve">old data 1997
costs of drugs, end of life care?
http://ac.els-cdn.com/S0168851096008664/1-s2.0-S0168851096008664-main.pdf?_tid=7eaf8bf6-dce5-11e5-8607-00000aab0f6c&amp;acdnat=1456531573_3e1857deb9fa6fb70d3485cf0c5a4996
	-Amber Tang</t>
        </r>
      </text>
    </comment>
    <comment ref="G10" authorId="0">
      <text>
        <r>
          <rPr>
            <sz val="10"/>
            <color rgb="FF000000"/>
            <rFont val="Arial"/>
            <family val="0"/>
            <charset val="1"/>
          </rPr>
          <t xml:space="preserve">https://books.google.com/books?hl=en&amp;lr=&amp;id=8tDTtOjzl7wC&amp;oi=fnd&amp;pg=PA157&amp;dq=bhutan+aids+cost&amp;ots=lObmMxTckT&amp;sig=wBhs7DRi89kvEfgC3aiv6x7KMDw#v=onepage&amp;q=bhutan%20aids%20cost&amp;f=false
	-Amber Tang</t>
        </r>
      </text>
    </comment>
    <comment ref="H10" authorId="0">
      <text>
        <r>
          <rPr>
            <sz val="10"/>
            <color rgb="FF000000"/>
            <rFont val="Arial"/>
            <family val="0"/>
            <charset val="1"/>
          </rPr>
          <t xml:space="preserve">http://journals.plos.org/plosone/article?id=10.1371/journal.pone.0013856
	-Amber Tang</t>
        </r>
      </text>
    </comment>
    <comment ref="H17" authorId="0">
      <text>
        <r>
          <rPr>
            <sz val="10"/>
            <color rgb="FF000000"/>
            <rFont val="Arial"/>
            <family val="0"/>
            <charset val="1"/>
          </rPr>
          <t xml:space="preserve">http://journals.plos.org/plosone/article?id=10.1371/journal.pone.0013856
	-Amber Tang</t>
        </r>
      </text>
    </comment>
    <comment ref="I10" authorId="0">
      <text>
        <r>
          <rPr>
            <sz val="10"/>
            <color rgb="FF000000"/>
            <rFont val="Arial"/>
            <family val="0"/>
            <charset val="1"/>
          </rPr>
          <t xml:space="preserve">http://download.springer.com/static/pdf/753/art%253A10.2165%252F00019053-200018040-00007.pdf?originUrl=http%3A%2F%2Flink.springer.com%2Farticle%2F10.2165%2F00019053-200018040-00007&amp;token2=exp=1456536542~acl=%2Fstatic%2Fpdf%2F753%2Fart%25253A10.2165%25252F00019053-200018040-00007.pdf%3ForiginUrl%3Dhttp%253A%252F%252Flink.springer.com%252Farticle%252F10.2165%252F00019053-200018040-00007*~hmac=a6478c50a945dcc313de48c1014908e7fb4a10c6972f2a85e644f95aac02bff9
	-Amber Tang
4897, 6620 for first line 2 drug regimen
	-Amber Tang</t>
        </r>
      </text>
    </comment>
    <comment ref="I22" authorId="0">
      <text>
        <r>
          <rPr>
            <sz val="10"/>
            <color rgb="FF000000"/>
            <rFont val="Arial"/>
            <family val="0"/>
            <charset val="1"/>
          </rPr>
          <t xml:space="preserve">http://download.springer.com/static/pdf/753/art%253A10.2165%252F00019053-200018040-00007.pdf?originUrl=http%3A%2F%2Flink.springer.com%2Farticle%2F10.2165%2F00019053-200018040-00007&amp;token2=exp=1456536542~acl=%2Fstatic%2Fpdf%2F753%2Fart%25253A10.2165%25252F00019053-200018040-00007.pdf%3ForiginUrl%3Dhttp%253A%252F%252Flink.springer.com%252Farticle%252F10.2165%252F00019053-200018040-00007*~hmac=a6478c50a945dcc313de48c1014908e7fb4a10c6972f2a85e644f95aac02bff9
	-Amber Tang</t>
        </r>
      </text>
    </comment>
    <comment ref="J10" authorId="0">
      <text>
        <r>
          <rPr>
            <sz val="10"/>
            <color rgb="FF000000"/>
            <rFont val="Arial"/>
            <family val="0"/>
            <charset val="1"/>
          </rPr>
          <t xml:space="preserve">http://www.tandfonline.com/doi/pdf/10.1080/09540120412331290167
	-Amber Tang</t>
        </r>
      </text>
    </comment>
    <comment ref="L10" authorId="0">
      <text>
        <r>
          <rPr>
            <sz val="10"/>
            <color rgb="FF000000"/>
            <rFont val="Arial"/>
            <family val="0"/>
            <charset val="1"/>
          </rPr>
          <t xml:space="preserve">$202 for pre-ART patients (probably lab costs etc.)
$880 for ART patients ($298 excluding ARVs)
http://www.ncbi.nlm.nih.gov/pmc/articles/PMC3225224/pdf/nihms315998.pdf
	-Amber Tang</t>
        </r>
      </text>
    </comment>
    <comment ref="M3" authorId="0">
      <text>
        <r>
          <rPr>
            <sz val="10"/>
            <color rgb="FF000000"/>
            <rFont val="Arial"/>
            <family val="0"/>
            <charset val="1"/>
          </rPr>
          <t xml:space="preserve">http://ac.els-cdn.com/S0749379703001156/1-s2.0-S0749379703001156-main.pdf?_tid=a77a81ca-d6a6-11e5-b05f-00000aab0f01&amp;acdnat=1455844876_d25fa8dc96e4814740d5ec964f43be07
	-Amber Tang</t>
        </r>
      </text>
    </comment>
    <comment ref="M6" authorId="0">
      <text>
        <r>
          <rPr>
            <sz val="10"/>
            <color rgb="FF000000"/>
            <rFont val="Arial"/>
            <family val="0"/>
            <charset val="1"/>
          </rPr>
          <t xml:space="preserve">http://www.nejm.org/doi/pdf/10.1056/NEJM200103153441108
	-Amber Tang</t>
        </r>
      </text>
    </comment>
    <comment ref="M7" authorId="0">
      <text>
        <r>
          <rPr>
            <sz val="10"/>
            <color rgb="FF000000"/>
            <rFont val="Arial"/>
            <family val="0"/>
            <charset val="1"/>
          </rPr>
          <t xml:space="preserve">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t>
        </r>
      </text>
    </comment>
    <comment ref="M9" authorId="0">
      <text>
        <r>
          <rPr>
            <sz val="10"/>
            <color rgb="FF000000"/>
            <rFont val="Arial"/>
            <family val="0"/>
            <charset val="1"/>
          </rPr>
          <t xml:space="preserve">http://www.nejm.org/doi/pdf/10.1056/NEJM200103153441108
	-Amber Tang</t>
        </r>
      </text>
    </comment>
    <comment ref="M11" authorId="0">
      <text>
        <r>
          <rPr>
            <sz val="10"/>
            <color rgb="FF000000"/>
            <rFont val="Arial"/>
            <family val="0"/>
            <charset val="1"/>
          </rPr>
          <t xml:space="preserve">http://www.nejm.org/doi/pdf/10.1056/NEJM200103153441108
	-Amber Tang</t>
        </r>
      </text>
    </comment>
    <comment ref="M12" authorId="0">
      <text>
        <r>
          <rPr>
            <sz val="10"/>
            <color rgb="FF000000"/>
            <rFont val="Arial"/>
            <family val="0"/>
            <charset val="1"/>
          </rPr>
          <t xml:space="preserve">http://cid.oxfordjournals.org/content/48/6/806.full.pdf+html
	-Amber Tang</t>
        </r>
      </text>
    </comment>
    <comment ref="M13" authorId="0">
      <text>
        <r>
          <rPr>
            <sz val="10"/>
            <color rgb="FF000000"/>
            <rFont val="Arial"/>
            <family val="0"/>
            <charset val="1"/>
          </rPr>
          <t xml:space="preserve">http://www.who.int/whr/2004/media_centre/en/lancet.pdf
retail cost of drugs?
	-Amber Tang</t>
        </r>
      </text>
    </comment>
    <comment ref="M14" authorId="0">
      <text>
        <r>
          <rPr>
            <sz val="10"/>
            <color rgb="FF000000"/>
            <rFont val="Arial"/>
            <family val="0"/>
            <charset val="1"/>
          </rPr>
          <t xml:space="preserve">2001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t>
        </r>
      </text>
    </comment>
    <comment ref="M17" authorId="0">
      <text>
        <r>
          <rPr>
            <sz val="10"/>
            <color rgb="FF000000"/>
            <rFont val="Arial"/>
            <family val="0"/>
            <charset val="1"/>
          </rPr>
          <t xml:space="preserve">For patients who initiate ART with CD4 cell count &lt;200/μL, projected life expectancy is 22.5 years, discounted lifetime cost is $354,100 and undiscounted cost is $567,000
http://journals.lww.com/lww-medicalcare/Abstract/2006/11000/The_Lifetime_Cost_of_Current_Human.5.aspx
	-Amber Tang</t>
        </r>
      </text>
    </comment>
    <comment ref="N10" authorId="0">
      <text>
        <r>
          <rPr>
            <sz val="10"/>
            <color rgb="FF000000"/>
            <rFont val="Arial"/>
            <family val="0"/>
            <charset val="1"/>
          </rPr>
          <t xml:space="preserve">http://onlinelibrary.wiley.com/doi/10.1111/j.1468-1293.2006.00424.x/epdf
	-Amber Tang</t>
        </r>
      </text>
    </comment>
    <comment ref="N11" authorId="0">
      <text>
        <r>
          <rPr>
            <sz val="10"/>
            <color rgb="FF000000"/>
            <rFont val="Arial"/>
            <family val="0"/>
            <charset val="1"/>
          </rPr>
          <t xml:space="preserve">http://download.springer.com/static/pdf/682/art%253A10.2165%252F11587500-000000000-00000.pdf?originUrl=http%3A%2F%2Flink.springer.com%2Farticle%2F10.2165%2F11587500-000000000-00000&amp;token2=exp=1456531807~acl=%2Fstatic%2Fpdf%2F682%2Fart%25253A10.2165%25252F11587500-000000000-00000.pdf%3ForiginUrl%3Dhttp%253A%252F%252Flink.springer.com%252Farticle%252F10.2165%252F11587500-000000000-00000*~hmac=db7492e5404cbf76a691ff2118546ba224fe0f2ab49a7adfbf922977ceb941bb
	-Amber Tang</t>
        </r>
      </text>
    </comment>
    <comment ref="O1" authorId="0">
      <text>
        <r>
          <rPr>
            <sz val="10"/>
            <color rgb="FF000000"/>
            <rFont val="Arial"/>
            <family val="0"/>
            <charset val="1"/>
          </rPr>
          <t xml:space="preserve">https://www.msfaccess.org/sites/default/files/MSF_IssueBrief_undetectable6.pdf
	-Amber Tang</t>
        </r>
      </text>
    </comment>
    <comment ref="R9" authorId="0">
      <text>
        <r>
          <rPr>
            <sz val="10"/>
            <color rgb="FF000000"/>
            <rFont val="Arial"/>
            <family val="0"/>
            <charset val="1"/>
          </rPr>
          <t xml:space="preserve">https://www.msfaccess.org/sites/default/files/MSF_assets/HIV_AIDS/Docs/MSF_ViralLoad_Report._FINAL_Sept2012_webres.pdf
	-Amber Tang</t>
        </r>
      </text>
    </comment>
    <comment ref="R17" authorId="0">
      <text>
        <r>
          <rPr>
            <sz val="10"/>
            <color rgb="FF000000"/>
            <rFont val="Arial"/>
            <family val="0"/>
            <charset val="1"/>
          </rPr>
          <t xml:space="preserve">palliative care plus treatment of all OIs
(drugs only= 19)
(low cost OIs + palliative care)=299
	-Amber Tang
http://ac.els-cdn.com/S0140673600024405/1-s2.0-S0140673600024405-main.pdf?_tid=2ac88d6a-dcec-11e5-9ba5-00000aab0f27&amp;acdnat=1456534439_39c0db214a7e3e019746aca429d307f5
	-Amber Tang</t>
        </r>
      </text>
    </comment>
    <comment ref="S10" authorId="0">
      <text>
        <r>
          <rPr>
            <sz val="10"/>
            <color rgb="FF000000"/>
            <rFont val="Arial"/>
            <family val="0"/>
            <charset val="1"/>
          </rPr>
          <t xml:space="preserve">https://www.bu.edu/av/iaen/research-library-1/docs/13387/Rosen%20Cost%20of%20ART%20in%20Africa.pdf
(total was $2000)
2005
	-Amber Tang</t>
        </r>
      </text>
    </comment>
    <comment ref="S11" authorId="0">
      <text>
        <r>
          <rPr>
            <sz val="10"/>
            <color rgb="FF000000"/>
            <rFont val="Arial"/>
            <family val="0"/>
            <charset val="1"/>
          </rPr>
          <t xml:space="preserve">http://www.ncbi.nlm.nih.gov/pmc/articles/PMC3833352/pdf/nihms520658.pdf
2008
total cost in source
	-Amber Tang</t>
        </r>
      </text>
    </comment>
    <comment ref="T5" authorId="0">
      <text>
        <r>
          <rPr>
            <sz val="10"/>
            <color rgb="FF000000"/>
            <rFont val="Arial"/>
            <family val="0"/>
            <charset val="1"/>
          </rPr>
          <t xml:space="preserve">http://www.nejm.org/doi/pdf/10.1056/NEJMsa060247
	-Amber Tang</t>
        </r>
      </text>
    </comment>
    <comment ref="T10" authorId="0">
      <text>
        <r>
          <rPr>
            <sz val="10"/>
            <color rgb="FF000000"/>
            <rFont val="Arial"/>
            <family val="0"/>
            <charset val="1"/>
          </rPr>
          <t xml:space="preserve">https://www.bu.edu/av/iaen/research-library-1/docs/13387/Rosen%20Cost%20of%20ART%20in%20Africa.pdf
total 1180?
2000
	-Amber Tang</t>
        </r>
      </text>
    </comment>
    <comment ref="T11" authorId="0">
      <text>
        <r>
          <rPr>
            <sz val="10"/>
            <color rgb="FF000000"/>
            <rFont val="Arial"/>
            <family val="0"/>
            <charset val="1"/>
          </rPr>
          <t xml:space="preserve">http://www.nejm.org/doi/pdf/10.1056/NEJMsa060247
	-Amber Tang</t>
        </r>
      </text>
    </comment>
    <comment ref="T17" authorId="0">
      <text>
        <r>
          <rPr>
            <sz val="10"/>
            <color rgb="FF000000"/>
            <rFont val="Arial"/>
            <family val="0"/>
            <charset val="1"/>
          </rPr>
          <t xml:space="preserve">http://www.nejm.org/doi/pdf/10.1056/NEJMsa060247
cost of long term/terminal care only?
	-Amber Tang</t>
        </r>
      </text>
    </comment>
    <comment ref="U10" authorId="0">
      <text>
        <r>
          <rPr>
            <sz val="10"/>
            <color rgb="FF000000"/>
            <rFont val="Arial"/>
            <family val="0"/>
            <charset val="1"/>
          </rPr>
          <t xml:space="preserve">https://www.bu.edu/av/iaen/research-library-1/docs/13387/Rosen%20Cost%20of%20ART%20in%20Africa.pdf
total was 705
2003
	-Amber Tang</t>
        </r>
      </text>
    </comment>
    <comment ref="U11" authorId="0">
      <text>
        <r>
          <rPr>
            <sz val="10"/>
            <color rgb="FF000000"/>
            <rFont val="Arial"/>
            <family val="0"/>
            <charset val="1"/>
          </rPr>
          <t xml:space="preserve">http://www.ncbi.nlm.nih.gov/pmc/articles/PMC3833352/pdf/nihms520658.pdf
2009
	-Amber Tang</t>
        </r>
      </text>
    </comment>
    <comment ref="U12" authorId="0">
      <text>
        <r>
          <rPr>
            <sz val="10"/>
            <color rgb="FF000000"/>
            <rFont val="Arial"/>
            <family val="0"/>
            <charset val="1"/>
          </rPr>
          <t xml:space="preserve">http://www.ncbi.nlm.nih.gov/pmc/articles/PMC3833352/pdf/nihms520658.pdf
2009
	-Amber Tang</t>
        </r>
      </text>
    </comment>
    <comment ref="U13" authorId="0">
      <text>
        <r>
          <rPr>
            <sz val="10"/>
            <color rgb="FF000000"/>
            <rFont val="Arial"/>
            <family val="0"/>
            <charset val="1"/>
          </rPr>
          <t xml:space="preserve">2009-2011
http://www.ncbi.nlm.nih.gov/pmc/articles/PMC4229087/pdf/pone.0108304.pdf
	-Amber Tang</t>
        </r>
      </text>
    </comment>
    <comment ref="V10" authorId="0">
      <text>
        <r>
          <rPr>
            <sz val="10"/>
            <color rgb="FF000000"/>
            <rFont val="Arial"/>
            <family val="0"/>
            <charset val="1"/>
          </rPr>
          <t xml:space="preserve">https://www.bu.edu/av/iaen/research-library-1/docs/13387/Rosen%20Cost%20of%20ART%20in%20Africa.pdf
	-Amber Tang
2001-2004
	-Amber Tang</t>
        </r>
      </text>
    </comment>
    <comment ref="V11" authorId="0">
      <text>
        <r>
          <rPr>
            <sz val="10"/>
            <color rgb="FF000000"/>
            <rFont val="Arial"/>
            <family val="0"/>
            <charset val="1"/>
          </rPr>
          <t xml:space="preserve">http://www.ncbi.nlm.nih.gov/pmc/articles/PMC3833352/pdf/nihms520658.pdf
2004
	-Amber Tang</t>
        </r>
      </text>
    </comment>
    <comment ref="V12" authorId="0">
      <text>
        <r>
          <rPr>
            <sz val="10"/>
            <color rgb="FF000000"/>
            <rFont val="Arial"/>
            <family val="0"/>
            <charset val="1"/>
          </rPr>
          <t xml:space="preserve">http://www.ncbi.nlm.nih.gov/pmc/articles/PMC3833352/pdf/nihms520658.pdf
2004
	-Amber Tang</t>
        </r>
      </text>
    </comment>
    <comment ref="W10" authorId="0">
      <text>
        <r>
          <rPr>
            <sz val="10"/>
            <color rgb="FF000000"/>
            <rFont val="Arial"/>
            <family val="0"/>
            <charset val="1"/>
          </rPr>
          <t xml:space="preserve">https://www.bu.edu/av/iaen/research-library-1/docs/13387/Rosen%20Cost%20of%20ART%20in%20Africa.pdf
	-Amber Tang
2005
	-Amber Tang</t>
        </r>
      </text>
    </comment>
    <comment ref="W11" authorId="0">
      <text>
        <r>
          <rPr>
            <sz val="10"/>
            <color rgb="FF000000"/>
            <rFont val="Arial"/>
            <family val="0"/>
            <charset val="1"/>
          </rPr>
          <t xml:space="preserve">2009-2011
http://www.ncbi.nlm.nih.gov/pmc/articles/PMC4229087/pdf/pone.0108304.pdf
	-Amber Tang</t>
        </r>
      </text>
    </comment>
    <comment ref="Y3" authorId="0">
      <text>
        <r>
          <rPr>
            <sz val="10"/>
            <color rgb="FF000000"/>
            <rFont val="Arial"/>
            <family val="0"/>
            <charset val="1"/>
          </rPr>
          <t xml:space="preserve">unclear if this is for just the cost of HIV test kit alone or including administrative, etc.
http://www.ncbi.nlm.nih.gov/pmc/articles/PMC2140230/pdf/nihms33900.pdf
	-Amber Tang</t>
        </r>
      </text>
    </comment>
    <comment ref="Y10" authorId="0">
      <text>
        <r>
          <rPr>
            <sz val="10"/>
            <color rgb="FF000000"/>
            <rFont val="Arial"/>
            <family val="0"/>
            <charset val="1"/>
          </rPr>
          <t xml:space="preserve">726.24
681.1
653.64
800.69
337.59
453.63
449.48
415.52
2000-2005 (year)
(total costs vary; see source)
https://www.bu.edu/av/iaen/research-library-1/docs/13387/Rosen%20Cost%20of%20ART%20in%20Africa.pdf
	-Amber Tang</t>
        </r>
      </text>
    </comment>
    <comment ref="Y11" authorId="0">
      <text>
        <r>
          <rPr>
            <sz val="10"/>
            <color rgb="FF000000"/>
            <rFont val="Arial"/>
            <family val="0"/>
            <charset val="1"/>
          </rPr>
          <t xml:space="preserve">http://www.ncbi.nlm.nih.gov/pmc/articles/PMC3833352/pdf/nihms520658.pdf
2009
(more data available here for South Africa; I just list the most recent one here)
	-Amber Tang</t>
        </r>
      </text>
    </comment>
    <comment ref="Y17" authorId="0">
      <text>
        <r>
          <rPr>
            <sz val="10"/>
            <color rgb="FF000000"/>
            <rFont val="Arial"/>
            <family val="0"/>
            <charset val="1"/>
          </rPr>
          <t xml:space="preserve">http://www.tandfonline.com/doi/pdf/10.1080/09540120500159334
South Africa: $186? [OI and TB treatment costs]
	-Amber Tang</t>
        </r>
      </text>
    </comment>
    <comment ref="Y18" authorId="0">
      <text>
        <r>
          <rPr>
            <sz val="10"/>
            <color rgb="FF000000"/>
            <rFont val="Arial"/>
            <family val="0"/>
            <charset val="1"/>
          </rPr>
          <t xml:space="preserve">http://www.tandfonline.com/doi/pdf/10.1080/09540120500159334
South Africa
OI and TB treatment costs?
	-Amber Tang</t>
        </r>
      </text>
    </comment>
    <comment ref="Z10" authorId="0">
      <text>
        <r>
          <rPr>
            <sz val="10"/>
            <color rgb="FF000000"/>
            <rFont val="Arial"/>
            <family val="0"/>
            <charset val="1"/>
          </rPr>
          <t xml:space="preserve">412 total
https://www.bu.edu/av/iaen/research-library-1/docs/13387/Rosen%20Cost%20of%20ART%20in%20Africa.pdf
2004
	-Amber Tang</t>
        </r>
      </text>
    </comment>
    <comment ref="Z11" authorId="0">
      <text>
        <r>
          <rPr>
            <sz val="10"/>
            <color rgb="FF000000"/>
            <rFont val="Arial"/>
            <family val="0"/>
            <charset val="1"/>
          </rPr>
          <t xml:space="preserve">http://www.ncbi.nlm.nih.gov/pmc/articles/PMC3833352/pdf/nihms520658.pdf
2009
	-Amber Tang</t>
        </r>
      </text>
    </comment>
    <comment ref="AA10" authorId="0">
      <text>
        <r>
          <rPr>
            <sz val="10"/>
            <color rgb="FF000000"/>
            <rFont val="Arial"/>
            <family val="0"/>
            <charset val="1"/>
          </rPr>
          <t xml:space="preserve">488 total
https://www.bu.edu/av/iaen/research-library-1/docs/13387/Rosen%20Cost%20of%20ART%20in%20Africa.pdf
2002-2003
	-Amber Tang</t>
        </r>
      </text>
    </comment>
    <comment ref="AA11" authorId="0">
      <text>
        <r>
          <rPr>
            <sz val="10"/>
            <color rgb="FF000000"/>
            <rFont val="Arial"/>
            <family val="0"/>
            <charset val="1"/>
          </rPr>
          <t xml:space="preserve">http://www.ncbi.nlm.nih.gov/pmc/articles/PMC4229087/pdf/pone.0108304.pdf
2009-2011
	-Amber Tang</t>
        </r>
      </text>
    </comment>
    <comment ref="AB8" authorId="0">
      <text>
        <r>
          <rPr>
            <sz val="10"/>
            <color rgb="FF000000"/>
            <rFont val="Arial"/>
            <family val="0"/>
            <charset val="1"/>
          </rPr>
          <t xml:space="preserve">http://www.msf.org/sites/msf.org/files/how_low_can_we_go_vl_pricing_brief.pdf
	-Amber Tang</t>
        </r>
      </text>
    </comment>
    <comment ref="AB10" authorId="0">
      <text>
        <r>
          <rPr>
            <sz val="10"/>
            <color rgb="FF000000"/>
            <rFont val="Arial"/>
            <family val="0"/>
            <charset val="1"/>
          </rPr>
          <t xml:space="preserve">http://www.ncbi.nlm.nih.gov/pmc/articles/PMC3833352/pdf/nihms520658.pdf
	-Amber Tang
2007
	-Amber Tang</t>
        </r>
      </text>
    </comment>
    <comment ref="AC8" authorId="0">
      <text>
        <r>
          <rPr>
            <sz val="10"/>
            <color rgb="FF000000"/>
            <rFont val="Arial"/>
            <family val="0"/>
            <charset val="1"/>
          </rPr>
          <t xml:space="preserve">http://www.msf.org/sites/msf.org/files/how_low_can_we_go_vl_pricing_brief.pdf
	-Amber Tang</t>
        </r>
      </text>
    </comment>
    <comment ref="AC9" authorId="0">
      <text>
        <r>
          <rPr>
            <sz val="10"/>
            <color rgb="FF000000"/>
            <rFont val="Arial"/>
            <family val="0"/>
            <charset val="1"/>
          </rPr>
          <t xml:space="preserve">https://www.msfaccess.org/sites/default/files/MSF_IssueBrief_undetectable6.pdf
10.50 is public sector negotiated price
otherwise 46.92-79.62 for costs of private lab and public sector tests
	-Amber Tang</t>
        </r>
      </text>
    </comment>
    <comment ref="AD8" authorId="0">
      <text>
        <r>
          <rPr>
            <sz val="10"/>
            <color rgb="FF000000"/>
            <rFont val="Arial"/>
            <family val="0"/>
            <charset val="1"/>
          </rPr>
          <t xml:space="preserve">http://www.msf.org/sites/msf.org/files/how_low_can_we_go_vl_pricing_brief.pdf
reagents only
total is 35.38
	-Amber Tang</t>
        </r>
      </text>
    </comment>
    <comment ref="AD9" authorId="0">
      <text>
        <r>
          <rPr>
            <sz val="10"/>
            <color rgb="FF000000"/>
            <rFont val="Arial"/>
            <family val="0"/>
            <charset val="1"/>
          </rPr>
          <t xml:space="preserve">https://www.msfaccess.org/sites/default/files/MSF_IssueBrief_undetectable6.pdf
for reagents only
total is 20.76
	-Amber Tang</t>
        </r>
      </text>
    </comment>
    <comment ref="AD10" authorId="0">
      <text>
        <r>
          <rPr>
            <sz val="10"/>
            <color rgb="FF000000"/>
            <rFont val="Arial"/>
            <family val="0"/>
            <charset val="1"/>
          </rPr>
          <t xml:space="preserve">http://www.ncbi.nlm.nih.gov/pmc/articles/PMC4229087/pdf/pone.0108304.pdf
	-Amber Tang</t>
        </r>
      </text>
    </comment>
    <comment ref="AD11" authorId="0">
      <text>
        <r>
          <rPr>
            <sz val="10"/>
            <color rgb="FF000000"/>
            <rFont val="Arial"/>
            <family val="0"/>
            <charset val="1"/>
          </rPr>
          <t xml:space="preserve">http://ac.els-cdn.com/S0140673611607022/1-s2.0-S0140673611607022-main.pdf?_tid=185c3c90-d854-11e5-b48a-00000aab0f6c&amp;acdnat=1456029320_f4dfbb4ee8e270c48102b64ef7e8b946
237 for total ART treatment
	-Amber Tang</t>
        </r>
      </text>
    </comment>
    <comment ref="AE3" authorId="0">
      <text>
        <r>
          <rPr>
            <sz val="10"/>
            <color rgb="FF000000"/>
            <rFont val="Arial"/>
            <family val="0"/>
            <charset val="1"/>
          </rPr>
          <t xml:space="preserve">2002-2003
fee charged to patients for HIV test kit
https://www.researchgate.net/profile/Nell_Marshall/publication/7902687_Cost_and_efficiency_of_HIV_voluntary_counseling_and_testing_centres_in_Andhra_Pradesh_India/links/0f31752f1800939356000000.pdf
	-Amber Tang</t>
        </r>
      </text>
    </comment>
    <comment ref="AE5" authorId="0">
      <text>
        <r>
          <rPr>
            <sz val="10"/>
            <color rgb="FF000000"/>
            <rFont val="Arial"/>
            <family val="0"/>
            <charset val="1"/>
          </rPr>
          <t xml:space="preserve">https://www.msfaccess.org/sites/default/files/MSF_IssueBrief_undetectable6.pdf
reagents only
(19.05-24.42 for total costs)
	-Amber Tang</t>
        </r>
      </text>
    </comment>
    <comment ref="AE6" authorId="0">
      <text>
        <r>
          <rPr>
            <sz val="10"/>
            <color rgb="FF000000"/>
            <rFont val="Arial"/>
            <family val="0"/>
            <charset val="1"/>
          </rPr>
          <t xml:space="preserve">2000
http://europepmc.org/abstract/med/12447007
	-Amber Tang</t>
        </r>
      </text>
    </comment>
    <comment ref="AE8" authorId="0">
      <text>
        <r>
          <rPr>
            <sz val="10"/>
            <color rgb="FF000000"/>
            <rFont val="Arial"/>
            <family val="0"/>
            <charset val="1"/>
          </rPr>
          <t xml:space="preserve">https://www.msfaccess.org/sites/default/files/MSF_assets/HIV_AIDS/Docs/MSF_ViralLoad_Report._FINAL_Sept2012_webres.pdf
	-Amber Tang</t>
        </r>
      </text>
    </comment>
    <comment ref="AE9" authorId="0">
      <text>
        <r>
          <rPr>
            <sz val="10"/>
            <color rgb="FF000000"/>
            <rFont val="Arial"/>
            <family val="0"/>
            <charset val="1"/>
          </rPr>
          <t xml:space="preserve">https://www.msfaccess.org/sites/default/files/MSF_IssueBrief_undetectable6.pdf
reagents and maintenance costs
(differences are due to NGO lab, gov lab or private lab)
	-Amber Tang</t>
        </r>
      </text>
    </comment>
    <comment ref="AE10" authorId="0">
      <text>
        <r>
          <rPr>
            <sz val="10"/>
            <color rgb="FF000000"/>
            <rFont val="Arial"/>
            <family val="0"/>
            <charset val="1"/>
          </rPr>
          <t xml:space="preserve">http://www.ncbi.nlm.nih.gov/pmc/articles/PMC3833352/pdf/nihms520658.pdf
2009
___
46.2, 130.3, 60.7, 53.4, 118.3, 101.4
	-Amber Tang</t>
        </r>
      </text>
    </comment>
    <comment ref="AE11" authorId="0">
      <text>
        <r>
          <rPr>
            <sz val="10"/>
            <color rgb="FF000000"/>
            <rFont val="Arial"/>
            <family val="0"/>
            <charset val="1"/>
          </rPr>
          <t xml:space="preserve">http://www.ncbi.nlm.nih.gov/pmc/articles/PMC3833352/pdf/nihms520658.pdf
2006
	-Amber Tang</t>
        </r>
      </text>
    </comment>
    <comment ref="AE12" authorId="0">
      <text>
        <r>
          <rPr>
            <sz val="10"/>
            <color rgb="FF000000"/>
            <rFont val="Arial"/>
            <family val="0"/>
            <charset val="1"/>
          </rPr>
          <t xml:space="preserve">http://www.who.int/whr/2004/media_centre/en/lancet.pdf
**retail cost of drug
	-Amber Tang</t>
        </r>
      </text>
    </comment>
    <comment ref="AE13" authorId="0">
      <text>
        <r>
          <rPr>
            <sz val="10"/>
            <color rgb="FF000000"/>
            <rFont val="Arial"/>
            <family val="0"/>
            <charset val="1"/>
          </rPr>
          <t xml:space="preserve">http://www.jgid.org/article.asp?issn=0974-777X;year=2009;volume=1;issue=2;spage=93;epage=101;aulast=
	-Amber Tang</t>
        </r>
      </text>
    </comment>
    <comment ref="AE14" authorId="0">
      <text>
        <r>
          <rPr>
            <sz val="10"/>
            <color rgb="FF000000"/>
            <rFont val="Arial"/>
            <family val="0"/>
            <charset val="1"/>
          </rPr>
          <t xml:space="preserve">https://books.google.com/books?hl=en&amp;lr=&amp;id=8tDTtOjzl7wC&amp;oi=fnd&amp;pg=PA157&amp;dq=bhutan+aids+cost&amp;ots=lObmMxTckT&amp;sig=wBhs7DRi89kvEfgC3aiv6x7KMDw#v=onepage&amp;q=bhutan%20aids%20cost&amp;f=false
	-Amber Tang</t>
        </r>
      </text>
    </comment>
    <comment ref="AE23" authorId="0">
      <text>
        <r>
          <rPr>
            <sz val="10"/>
            <color rgb="FF000000"/>
            <rFont val="Arial"/>
            <family val="0"/>
            <charset val="1"/>
          </rPr>
          <t xml:space="preserve">haven't looked at this too closely, but there are tables at the end of costs of OI treatments, drug costs, and terminal care costs (not sure if this is per patient per year though)
	-Amber Tang</t>
        </r>
      </text>
    </comment>
    <comment ref="AF10" authorId="0">
      <text>
        <r>
          <rPr>
            <sz val="10"/>
            <color rgb="FF000000"/>
            <rFont val="Arial"/>
            <family val="0"/>
            <charset val="1"/>
          </rPr>
          <t xml:space="preserve">http://www.ncbi.nlm.nih.gov/pmc/articles/PMC3833352/pdf/nihms520658.pdf
2008
	-Amber Tang</t>
        </r>
      </text>
    </comment>
    <comment ref="AG10" authorId="0">
      <text>
        <r>
          <rPr>
            <sz val="10"/>
            <color rgb="FF000000"/>
            <rFont val="Arial"/>
            <family val="0"/>
            <charset val="1"/>
          </rPr>
          <t xml:space="preserve">2007
http://www.ncbi.nlm.nih.gov/pmc/articles/PMC3833352/pdf/nihms520658.pdf
	-Amber Tang</t>
        </r>
      </text>
    </comment>
    <comment ref="AH10" authorId="0">
      <text>
        <r>
          <rPr>
            <sz val="10"/>
            <color rgb="FF000000"/>
            <rFont val="Arial"/>
            <family val="0"/>
            <charset val="1"/>
          </rPr>
          <t xml:space="preserve">(higher cost in 1st year of ART)
http://www.ncbi.nlm.nih.gov/pmc/articles/PMC3833352/pdf/nihms520658.pdf
2008
	-Amber Tang</t>
        </r>
      </text>
    </comment>
    <comment ref="AI8" authorId="0">
      <text>
        <r>
          <rPr>
            <sz val="10"/>
            <color rgb="FF000000"/>
            <rFont val="Arial"/>
            <family val="0"/>
            <charset val="1"/>
          </rPr>
          <t xml:space="preserve">http://www.msf.org/sites/msf.org/files/how_low_can_we_go_vl_pricing_brief.pdf
total is 44.07
	-Amber Tang</t>
        </r>
      </text>
    </comment>
    <comment ref="AI10" authorId="0">
      <text>
        <r>
          <rPr>
            <sz val="10"/>
            <color rgb="FF000000"/>
            <rFont val="Arial"/>
            <family val="0"/>
            <charset val="1"/>
          </rPr>
          <t xml:space="preserve">http://www.ncbi.nlm.nih.gov/pmc/articles/PMC3833352/pdf/nihms520658.pdf
2003
	-Amber Tang</t>
        </r>
      </text>
    </comment>
    <comment ref="AI17" authorId="0">
      <text>
        <r>
          <rPr>
            <sz val="10"/>
            <color rgb="FF000000"/>
            <rFont val="Arial"/>
            <family val="0"/>
            <charset val="1"/>
          </rPr>
          <t xml:space="preserve">palliative care (drugs only)= 19
palliative care + treatment of low cost OIs= 1014
http://ac.els-cdn.com/S0140673600024405/1-s2.0-S0140673600024405-main.pdf?_tid=2ac88d6a-dcec-11e5-9ba5-00000aab0f27&amp;acdnat=1456534439_39c0db214a7e3e019746aca429d307f5
	-Amber Tang</t>
        </r>
      </text>
    </comment>
    <comment ref="AJ10" authorId="0">
      <text>
        <r>
          <rPr>
            <sz val="10"/>
            <color rgb="FF000000"/>
            <rFont val="Arial"/>
            <family val="0"/>
            <charset val="1"/>
          </rPr>
          <t xml:space="preserve">2007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J17" authorId="0">
      <text>
        <r>
          <rPr>
            <sz val="10"/>
            <color rgb="FF000000"/>
            <rFont val="Arial"/>
            <family val="0"/>
            <charset val="1"/>
          </rPr>
          <t xml:space="preserve">2007
inpatient+outpatient meds for OIs, costs of diagnosing OIs, medical service charges for OIs
-&gt; 1st year of ARVs (I assume that means they're not vs yet)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J18" authorId="0">
      <text>
        <r>
          <rPr>
            <sz val="10"/>
            <color rgb="FF000000"/>
            <rFont val="Arial"/>
            <family val="0"/>
            <charset val="1"/>
          </rPr>
          <t xml:space="preserve">2007
cost of OIs based on CD4 cell count
&lt;100 = $274
100-199= $51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List>
</comments>
</file>

<file path=xl/sharedStrings.xml><?xml version="1.0" encoding="utf-8"?>
<sst xmlns="http://schemas.openxmlformats.org/spreadsheetml/2006/main" count="3882" uniqueCount="656">
  <si>
    <t xml:space="preserve">Afghanistan</t>
  </si>
  <si>
    <t xml:space="preserve">Algeria</t>
  </si>
  <si>
    <t xml:space="preserve">Angola</t>
  </si>
  <si>
    <t xml:space="preserve">Argentina</t>
  </si>
  <si>
    <t xml:space="preserve">Armenia</t>
  </si>
  <si>
    <t xml:space="preserve">Australia</t>
  </si>
  <si>
    <t xml:space="preserve">Austria</t>
  </si>
  <si>
    <t xml:space="preserve">Azerbaijan</t>
  </si>
  <si>
    <t xml:space="preserve">The Bahamas</t>
  </si>
  <si>
    <t xml:space="preserve">Bangladesh</t>
  </si>
  <si>
    <t xml:space="preserve">Barbados</t>
  </si>
  <si>
    <t xml:space="preserve">Belarus</t>
  </si>
  <si>
    <t xml:space="preserve">Belgium</t>
  </si>
  <si>
    <t xml:space="preserve">Belize</t>
  </si>
  <si>
    <t xml:space="preserve">Benin</t>
  </si>
  <si>
    <t xml:space="preserve">Bhutan</t>
  </si>
  <si>
    <t xml:space="preserve">Bolivia (Plurinational State of)</t>
  </si>
  <si>
    <t xml:space="preserve">Botswana</t>
  </si>
  <si>
    <t xml:space="preserve">Brazil</t>
  </si>
  <si>
    <t xml:space="preserve">Bulgaria</t>
  </si>
  <si>
    <t xml:space="preserve">Burkina Faso</t>
  </si>
  <si>
    <t xml:space="preserve">Burundi</t>
  </si>
  <si>
    <t xml:space="preserve">Cambodia</t>
  </si>
  <si>
    <t xml:space="preserve">Cameroon</t>
  </si>
  <si>
    <t xml:space="preserve">Canada</t>
  </si>
  <si>
    <t xml:space="preserve">Cape Verde</t>
  </si>
  <si>
    <t xml:space="preserve">Central African Republic</t>
  </si>
  <si>
    <t xml:space="preserve">Chad</t>
  </si>
  <si>
    <t xml:space="preserve">Chile</t>
  </si>
  <si>
    <t xml:space="preserve">China</t>
  </si>
  <si>
    <t xml:space="preserve">Colombia</t>
  </si>
  <si>
    <t xml:space="preserve">Republic of Congo</t>
  </si>
  <si>
    <t xml:space="preserve">Costa Rica</t>
  </si>
  <si>
    <t xml:space="preserve">Cuba</t>
  </si>
  <si>
    <t xml:space="preserve">Côte d'Ivoire</t>
  </si>
  <si>
    <t xml:space="preserve">Democratic Republic of the Congo</t>
  </si>
  <si>
    <t xml:space="preserve">Denmark</t>
  </si>
  <si>
    <t xml:space="preserve">Djibouti</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</si>
  <si>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</si>
  <si>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</si>
  <si>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</si>
  <si>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</si>
  <si>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</si>
  <si>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</si>
  <si>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</si>
  <si>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</si>
  <si>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France</t>
  </si>
  <si>
    <t xml:space="preserve">Gabon</t>
  </si>
  <si>
    <t xml:space="preserve">Gambia</t>
  </si>
  <si>
    <t xml:space="preserve">Georgia</t>
  </si>
  <si>
    <t xml:space="preserve">Ghana</t>
  </si>
  <si>
    <t xml:space="preserve">Greece</t>
  </si>
  <si>
    <t xml:space="preserve">Guatemala</t>
  </si>
  <si>
    <t xml:space="preserve">Guinea</t>
  </si>
  <si>
    <t xml:space="preserve">Guyana</t>
  </si>
  <si>
    <t xml:space="preserve">Haiti</t>
  </si>
  <si>
    <t xml:space="preserve">Honduras</t>
  </si>
  <si>
    <t xml:space="preserve">India</t>
  </si>
  <si>
    <t xml:space="preserve">Indonesia</t>
  </si>
  <si>
    <t xml:space="preserve">Iran (Islamic Republic of)</t>
  </si>
  <si>
    <t xml:space="preserve">Israel</t>
  </si>
  <si>
    <t xml:space="preserve">Italy</t>
  </si>
  <si>
    <t xml:space="preserve">Jamaica</t>
  </si>
  <si>
    <t xml:space="preserve">Kazakhstan</t>
  </si>
  <si>
    <t xml:space="preserve">Kenya</t>
  </si>
  <si>
    <t xml:space="preserve">Kyrgyzstan</t>
  </si>
  <si>
    <t xml:space="preserve">Lao People's Democratic Republic</t>
  </si>
  <si>
    <t xml:space="preserve">Lebanon</t>
  </si>
  <si>
    <t xml:space="preserve">Lesotho</t>
  </si>
  <si>
    <t xml:space="preserve">Liberia</t>
  </si>
  <si>
    <t xml:space="preserve">Madagascar</t>
  </si>
  <si>
    <t xml:space="preserve">Malawi</t>
  </si>
  <si>
    <t xml:space="preserve">Malaysia</t>
  </si>
  <si>
    <t xml:space="preserve">Mali</t>
  </si>
  <si>
    <t xml:space="preserve">Mauritania</t>
  </si>
  <si>
    <t xml:space="preserve">Mauritius</t>
  </si>
  <si>
    <t xml:space="preserve">Mexico</t>
  </si>
  <si>
    <t xml:space="preserve">Mongolia</t>
  </si>
  <si>
    <t xml:space="preserve">Morocco</t>
  </si>
  <si>
    <t xml:space="preserve">Mozambique</t>
  </si>
  <si>
    <t xml:space="preserve">Myanmar</t>
  </si>
  <si>
    <t xml:space="preserve">Namibia</t>
  </si>
  <si>
    <t xml:space="preserve">Nepal</t>
  </si>
  <si>
    <t xml:space="preserve">Netherlands</t>
  </si>
  <si>
    <t xml:space="preserve">New Zealand</t>
  </si>
  <si>
    <t xml:space="preserve">Nicaragua</t>
  </si>
  <si>
    <t xml:space="preserve">Niger</t>
  </si>
  <si>
    <t xml:space="preserve">Nigeria</t>
  </si>
  <si>
    <t xml:space="preserve">Pakistan</t>
  </si>
  <si>
    <t xml:space="preserve">Panama</t>
  </si>
  <si>
    <t xml:space="preserve">Papua New Guinea</t>
  </si>
  <si>
    <t xml:space="preserve">Paraguay</t>
  </si>
  <si>
    <t xml:space="preserve">Peru</t>
  </si>
  <si>
    <t xml:space="preserve">Philippines</t>
  </si>
  <si>
    <t xml:space="preserve">Republic of Moldova</t>
  </si>
  <si>
    <t xml:space="preserve">Russian Federation</t>
  </si>
  <si>
    <t xml:space="preserve">Rwanda</t>
  </si>
  <si>
    <t xml:space="preserve">Saint Lucia</t>
  </si>
  <si>
    <t xml:space="preserve">Sao Tome and Principe</t>
  </si>
  <si>
    <t xml:space="preserve">Senegal</t>
  </si>
  <si>
    <t xml:space="preserve">Sierra Leone</t>
  </si>
  <si>
    <t xml:space="preserve">Somalia</t>
  </si>
  <si>
    <t xml:space="preserve">South Africa</t>
  </si>
  <si>
    <t xml:space="preserve">South Sudan</t>
  </si>
  <si>
    <t xml:space="preserve">Spain</t>
  </si>
  <si>
    <t xml:space="preserve">Sri Lanka</t>
  </si>
  <si>
    <t xml:space="preserve">Sudan</t>
  </si>
  <si>
    <t xml:space="preserve">Suriname</t>
  </si>
  <si>
    <t xml:space="preserve">Swaziland</t>
  </si>
  <si>
    <t xml:space="preserve">Sweden</t>
  </si>
  <si>
    <t xml:space="preserve">Switzerland</t>
  </si>
  <si>
    <t xml:space="preserve">Tajikistan</t>
  </si>
  <si>
    <t xml:space="preserve">Thailand</t>
  </si>
  <si>
    <t xml:space="preserve">Timor-Leste</t>
  </si>
  <si>
    <t xml:space="preserve">Togo</t>
  </si>
  <si>
    <t xml:space="preserve">Trinidad and Tobago</t>
  </si>
  <si>
    <t xml:space="preserve">Tunisia</t>
  </si>
  <si>
    <t xml:space="preserve">Uganda</t>
  </si>
  <si>
    <t xml:space="preserve">Ukraine</t>
  </si>
  <si>
    <t xml:space="preserve">United Kingdom of Great Britain and Northern Ireland</t>
  </si>
  <si>
    <t xml:space="preserve">United Republic of Tanzania</t>
  </si>
  <si>
    <t xml:space="preserve">United States of America</t>
  </si>
  <si>
    <t xml:space="preserve">Uruguay</t>
  </si>
  <si>
    <t xml:space="preserve">Uzbekistan</t>
  </si>
  <si>
    <t xml:space="preserve">Venezuela (Bolivarian Republic of)</t>
  </si>
  <si>
    <t xml:space="preserve">Viet Nam</t>
  </si>
  <si>
    <t xml:space="preserve">Yemen</t>
  </si>
  <si>
    <t xml:space="preserve">Zambia</t>
  </si>
  <si>
    <t xml:space="preserve">Zimbabwe</t>
  </si>
  <si>
    <t xml:space="preserve">Birth rate</t>
  </si>
  <si>
    <t xml:space="preserve">Death rate</t>
  </si>
  <si>
    <t xml:space="preserve">2013 data</t>
  </si>
  <si>
    <t xml:space="preserve">http://data.worldbank.org/indicator/SP.DYN.CDRT.IN</t>
  </si>
  <si>
    <t xml:space="preserve">2014 data</t>
  </si>
  <si>
    <t xml:space="preserve">http://data.worldbank.org/indicator/SP.POP.GROW</t>
  </si>
  <si>
    <t xml:space="preserve"> </t>
  </si>
  <si>
    <t xml:space="preserve">YEAR</t>
  </si>
  <si>
    <t xml:space="preserve">Population growth</t>
  </si>
  <si>
    <t xml:space="preserve">COUNTRY</t>
  </si>
  <si>
    <t xml:space="preserve">9 (16.9%)</t>
  </si>
  <si>
    <t xml:space="preserve">25</t>
  </si>
  <si>
    <t xml:space="preserve">16931</t>
  </si>
  <si>
    <t xml:space="preserve">NOTES &amp; SOURCES</t>
  </si>
  <si>
    <t xml:space="preserve">UNAIDS</t>
  </si>
  <si>
    <t xml:space="preserve">UNAIDS (10-15)</t>
  </si>
  <si>
    <t xml:space="preserve">http://ecdc.europa.eu/en/publications/Publications/dublin-declaration-treatment-care-support.pdf</t>
  </si>
  <si>
    <t xml:space="preserve">http://www.unaids.org/sites/default/files/country/documents/BTN_narrative_report_2015.pdf</t>
  </si>
  <si>
    <t xml:space="preserve">https://www.ecoi.net/file_upload/432_1198080046_can-fact-sheets.pdf</t>
  </si>
  <si>
    <t xml:space="preserve">http://www.unaids.org/sites/default/files/country/documents/CHN_narrative_report_2015.pdf</t>
  </si>
  <si>
    <t xml:space="preserve">https://intra.tai.ee//images/prints/documents/14604493644_HIV_in_Estonia_2014.pdf</t>
  </si>
  <si>
    <t xml:space="preserve">http://www.euro.who.int/__data/assets/pdf_file/0003/191073/France-HIVAIDS-Country-Profile-2011-revision-2012-final.pdf</t>
  </si>
  <si>
    <t xml:space="preserve">http://www.unaids.org/sites/default/files/country/documents/NLD_narrative_report_2016.pdf</t>
  </si>
  <si>
    <t xml:space="preserve">http://www.unaids.org/sites/default/files/country/documents/NZL_narrative_report_2015.pdf</t>
  </si>
  <si>
    <t xml:space="preserve">http://www.pancap.org/saintlucia_2010_country_progress_report_en.pdf</t>
  </si>
  <si>
    <t xml:space="preserve">http://www.aidsdatahub.org/Country-Profiles/Timor-Leste</t>
  </si>
  <si>
    <t xml:space="preserve">http://www.cdc.gov/nchhstp/newsroom/docs/factsheets/hiv-testing-us-508.pdf</t>
  </si>
  <si>
    <t xml:space="preserve">World Bank</t>
  </si>
  <si>
    <t xml:space="preserve">http://bmcinfectdis.biomedcentral.com/articles/10.1186/s12879-015-1230-3</t>
  </si>
  <si>
    <t xml:space="preserve">http://www.saarctb.org/new/wp-content/uploads/2015/09/HIV-update-2014.pdf</t>
  </si>
  <si>
    <t xml:space="preserve">http://www.scielo.br/pdf/rsp/v40s0/en_03.pdf</t>
  </si>
  <si>
    <t xml:space="preserve">http://www.avert.org/professionals/hiv-around-world/asia-pacific/china</t>
  </si>
  <si>
    <t xml:space="preserve">http://www.wpro.who.int/hiv/data/countries/mng/en/</t>
  </si>
  <si>
    <t xml:space="preserve">http://www.unaids.org/sites/default/files/country/documents/LCA_narrative_report_2015.pdf</t>
  </si>
  <si>
    <t xml:space="preserve">http://apps.who.int/gho/data/view.main.23300?lang=en</t>
  </si>
  <si>
    <t xml:space="preserve">https://www.gov.uk/government/uploads/system/uploads/attachment_data/file/401662/2014_PHE_HIV_annual_report_draft_Final_07-01-2015.pdf</t>
  </si>
  <si>
    <t xml:space="preserve">http://www.cdc.gov/mmwr/preview/mmwrhtml/mm6347a5.htm#fig1</t>
  </si>
  <si>
    <t xml:space="preserve">http://image.thelancet.com/extras/01art9038web.pdf</t>
  </si>
  <si>
    <t xml:space="preserve">http://www.aidsdatahub.org/Country-Profiles/China</t>
  </si>
  <si>
    <t xml:space="preserve">http://naco.gov.in/upload/2015%20MSLNS/Annual%20report%20_NACO_2014-15.pdf</t>
  </si>
  <si>
    <t xml:space="preserve">http://data.unaids.org/pub/Report/2010/mongolia_2010_country_progress_report_en.pdf</t>
  </si>
  <si>
    <t xml:space="preserve">http://www.cdc.gov/mmwr/preview/mmwrhtml/mm6047a4.htm?s_cid=mm6047a4_w</t>
  </si>
  <si>
    <t xml:space="preserve">N people receiving ARV therapy (est. coverage)</t>
  </si>
  <si>
    <t xml:space="preserve">SOURCES</t>
  </si>
  <si>
    <t xml:space="preserve">REGION</t>
  </si>
  <si>
    <t xml:space="preserve">http://www.unaids.org/sites/default/files/media_asset/JC2225_UNAIDS_datatables_en_1.pdf</t>
  </si>
  <si>
    <t xml:space="preserve">*Note: available data for 2002-2010 on access to ARVs in chart form</t>
  </si>
  <si>
    <t xml:space="preserve">Sub-Saharan Africa</t>
  </si>
  <si>
    <t xml:space="preserve">3911000 (41%)</t>
  </si>
  <si>
    <t xml:space="preserve">5064000 (49%)</t>
  </si>
  <si>
    <t xml:space="preserve">http://aidsinfo.unaids.org/</t>
  </si>
  <si>
    <t xml:space="preserve">2010-2014</t>
  </si>
  <si>
    <t xml:space="preserve">Eastern and Southern Africa</t>
  </si>
  <si>
    <t xml:space="preserve">3203000 (46%)</t>
  </si>
  <si>
    <t xml:space="preserve">4221000 (56%)</t>
  </si>
  <si>
    <t xml:space="preserve">http://data.worldbank.org/indicator/SH.HIV.ARTC.ZS</t>
  </si>
  <si>
    <t xml:space="preserve">2000-2009</t>
  </si>
  <si>
    <t xml:space="preserve">(% ARV coverage * people living with HIV)</t>
  </si>
  <si>
    <t xml:space="preserve">Western and Central Africa</t>
  </si>
  <si>
    <t xml:space="preserve">709000 (27%)</t>
  </si>
  <si>
    <t xml:space="preserve">842000 (30%)</t>
  </si>
  <si>
    <t xml:space="preserve">Latin American &amp; the Caribbean</t>
  </si>
  <si>
    <t xml:space="preserve">469000 (60%)</t>
  </si>
  <si>
    <t xml:space="preserve">521000 (63%)</t>
  </si>
  <si>
    <t xml:space="preserve">416000 (60%)</t>
  </si>
  <si>
    <t xml:space="preserve">461000 (64%)</t>
  </si>
  <si>
    <t xml:space="preserve">Caribbean</t>
  </si>
  <si>
    <t xml:space="preserve">52400 (56%)</t>
  </si>
  <si>
    <t xml:space="preserve">60300 (60%)</t>
  </si>
  <si>
    <t xml:space="preserve">E, S, &amp; SE Asia</t>
  </si>
  <si>
    <t xml:space="preserve">748000 (33%)</t>
  </si>
  <si>
    <t xml:space="preserve">922000 (39%)</t>
  </si>
  <si>
    <t xml:space="preserve">Europe and Central Asia</t>
  </si>
  <si>
    <t xml:space="preserve">114500 (22%)</t>
  </si>
  <si>
    <t xml:space="preserve">129000 (23%)</t>
  </si>
  <si>
    <t xml:space="preserve">North Africa &amp; the Middle East</t>
  </si>
  <si>
    <t xml:space="preserve">12400 (9%)</t>
  </si>
  <si>
    <t xml:space="preserve">14900 (10%)</t>
  </si>
  <si>
    <t xml:space="preserve">Asia and the Pacific</t>
  </si>
  <si>
    <t xml:space="preserve">East and Southern Africa</t>
  </si>
  <si>
    <t xml:space="preserve">Eastern Europe and Central Asia</t>
  </si>
  <si>
    <t xml:space="preserve">Latin America</t>
  </si>
  <si>
    <t xml:space="preserve">Middle East and North Africa</t>
  </si>
  <si>
    <t xml:space="preserve">West and Central Africa</t>
  </si>
  <si>
    <t xml:space="preserve">Global</t>
  </si>
  <si>
    <t xml:space="preserve">Country</t>
  </si>
  <si>
    <t xml:space="preserve">Susceptible</t>
  </si>
  <si>
    <t xml:space="preserve">Acute</t>
  </si>
  <si>
    <t xml:space="preserve">Undiagnosed</t>
  </si>
  <si>
    <t xml:space="preserve">Diagnosed but not on treatment or virally suppressed</t>
  </si>
  <si>
    <t xml:space="preserve">Treated but not virally suppressed</t>
  </si>
  <si>
    <t xml:space="preserve">Virally Suppressed</t>
  </si>
  <si>
    <t xml:space="preserve">Infected</t>
  </si>
  <si>
    <t xml:space="preserve">d</t>
  </si>
  <si>
    <t xml:space="preserve">Total</t>
  </si>
  <si>
    <t xml:space="preserve">t</t>
  </si>
  <si>
    <t xml:space="preserve">Prevalence</t>
  </si>
  <si>
    <t xml:space="preserve">v</t>
  </si>
  <si>
    <t xml:space="preserve">multiplied</t>
  </si>
  <si>
    <t xml:space="preserve">Population in study</t>
  </si>
  <si>
    <t xml:space="preserve">PLHIV in study</t>
  </si>
  <si>
    <t xml:space="preserve">global population 15-49</t>
  </si>
  <si>
    <t xml:space="preserve">global prev</t>
  </si>
  <si>
    <t xml:space="preserve">PLHIV globally</t>
  </si>
  <si>
    <t xml:space="preserve">On ART</t>
  </si>
  <si>
    <t xml:space="preserve">Virally suppressed</t>
  </si>
  <si>
    <t xml:space="preserve">PLHIV (1=increasing, 0=decreasing)</t>
  </si>
  <si>
    <t xml:space="preserve">Trend in PLHIV w intervention (1=status quo higher, 0=status quo lower than intervention)</t>
  </si>
  <si>
    <t xml:space="preserve">Incidence (1=increasing, 0=decreasing)</t>
  </si>
  <si>
    <t xml:space="preserve">pD (C/B)</t>
  </si>
  <si>
    <t xml:space="preserve">pT (E/C)</t>
  </si>
  <si>
    <t xml:space="preserve">pV (G/E)</t>
  </si>
  <si>
    <t xml:space="preserve">Republic of Serbia</t>
  </si>
  <si>
    <t xml:space="preserve">Tanzania</t>
  </si>
  <si>
    <t xml:space="preserve">GDP per capita</t>
  </si>
  <si>
    <t xml:space="preserve">GDP per capita (PPP)</t>
  </si>
  <si>
    <t xml:space="preserve">References</t>
  </si>
  <si>
    <t xml:space="preserve">2014 GDP per capita (current US$)</t>
  </si>
  <si>
    <t xml:space="preserve">GDP</t>
  </si>
  <si>
    <t xml:space="preserve">http://data.worldbank.org/indicator/NY.GDP.PCAP.CD</t>
  </si>
  <si>
    <t xml:space="preserve">http://data.un.org/CountryProfile.aspx?crName=gambia</t>
  </si>
  <si>
    <t xml:space="preserve">http://www.stats.govt.nz/browse_for_stats/snapshots-of-nz/top-statistics.aspx</t>
  </si>
  <si>
    <t xml:space="preserve">2014 GDP per capita (PPP)</t>
  </si>
  <si>
    <t xml:space="preserve">(PPP)</t>
  </si>
  <si>
    <t xml:space="preserve">http://data.worldbank.org/indicator/NY.GDP.PCAP.PP.CD</t>
  </si>
  <si>
    <t xml:space="preserve">https://www.cia.gov/library/publications/the-world-factbook/rankorder/2004rank.html </t>
  </si>
  <si>
    <t xml:space="preserve">https://www.cia.gov/library/publications/the-world-factbook/rankorder/2004rank.html</t>
  </si>
  <si>
    <t xml:space="preserve">http://knoema.com/atlas/ranks/GDP-per-capita-PPP-based</t>
  </si>
  <si>
    <t xml:space="preserve">Type</t>
  </si>
  <si>
    <t xml:space="preserve">Costs</t>
  </si>
  <si>
    <t xml:space="preserve">USA</t>
  </si>
  <si>
    <t xml:space="preserve">Africa (common)</t>
  </si>
  <si>
    <t xml:space="preserve">Lower quartile</t>
  </si>
  <si>
    <t xml:space="preserve">Median</t>
  </si>
  <si>
    <t xml:space="preserve">Upper quartile</t>
  </si>
  <si>
    <t xml:space="preserve">East Asia &amp; Pacific</t>
  </si>
  <si>
    <t xml:space="preserve">Europe &amp; Central Asia</t>
  </si>
  <si>
    <t xml:space="preserve">Latin America &amp; Caribbean</t>
  </si>
  <si>
    <t xml:space="preserve">North America</t>
  </si>
  <si>
    <t xml:space="preserve">South Asia</t>
  </si>
  <si>
    <t xml:space="preserve">SSA</t>
  </si>
  <si>
    <t xml:space="preserve">United States</t>
  </si>
  <si>
    <t xml:space="preserve">Diagnosis</t>
  </si>
  <si>
    <t xml:space="preserve">HIV test (ELISA+Western blot)</t>
  </si>
  <si>
    <t xml:space="preserve">Pre-treatment</t>
  </si>
  <si>
    <t xml:space="preserve">CD4 test</t>
  </si>
  <si>
    <t xml:space="preserve">$38-67</t>
  </si>
  <si>
    <t xml:space="preserve">Viral load test</t>
  </si>
  <si>
    <t xml:space="preserve">$20-100</t>
  </si>
  <si>
    <t xml:space="preserve">22.79-24.69</t>
  </si>
  <si>
    <t xml:space="preserve">Treatment</t>
  </si>
  <si>
    <t xml:space="preserve">Annual ART cost </t>
  </si>
  <si>
    <t xml:space="preserve">832 pounds</t>
  </si>
  <si>
    <t xml:space="preserve">Annual CD4 tests</t>
  </si>
  <si>
    <t xml:space="preserve">Annual Viral load tests</t>
  </si>
  <si>
    <t xml:space="preserve">Annual cost of AIDS due to OI</t>
  </si>
  <si>
    <t xml:space="preserve">South Africa: $215 [OI and TB treatment costs]</t>
  </si>
  <si>
    <t xml:space="preserve">http://www.ncbi.nlm.nih.gov/pmc/articles/PMC2365748/pdf/nihms45505.pdf</t>
  </si>
  <si>
    <t xml:space="preserve">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t>
  </si>
  <si>
    <t xml:space="preserve">http://jama.jamanetwork.com/article.aspx?articleid=1150355</t>
  </si>
  <si>
    <t xml:space="preserve">http://www.tandfonline.com/doi/pdf/10.1080/09540120500159334</t>
  </si>
  <si>
    <t xml:space="preserve">Botswana, Ethiopia, Nigeria, Uganda, Viet Nam (representation of PEPFAR supported clinics)</t>
  </si>
  <si>
    <t xml:space="preserve">$202 for pre-ART patients (probably lab costs etc.)</t>
  </si>
  <si>
    <t xml:space="preserve">$880 for ART patients ($298 excluding ARVs)</t>
  </si>
  <si>
    <t xml:space="preserve">http://www.ncbi.nlm.nih.gov/pmc/articles/PMC3225224/pdf/nihms315998.pdf</t>
  </si>
  <si>
    <t xml:space="preserve">OI cost for SSA: http://www.nejm.org/doi/pdf/10.1056/NEJMsa060247</t>
  </si>
  <si>
    <t xml:space="preserve">Probab.</t>
  </si>
  <si>
    <t xml:space="preserve">Cost</t>
  </si>
  <si>
    <t xml:space="preserve">Direct Product</t>
  </si>
  <si>
    <t xml:space="preserve">NTM</t>
  </si>
  <si>
    <t xml:space="preserve">Toxoplasma</t>
  </si>
  <si>
    <t xml:space="preserve">Isoporiasis</t>
  </si>
  <si>
    <t xml:space="preserve">Severe Malaria</t>
  </si>
  <si>
    <t xml:space="preserve">TB</t>
  </si>
  <si>
    <t xml:space="preserve">Severe Fungal Infection</t>
  </si>
  <si>
    <t xml:space="preserve">Mild Fungal Infection</t>
  </si>
  <si>
    <t xml:space="preserve">Severe Bacterial Infection</t>
  </si>
  <si>
    <t xml:space="preserve">Mild Bacterial Infection</t>
  </si>
  <si>
    <t xml:space="preserve">Other Mild Diseases</t>
  </si>
  <si>
    <t xml:space="preserve">Other Severe Diseases</t>
  </si>
  <si>
    <t xml:space="preserve">Annual CD4 (2)</t>
  </si>
  <si>
    <t xml:space="preserve">Annual VL</t>
  </si>
  <si>
    <t xml:space="preserve">Annual ART</t>
  </si>
  <si>
    <t xml:space="preserve">Total Annual cost</t>
  </si>
  <si>
    <t xml:space="preserve">Cost of terminal care</t>
  </si>
  <si>
    <t xml:space="preserve">OI cost for China: http://www.ncbi.nlm.nih.gov/pubmed/22336273</t>
  </si>
  <si>
    <t xml:space="preserve">Analysis of inpatient cost of AIDS related opportunistic infection in a high HIV epidemic area]</t>
  </si>
  <si>
    <t xml:space="preserve">Currency</t>
  </si>
  <si>
    <t xml:space="preserve">Inpatient cost per visit for AIDS related opportunistic infection</t>
  </si>
  <si>
    <t xml:space="preserve">yuan</t>
  </si>
  <si>
    <t xml:space="preserve">Inpatient cost per visit for AIDS related opportunistic infection Males</t>
  </si>
  <si>
    <t xml:space="preserve">Inpatient cost per visit for AIDS related opportunistic infection Females</t>
  </si>
  <si>
    <t xml:space="preserve">Inpatient cost per visit for AIDS related opportunistic infection &lt;29</t>
  </si>
  <si>
    <t xml:space="preserve">Inpatient cost per visit for AIDS related opportunistic infection 30-39</t>
  </si>
  <si>
    <t xml:space="preserve">Inpatient cost per visit for AIDS related opportunistic infection 40-49</t>
  </si>
  <si>
    <t xml:space="preserve">Inpatient cost per visit for AIDS related opportunistic infection &gt;50</t>
  </si>
  <si>
    <t xml:space="preserve">Examination </t>
  </si>
  <si>
    <t xml:space="preserve">Laboratory Test</t>
  </si>
  <si>
    <t xml:space="preserve">Medicine</t>
  </si>
  <si>
    <t xml:space="preserve">Diagnosis and treatment</t>
  </si>
  <si>
    <t xml:space="preserve">Nursing</t>
  </si>
  <si>
    <t xml:space="preserve">Bed</t>
  </si>
  <si>
    <t xml:space="preserve">Neurologic Diseases</t>
  </si>
  <si>
    <t xml:space="preserve">Respiratory Diseases</t>
  </si>
  <si>
    <t xml:space="preserve">Digestive System Diseases</t>
  </si>
  <si>
    <t xml:space="preserve">Skin and Mucous Membrane Diseases</t>
  </si>
  <si>
    <t xml:space="preserve">http://www.medscape.com/viewarticle/544519</t>
  </si>
  <si>
    <t xml:space="preserve">Brief Communication: Economic Comparison of Opportunistic Infection Management With Antiretroviral Treatment in People Living With HIV/AIDS Presenting at an NGO Clinic in Bangalore, India</t>
  </si>
  <si>
    <t xml:space="preserve">2005 currency</t>
  </si>
  <si>
    <t xml:space="preserve">Direct Medical Costs + Nonmedical Costs per patient per year managing OI</t>
  </si>
  <si>
    <t xml:space="preserve">USD</t>
  </si>
  <si>
    <t xml:space="preserve">HAART group: Direct Medical Costs + Nonmedical Costs per patient per year</t>
  </si>
  <si>
    <t xml:space="preserve">DMC plus NMC pppy in the OI arm: paid by NGOs</t>
  </si>
  <si>
    <t xml:space="preserve">Rs</t>
  </si>
  <si>
    <t xml:space="preserve">DMC plus NMC pppy in the OI arm: paid by PLHA</t>
  </si>
  <si>
    <t xml:space="preserve">DMC and NMC pppy in the HAART arm: paid by NGOs</t>
  </si>
  <si>
    <t xml:space="preserve">DMC and NMC pppy in the HAART arm: paid by PLHA</t>
  </si>
  <si>
    <t xml:space="preserve">http://www.ncbi.nlm.nih.gov/pmc/articles/PMC1466910/</t>
  </si>
  <si>
    <t xml:space="preserve">Prevalence of Primary HIV Infection in Symptomatic Ambulatory Patients</t>
  </si>
  <si>
    <t xml:space="preserve">Ninety percent of the estimated 40,000 new HIV infections in the United States each year are associated with the acute HIV syndrome.1,2 </t>
  </si>
  <si>
    <t xml:space="preserve">One to 4 weeks after infection, patients with the acute HIV syndrome experience symptoms of a viral illness, such as fever, fatigue, pharyngitis, myalgias, rash, and weight loss, as well as other non-specific symptoms.1–5 </t>
  </si>
  <si>
    <t xml:space="preserve">Most of these patients seek medical care, but seldom do they have primary HIV infection diagnosed.1,2,6</t>
  </si>
  <si>
    <t xml:space="preserve">Note: Symptoms reported by more than 25% of patients in Schacker et al,2 Hecht et al,4 and Daar et al.5</t>
  </si>
  <si>
    <t xml:space="preserve">http://www.ncbi.nlm.nih.gov/pubmed/8678387</t>
  </si>
  <si>
    <t xml:space="preserve">89% of people with HIV developed acute retroviral syndrome</t>
  </si>
  <si>
    <t xml:space="preserve">Clinical and epidemiologic features of primary HIV infection.</t>
  </si>
  <si>
    <t xml:space="preserve">https://www.aids.gov/hiv-aids-basics/just-diagnosed-with-hiv-aids/hiv-in-your-body/stages-of-hiv/</t>
  </si>
  <si>
    <t xml:space="preserve">Acute HIV</t>
  </si>
  <si>
    <t xml:space="preserve">2-4 weeks after HIV infection; acute retroviral syndrome/primary HIV infection</t>
  </si>
  <si>
    <t xml:space="preserve">high risk of HIV transmission</t>
  </si>
  <si>
    <t xml:space="preserve">CD4 count goes down until a viral set point, and then begins to increase (not up to pre-infection levels, though)</t>
  </si>
  <si>
    <t xml:space="preserve">Clinical latency stage/Asymptomatic HIV infection/chronic HIV infection</t>
  </si>
  <si>
    <t xml:space="preserve">people who are infected experience NO symptoms (or only mild ones)</t>
  </si>
  <si>
    <t xml:space="preserve">if you are on ART, you can live at this stage for several decades</t>
  </si>
  <si>
    <t xml:space="preserve">without ART, clinical latency lasts an average of 10 years</t>
  </si>
  <si>
    <t xml:space="preserve">People in this symptom-free stage are still able to pass HIV on to others, although ART greatly reduces transmission</t>
  </si>
  <si>
    <t xml:space="preserve">AIDS</t>
  </si>
  <si>
    <t xml:space="preserve">when immune system is badly damaged and you become vulnerable to OI</t>
  </si>
  <si>
    <t xml:space="preserve">CD4&lt;200 or development of one or more opportunistic infections regarless of CD4 count</t>
  </si>
  <si>
    <t xml:space="preserve">withut treatment, people who progess to AIDS survive about 3 years</t>
  </si>
  <si>
    <t xml:space="preserve">Once you have a dangerous OI with AIDS, life expectancy without treatment is 1 year</t>
  </si>
  <si>
    <t xml:space="preserve">if you are taking ART and maintain low viral load, you experience a normal life xpan and will "most likely" never progress to AIDS</t>
  </si>
  <si>
    <t xml:space="preserve">Annual ART cost</t>
  </si>
  <si>
    <t xml:space="preserve">Terminal care cost</t>
  </si>
  <si>
    <t xml:space="preserve">Note: Have added dummy values for last row in India and last two rows in US</t>
  </si>
  <si>
    <t xml:space="preserve">Costs in USD</t>
  </si>
  <si>
    <t xml:space="preserve">PEPFAR clinics</t>
  </si>
  <si>
    <t xml:space="preserve">High Income, Dev.</t>
  </si>
  <si>
    <t xml:space="preserve">Global Fund Countries</t>
  </si>
  <si>
    <t xml:space="preserve">Latin Am. &amp; Carr.</t>
  </si>
  <si>
    <t xml:space="preserve">Australia (Au$)</t>
  </si>
  <si>
    <t xml:space="preserve">Canada (Canadian dollars)</t>
  </si>
  <si>
    <t xml:space="preserve">Botswana, Ethiopia, Nigeria, Uganda, Viet Nam</t>
  </si>
  <si>
    <t xml:space="preserve">UK</t>
  </si>
  <si>
    <t xml:space="preserve">(general)</t>
  </si>
  <si>
    <t xml:space="preserve">Cote d'Ivoire</t>
  </si>
  <si>
    <t xml:space="preserve">HIV test </t>
  </si>
  <si>
    <t xml:space="preserve">4.5 (3-13.50)- antibody</t>
  </si>
  <si>
    <t xml:space="preserve">7.74-8.13</t>
  </si>
  <si>
    <t xml:space="preserve">110 (132-88)- western blot</t>
  </si>
  <si>
    <t xml:space="preserve">63 (76-51)- T cell test</t>
  </si>
  <si>
    <t xml:space="preserve">18 (21,14)- CMV antibody test</t>
  </si>
  <si>
    <t xml:space="preserve">176 (211,141)</t>
  </si>
  <si>
    <t xml:space="preserve">20-100</t>
  </si>
  <si>
    <t xml:space="preserve">41.56-96.33</t>
  </si>
  <si>
    <t xml:space="preserve">Annual ART cost (ARVs only)- first line drugs</t>
  </si>
  <si>
    <t xml:space="preserve">13300-24988</t>
  </si>
  <si>
    <t xml:space="preserve">337.59-800.69</t>
  </si>
  <si>
    <t xml:space="preserve">46.2-130.3</t>
  </si>
  <si>
    <t xml:space="preserve">3809.4- 6024.4</t>
  </si>
  <si>
    <t xml:space="preserve">8930-11610</t>
  </si>
  <si>
    <t xml:space="preserve">103.9-271.7</t>
  </si>
  <si>
    <t xml:space="preserve">13668-40,056</t>
  </si>
  <si>
    <t xml:space="preserve">610.8-741.7</t>
  </si>
  <si>
    <t xml:space="preserve">751.6 [OI treatment/care]</t>
  </si>
  <si>
    <t xml:space="preserve">15737-25200</t>
  </si>
  <si>
    <t xml:space="preserve">2935.7 yuan</t>
  </si>
  <si>
    <t xml:space="preserve">http://www.aidsdatahub.org/sites/default/files/documents/Responding_to_HIV_in_Afghanistan.pdf.pdf</t>
  </si>
  <si>
    <t xml:space="preserve">BELGIUM</t>
  </si>
  <si>
    <t xml:space="preserve">http://download.springer.com/static/pdf/682/art%253A10.2165%252F11587500-000000000-00000.pdf?originUrl=http%3A%2F%2Flink.springer.com%2Farticle%2F10.2165%2F11587500-000000000-00000&amp;token2=exp=1456537651~acl=%2Fstatic%2Fpdf%2F682%2Fart%25253A10.2165%25252F11587500-000000000-00000.pdf%3ForiginUrl%3Dhttp%253A%252F%252Flink.springer.com%252Farticle%252F10.2165%252F11587500-000000000-00000*~hmac=24c59607df1749110edd3d12df3dadc959cbe37ea7a2e4ddba435142a6a3c73f</t>
  </si>
  <si>
    <t xml:space="preserve">Average private health care costs, excepting final year of life</t>
  </si>
  <si>
    <t xml:space="preserve">US$60</t>
  </si>
  <si>
    <t xml:space="preserve"># CD4 cells</t>
  </si>
  <si>
    <t xml:space="preserve">non ARV costs (in euros)</t>
  </si>
  <si>
    <t xml:space="preserve">Average public health care costs, excepting final year of life</t>
  </si>
  <si>
    <t xml:space="preserve">&gt;500 CD4s</t>
  </si>
  <si>
    <t xml:space="preserve">Opportunistic infections (CANADA $)</t>
  </si>
  <si>
    <t xml:space="preserve">Estimated cost</t>
  </si>
  <si>
    <t xml:space="preserve">Incidence (range is based on diff samples tested that were on diff drug regimens)</t>
  </si>
  <si>
    <t xml:space="preserve">&gt;500 CD4s: 1225</t>
  </si>
  <si>
    <t xml:space="preserve">Average public health care costs in final year of life </t>
  </si>
  <si>
    <t xml:space="preserve">US$420</t>
  </si>
  <si>
    <t xml:space="preserve">351-500 </t>
  </si>
  <si>
    <t xml:space="preserve">Caniddiasis, oesophageal</t>
  </si>
  <si>
    <t xml:space="preserve">0-2.2%</t>
  </si>
  <si>
    <t xml:space="preserve">351-500 CD4s: 1225</t>
  </si>
  <si>
    <t xml:space="preserve">201-350 </t>
  </si>
  <si>
    <t xml:space="preserve">Cryptococcosis</t>
  </si>
  <si>
    <t xml:space="preserve">0.4-0.9%</t>
  </si>
  <si>
    <t xml:space="preserve">201-350 CD4s: 1225</t>
  </si>
  <si>
    <t xml:space="preserve">Ave monthly expenditure for sick adult presenting to a health facility</t>
  </si>
  <si>
    <t xml:space="preserve">US$20</t>
  </si>
  <si>
    <t xml:space="preserve">101-200 </t>
  </si>
  <si>
    <t xml:space="preserve">CMV</t>
  </si>
  <si>
    <t xml:space="preserve">0-2.6%</t>
  </si>
  <si>
    <t xml:space="preserve">101-200 CD4s: 3066</t>
  </si>
  <si>
    <t xml:space="preserve">51-100 </t>
  </si>
  <si>
    <t xml:space="preserve">HIV dementia</t>
  </si>
  <si>
    <t xml:space="preserve">0.9-1.3%</t>
  </si>
  <si>
    <t xml:space="preserve">51-100 CD4s: 3066</t>
  </si>
  <si>
    <t xml:space="preserve">0-50 </t>
  </si>
  <si>
    <t xml:space="preserve">Kaposi's sarcoma</t>
  </si>
  <si>
    <t xml:space="preserve">0-3.2%</t>
  </si>
  <si>
    <t xml:space="preserve">0-50 CD4s: 5663</t>
  </si>
  <si>
    <t xml:space="preserve">Lymphoma</t>
  </si>
  <si>
    <t xml:space="preserve">0-0.6%</t>
  </si>
  <si>
    <t xml:space="preserve">MAC</t>
  </si>
  <si>
    <t xml:space="preserve">0-1.7%</t>
  </si>
  <si>
    <t xml:space="preserve">PCP</t>
  </si>
  <si>
    <t xml:space="preserve">0.4-3.0%</t>
  </si>
  <si>
    <t xml:space="preserve">Montthly Probability of Opportunistic Infections and of Chronic AIDS Death</t>
  </si>
  <si>
    <t xml:space="preserve">CD4 cell count, per mL</t>
  </si>
  <si>
    <t xml:space="preserve">Toxoplasmosis, cerebral</t>
  </si>
  <si>
    <t xml:space="preserve">0-0.4%</t>
  </si>
  <si>
    <t xml:space="preserve">(not country specific)</t>
  </si>
  <si>
    <t xml:space="preserve">0-50</t>
  </si>
  <si>
    <t xml:space="preserve">51-100</t>
  </si>
  <si>
    <t xml:space="preserve">101-200</t>
  </si>
  <si>
    <t xml:space="preserve">201-300</t>
  </si>
  <si>
    <t xml:space="preserve">301-500</t>
  </si>
  <si>
    <t xml:space="preserve">&gt;500</t>
  </si>
  <si>
    <t xml:space="preserve">0-0.9%</t>
  </si>
  <si>
    <t xml:space="preserve">http://archinte.jamanetwork.com/article.aspx?articleid=214173&amp;resultclick=1</t>
  </si>
  <si>
    <t xml:space="preserve">Wasting syndrome</t>
  </si>
  <si>
    <t xml:space="preserve">0-2.8%</t>
  </si>
  <si>
    <t xml:space="preserve">Pneumocystis carinii pneumonia</t>
  </si>
  <si>
    <t xml:space="preserve">91 (ERA-III: triple drug combination therapy with protease inhibitor or non-nucleoside reverse transcriptase inhibitor)</t>
  </si>
  <si>
    <t xml:space="preserve">Mycobacterium avium complex</t>
  </si>
  <si>
    <t xml:space="preserve">Toxoplasmosis</t>
  </si>
  <si>
    <t xml:space="preserve">Cytomegalovirus</t>
  </si>
  <si>
    <t xml:space="preserve">Fungal infections</t>
  </si>
  <si>
    <t xml:space="preserve">Ohter infections (include bacterial, TB, Kaposi sarcoma)</t>
  </si>
  <si>
    <t xml:space="preserve">Chronic AIDS death</t>
  </si>
  <si>
    <t xml:space="preserve">INCIDENCE (15-49)</t>
  </si>
  <si>
    <t xml:space="preserve">&lt;0.01</t>
  </si>
  <si>
    <t xml:space="preserve">Estimated # of new infections (15-49) / population (15-49)</t>
  </si>
  <si>
    <t xml:space="preserve">Est. PLHIV / Population 15-49</t>
  </si>
  <si>
    <t xml:space="preserve">Reported /pD</t>
  </si>
  <si>
    <t xml:space="preserve">Est # of new infections (total) / population (ages 15-49)</t>
  </si>
  <si>
    <t xml:space="preserve">Reorted # of new infections (total) / population (ages 15-49) / pD</t>
  </si>
  <si>
    <t xml:space="preserve">Reported # HIV cases/ Population (15-64)</t>
  </si>
  <si>
    <t xml:space="preserve">Reported / pD</t>
  </si>
  <si>
    <t xml:space="preserve"># positive HIV test reports by year of diagnosis (total) / population (ages 15-49)</t>
  </si>
  <si>
    <t xml:space="preserve">Estimated # new HIV cases (total) / population (ages 15-64)</t>
  </si>
  <si>
    <t xml:space="preserve">MDG</t>
  </si>
  <si>
    <t xml:space="preserve">Reported # of new infections (total) / population (ages 15-49) / pD</t>
  </si>
  <si>
    <t xml:space="preserve">aidsinfo</t>
  </si>
  <si>
    <t xml:space="preserve">Estimated # of new infections (total) / population (ages 15-49)</t>
  </si>
  <si>
    <t xml:space="preserve">Reported new cases / pop  15-49 / pD</t>
  </si>
  <si>
    <t xml:space="preserve">Reported # new cases / Population (15-49) / pD</t>
  </si>
  <si>
    <t xml:space="preserve">Reported new HIV cases/population (15-49)/pD</t>
  </si>
  <si>
    <t xml:space="preserve">Reported # of new infections (total) / population (ages 15-49) /pD</t>
  </si>
  <si>
    <t xml:space="preserve">Reported # of new infections (total) / population (ages 15-49)/pD</t>
  </si>
  <si>
    <t xml:space="preserve">Russian citizens only</t>
  </si>
  <si>
    <t xml:space="preserve">Estimated # of new infections / population (ages 15-49)</t>
  </si>
  <si>
    <t xml:space="preserve">Reported # of new infections (total) / population (ages 15-49)</t>
  </si>
  <si>
    <t xml:space="preserve">http://www.unaids.org/sites/default/files/country/documents//TUN_narrative_report_2014.pdf</t>
  </si>
  <si>
    <t xml:space="preserve">Estimated # of new infections (15-49) / population (ages 15-49)</t>
  </si>
  <si>
    <t xml:space="preserve">New diagnoses per 100,000 / (1000 * # of categories ) (ages 15-49)</t>
  </si>
  <si>
    <t xml:space="preserve">http://www.unaids.org/sites/default/files/country/documents//YEM_narrative_report_2014.pdf</t>
  </si>
  <si>
    <t xml:space="preserve">http://www.aidsdatahub.org/Country-Profiles/Afghanistan</t>
  </si>
  <si>
    <t xml:space="preserve">http://www.unaids.org/sites/default/files/country/documents/DZA_narrative_report_2015.pdf</t>
  </si>
  <si>
    <t xml:space="preserve">http://www.nelp-hiv.org/countries/AT</t>
  </si>
  <si>
    <t xml:space="preserve">http://www.aidsdatahub.org/Country-Profiles/Bangladesh</t>
  </si>
  <si>
    <t xml:space="preserve">http://www.euro.who.int/__data/assets/pdf_file/0007/293623/HIV-AIDS-Surveillance-Report-Europe-2014-en.pdf?ua=1</t>
  </si>
  <si>
    <t xml:space="preserve">http://www.aidsdatahub.org/Country-Profiles/Bhutan</t>
  </si>
  <si>
    <t xml:space="preserve">http://www.phac-aspc.gc.ca/aids-sida/publication/survreport/2012/dec/assets/longdesc/fig-ld-eng.php#fig1</t>
  </si>
  <si>
    <t xml:space="preserve">http://www.ncbi.nlm.nih.gov/pmc/articles/PMC4730421/pdf/ijerph-13-00030.pdf</t>
  </si>
  <si>
    <t xml:space="preserve">http://www.wac-egypt.org/en/hivaids-info/hiv-in-egypt/</t>
  </si>
  <si>
    <t xml:space="preserve">http://www.aidsdatahub.org/Country-Profiles/Lao-PDR</t>
  </si>
  <si>
    <t xml:space="preserve">http://www.dailystar.com.lb/News/Lebanon-News/2014/Dec-02/279570-around-3750-hivaids-cases-in-lebanon.ashx</t>
  </si>
  <si>
    <t xml:space="preserve">http://www.unaids.org/sites/default/files/country/documents//file,94669,es..pdf</t>
  </si>
  <si>
    <t xml:space="preserve">Est. new HIV 15+ / Population (15-49)</t>
  </si>
  <si>
    <t xml:space="preserve">http://dnmeds.otago.ac.nz/departments/psm/research/aids/newsletters.html</t>
  </si>
  <si>
    <t xml:space="preserve">new HIV infections 15+ / Population (15-49)</t>
  </si>
  <si>
    <t xml:space="preserve">http://www.aidsdatahub.org/Country-Profiles/Philippines</t>
  </si>
  <si>
    <t xml:space="preserve">Reported PLHIV/ pop 15-49/pD</t>
  </si>
  <si>
    <t xml:space="preserve">http://www.aidsdatahub.org/Country-Profiles/Sri-Lanka</t>
  </si>
  <si>
    <t xml:space="preserve">https://books.google.com/books?id=sKSnCwAAQBAJ&amp;pg=PA16&amp;lpg=PA16&amp;dq=sweden+aids+death&amp;source=bl&amp;ots=MdfJ0ji7U5&amp;sig=vt4FhcF5HLYdQ0Deob0d-HBg1w0&amp;hl=en&amp;sa=X&amp;ved=0ahUKEwiWlaij7dzNAhUFGD4KHeVLB444ChDoAQg0MAQ#v=onepage&amp;q=sweden%20aids%20death&amp;f=false</t>
  </si>
  <si>
    <t xml:space="preserve">http://www.unaids.org/sites/default/files/country/documents/TLS_narrative_report_2015.pdf</t>
  </si>
  <si>
    <t xml:space="preserve">Reported # new HIV infections / Pop 15-49 / pD</t>
  </si>
  <si>
    <t xml:space="preserve">CDC</t>
  </si>
  <si>
    <t xml:space="preserve">Reported # new HIV infections / Pop 15-49 /pD</t>
  </si>
  <si>
    <t xml:space="preserve">http://www.unaids.org/sites/default/files/country/documents//ce_AT_Narrative_Report.pdf</t>
  </si>
  <si>
    <t xml:space="preserve">http://english.ahram.org.eg/NewsContent/7/48/139780/Life--Style/Health/INTERVIEW-HIVAIDS-in-Egypt-Facts,-numbers-and-chal.aspx</t>
  </si>
  <si>
    <t xml:space="preserve">pD</t>
  </si>
  <si>
    <t xml:space="preserve">http://www.unaids.org/sites/default/files/country/documents//LBN_narrative_report_2014.pdf</t>
  </si>
  <si>
    <t xml:space="preserve">http://www.emro.who.int/lbn/programmes/hiv-aids.html</t>
  </si>
  <si>
    <t xml:space="preserve">PREVALENCE (15-49)</t>
  </si>
  <si>
    <t xml:space="preserve">&lt;0.1</t>
  </si>
  <si>
    <t xml:space="preserve">*1.385</t>
  </si>
  <si>
    <t xml:space="preserve">0.0657*</t>
  </si>
  <si>
    <t xml:space="preserve">Estimated PLHIV (total) / Population (total)</t>
  </si>
  <si>
    <t xml:space="preserve">UNAIDS 2013 GR Report Estimates</t>
  </si>
  <si>
    <t xml:space="preserve">Estimated PLHIV (adult) / Population (15-49)</t>
  </si>
  <si>
    <t xml:space="preserve">Estimated PLHIV (total) / Population (15-49)</t>
  </si>
  <si>
    <t xml:space="preserve">World Factbook</t>
  </si>
  <si>
    <t xml:space="preserve">UNAIDS GR 2013 Estimates</t>
  </si>
  <si>
    <t xml:space="preserve">Estimated # HIV infections (total) / Population (15-49)</t>
  </si>
  <si>
    <t xml:space="preserve">[http://www.unaids.org/sites/default/files/country/documents/CHN_narrative_report_2015.pdf] (2013, 2015)</t>
  </si>
  <si>
    <t xml:space="preserve">WHO</t>
  </si>
  <si>
    <t xml:space="preserve">UNAIDS 2013 GR HIV Estimates</t>
  </si>
  <si>
    <t xml:space="preserve">UNAIDS HIV Estimates GR 2013</t>
  </si>
  <si>
    <t xml:space="preserve">http://www.aidsmap.com/Australia-performs-best-in-HIV-treatment-cascade-62-with-undetectable-viral-load/page/2919074/</t>
  </si>
  <si>
    <t xml:space="preserve">Estimated mid point of UNAIDs 2013 global report est.</t>
  </si>
  <si>
    <t xml:space="preserve">Reported # HIV cases (total) / Population (15-49)</t>
  </si>
  <si>
    <t xml:space="preserve">UNAIDS 2013 GR HIV estimates</t>
  </si>
  <si>
    <t xml:space="preserve">Projected PLHIV / Population (15-49)</t>
  </si>
  <si>
    <t xml:space="preserve">http://www.unaids.org/sites/default/files/country/documents/file,68394,es..pdf</t>
  </si>
  <si>
    <t xml:space="preserve">Estimated # PLHIV (total) / Population (15-49)</t>
  </si>
  <si>
    <t xml:space="preserve">UNAIDS 2013 GR Estimates</t>
  </si>
  <si>
    <t xml:space="preserve">Estimated # PLHIV (15-49) / Population (15-49)</t>
  </si>
  <si>
    <t xml:space="preserve">http://www.unaids.org/sites/default/files/country/documents/AFG_narrative_report_2014.pdf </t>
  </si>
  <si>
    <t xml:space="preserve">PLHIV 15+ / population 15-49</t>
  </si>
  <si>
    <t xml:space="preserve">http://www.phac-aspc.gc.ca/aids-sida/publication/epi/2010/1-eng.php#a0502</t>
  </si>
  <si>
    <t xml:space="preserve">(http://www.ncbi.nlm.nih.gov/pmc/articles/PMC4730421/pdf/ijerph-13-00030.pdf)  These are 0.05, 0.054, 0.057, 0.058, 0.06</t>
  </si>
  <si>
    <t xml:space="preserve">PLHIV 15+/ Population 15-49</t>
  </si>
  <si>
    <t xml:space="preserve">https://www.cia.gov/library/publications/the-world-factbook/rankorder/2155rank.html</t>
  </si>
  <si>
    <t xml:space="preserve">http://dnmeds.otago.ac.nz/departments/psm/research/aids/pdf/75%20AIDS-NZ%20May%202016.pdf</t>
  </si>
  <si>
    <t xml:space="preserve">http://www.unaids.org/sites/default/files/country/documents//PHL_narrative_report_2014.pdf</t>
  </si>
  <si>
    <t xml:space="preserve">*Estimated</t>
  </si>
  <si>
    <t xml:space="preserve">http://www.unaids.org/sites/default/files/country/documents/LKA_narrative_report_2016.pdf</t>
  </si>
  <si>
    <t xml:space="preserve">http://www.hivpolicy.org/Library/HPP000476.pdf</t>
  </si>
  <si>
    <t xml:space="preserve">https://www.gov.uk/government/uploads/system/uploads/attachment_data/file/335452/HIV_annual_report_2012.pdf</t>
  </si>
  <si>
    <t xml:space="preserve">http://databank.worldbank.org/data/reports.aspx?source=Health%20Nutrition%20and%20Population%20Statistics:%20Population%20estimates%20and%20projections#</t>
  </si>
  <si>
    <t xml:space="preserve">http://www.catie.ca/sites/default/files/2014-HIV-Estimates-in-Canada-EN.pdf</t>
  </si>
  <si>
    <t xml:space="preserve">(Estimated PLHIV (total) / Population (15-49) )</t>
  </si>
  <si>
    <t xml:space="preserve">http://www.unaids.org/sites/default/files/country/documents/MNG_narrative_report_2015.pdf</t>
  </si>
  <si>
    <t xml:space="preserve">PAHO WHO</t>
  </si>
  <si>
    <t xml:space="preserve">http://www.aidscontrol.gov.lk/web/index.php/statistics/hiv</t>
  </si>
  <si>
    <t xml:space="preserve">*Consider removing.</t>
  </si>
  <si>
    <t xml:space="preserve">http://www.ecoi.net/file_upload/1329_1217946151_efs2008-nz.pdf</t>
  </si>
  <si>
    <t xml:space="preserve">plhiv</t>
  </si>
  <si>
    <t xml:space="preserve">china pop total</t>
  </si>
  <si>
    <t xml:space="preserve">AIDS MORTALITY 15+</t>
  </si>
  <si>
    <t xml:space="preserve">&lt;100</t>
  </si>
  <si>
    <t xml:space="preserve">&lt;1000</t>
  </si>
  <si>
    <t xml:space="preserve">&lt;500</t>
  </si>
  <si>
    <t xml:space="preserve">&lt;200</t>
  </si>
  <si>
    <t xml:space="preserve">1500*</t>
  </si>
  <si>
    <t xml:space="preserve">580*</t>
  </si>
  <si>
    <t xml:space="preserve">http://www.unaids.org/sites/default/files/country/documents/BEL_narrative_report_2014.pdf</t>
  </si>
  <si>
    <t xml:space="preserve">Reported</t>
  </si>
  <si>
    <t xml:space="preserve">http://healthycanadians.gc.ca/publications/diseases-conditions-maladies-affections/hiv-aids-surveillance-2014-vih-sida/alt/hiv-aids-surveillance-2014-vih-sida-eng.pdf</t>
  </si>
  <si>
    <t xml:space="preserve">UNAIDS GR 2013 HIV Estimates</t>
  </si>
  <si>
    <t xml:space="preserve">http://www.euro.who.int/__data/assets/pdf_file/0009/127656/e94500.pdf</t>
  </si>
  <si>
    <t xml:space="preserve">UNAIDS GR 2013 Report</t>
  </si>
  <si>
    <t xml:space="preserve">Reported AIDS deaths</t>
  </si>
  <si>
    <t xml:space="preserve">http://www.unaids.org/sites/default/files/country/documents/LAO_narrative_report_2016.pdf</t>
  </si>
  <si>
    <t xml:space="preserve">http://dnmeds.otago.ac.nz/departments/psm/research/aids/pdf/73_AIDS-NZ_June_2014.pdf</t>
  </si>
  <si>
    <t xml:space="preserve">Reported Mortality</t>
  </si>
  <si>
    <t xml:space="preserve"># of deaths attributed to HIV infection among adults</t>
  </si>
  <si>
    <t xml:space="preserve">Reported # of all cause deaths of people living with HIV/AIDs </t>
  </si>
  <si>
    <t xml:space="preserve">*Reported</t>
  </si>
  <si>
    <t xml:space="preserve">http://www.unaids.org/sites/default/files/country/documents/ETH_narrative_report_2014.pdf</t>
  </si>
  <si>
    <t xml:space="preserve">*http://www.ncbi.nlm.nih.gov/pmc/articles/PMC4493077/</t>
  </si>
  <si>
    <t xml:space="preserve">http://bmjopen.bmj.com/content/3/7/e003078.full.pdf+html</t>
  </si>
  <si>
    <t xml:space="preserve">*Rate per 100,000</t>
  </si>
  <si>
    <t xml:space="preserve">https://www.census.gov/population/international/files/hiv/ethiopia08.pdf</t>
  </si>
  <si>
    <t xml:space="preserve">http://www.pepfar.gov/countries/ethiopia/</t>
  </si>
  <si>
    <t xml:space="preserve">p. 59</t>
  </si>
  <si>
    <t xml:space="preserve">p. 73</t>
  </si>
  <si>
    <t xml:space="preserve">p.3</t>
  </si>
  <si>
    <t xml:space="preserve">p. 50</t>
  </si>
  <si>
    <t xml:space="preserve">p. 62</t>
  </si>
  <si>
    <t xml:space="preserve">*Est. new AIDS cases=63721 (2008)</t>
  </si>
  <si>
    <t xml:space="preserve">p. 18</t>
  </si>
  <si>
    <t xml:space="preserve">US</t>
  </si>
  <si>
    <t xml:space="preserve"># people living with AIDS</t>
  </si>
  <si>
    <t xml:space="preserve"># reported AIDS cases by year of diagnosis (all ages)</t>
  </si>
  <si>
    <t xml:space="preserve">Case reports of # people living with AIDs</t>
  </si>
  <si>
    <t xml:space="preserve">AIDS (incidence?)</t>
  </si>
  <si>
    <t xml:space="preserve">Reported people diagnosed with AIDS</t>
  </si>
  <si>
    <t xml:space="preserve">AIDS diagnoses</t>
  </si>
  <si>
    <t xml:space="preserve">Incidence of AIDS rate per 100,000</t>
  </si>
  <si>
    <t xml:space="preserve">AIDS deaths</t>
  </si>
  <si>
    <t xml:space="preserve">AIDS diagnoses per year</t>
  </si>
  <si>
    <t xml:space="preserve">* 430 estimated total people living with AIDS</t>
  </si>
  <si>
    <t xml:space="preserve">http://www.ynetnews.com/articles/0,7340,L-4305515,00.html</t>
  </si>
  <si>
    <t xml:space="preserve">egypt</t>
  </si>
  <si>
    <t xml:space="preserve">AIDS death</t>
  </si>
  <si>
    <t xml:space="preserve">Inc</t>
  </si>
  <si>
    <t xml:space="preserve">Prev</t>
  </si>
  <si>
    <t xml:space="preserve">beta</t>
  </si>
  <si>
    <t xml:space="preserve">incidence</t>
  </si>
  <si>
    <t xml:space="preserve">prev</t>
  </si>
  <si>
    <t xml:space="preserve">est new infections 15+</t>
  </si>
  <si>
    <t xml:space="preserve">incidence (estimated)</t>
  </si>
  <si>
    <t xml:space="preserve">15-19</t>
  </si>
  <si>
    <t xml:space="preserve">20-24</t>
  </si>
  <si>
    <t xml:space="preserve">25-29</t>
  </si>
  <si>
    <t xml:space="preserve">30-34</t>
  </si>
  <si>
    <t xml:space="preserve">35-39</t>
  </si>
  <si>
    <t xml:space="preserve">new egypt</t>
  </si>
  <si>
    <t xml:space="preserve">40-44</t>
  </si>
  <si>
    <t xml:space="preserve">45-49</t>
  </si>
  <si>
    <t xml:space="preserve">est PLHIV 15+</t>
  </si>
  <si>
    <t xml:space="preserve">prevalence (estimated)</t>
  </si>
  <si>
    <t xml:space="preserve">AIDS cases by year of diagnosis</t>
  </si>
  <si>
    <t xml:space="preserve">POPULATION (15-49)</t>
  </si>
  <si>
    <t xml:space="preserve">Finland</t>
  </si>
  <si>
    <t xml:space="preserve">Guinea-Bissau</t>
  </si>
  <si>
    <t xml:space="preserve">http://www.census.gov/cgi-bin/broker</t>
  </si>
  <si>
    <t xml:space="preserve">Parameters</t>
  </si>
  <si>
    <t xml:space="preserve">Comoros</t>
  </si>
  <si>
    <t xml:space="preserve">Congo, Republic</t>
  </si>
  <si>
    <t xml:space="preserve">Birth rate (b)</t>
  </si>
  <si>
    <t xml:space="preserve">Death rate (mu)</t>
  </si>
  <si>
    <t xml:space="preserve">Rate of diagnosis (delta)</t>
  </si>
  <si>
    <t xml:space="preserve">Rate of getting AIDS  (sigma)</t>
  </si>
  <si>
    <t xml:space="preserve">Rate of viral suppression (gamma)</t>
  </si>
  <si>
    <t xml:space="preserve">Reduction life years for treated HIV+ (rly)</t>
  </si>
  <si>
    <t xml:space="preserve">Transmission probability in acute phase (tau_A)</t>
  </si>
  <si>
    <t xml:space="preserve">Transmission probability after acute phase (tau_U)</t>
  </si>
  <si>
    <t xml:space="preserve">Proportional reduction of transmission if on treatment (epsilon)</t>
  </si>
  <si>
    <t xml:space="preserve">Partners per year (c)</t>
  </si>
  <si>
    <t xml:space="preserve">Sex acts per year (n)</t>
  </si>
</sst>
</file>

<file path=xl/styles.xml><?xml version="1.0" encoding="utf-8"?>
<styleSheet xmlns="http://schemas.openxmlformats.org/spreadsheetml/2006/main">
  <numFmts count="9">
    <numFmt numFmtId="164" formatCode="General"/>
    <numFmt numFmtId="165" formatCode="0.00E+00"/>
    <numFmt numFmtId="166" formatCode="0%"/>
    <numFmt numFmtId="167" formatCode="0.00%"/>
    <numFmt numFmtId="168" formatCode="#,##0"/>
    <numFmt numFmtId="169" formatCode="#,##0.00"/>
    <numFmt numFmtId="170" formatCode="0"/>
    <numFmt numFmtId="171" formatCode="\$#,##0"/>
    <numFmt numFmtId="172" formatCode="\$#,##0.00"/>
  </numFmts>
  <fonts count="38">
    <font>
      <sz val="10"/>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u val="single"/>
      <sz val="11"/>
      <color rgb="FF0000FF"/>
      <name val="Cambria"/>
      <family val="0"/>
      <charset val="1"/>
    </font>
    <font>
      <sz val="11"/>
      <name val="Cambria"/>
      <family val="0"/>
      <charset val="1"/>
    </font>
    <font>
      <b val="true"/>
      <sz val="11"/>
      <name val="Calibri"/>
      <family val="0"/>
      <charset val="1"/>
    </font>
    <font>
      <sz val="11"/>
      <name val="Calibri"/>
      <family val="0"/>
      <charset val="1"/>
    </font>
    <font>
      <sz val="11"/>
      <color rgb="FFE69138"/>
      <name val="Calibri"/>
      <family val="0"/>
      <charset val="1"/>
    </font>
    <font>
      <sz val="11"/>
      <color rgb="FFFF0000"/>
      <name val="Calibri"/>
      <family val="0"/>
      <charset val="1"/>
    </font>
    <font>
      <sz val="11"/>
      <color rgb="FF000000"/>
      <name val="Cambria"/>
      <family val="0"/>
      <charset val="1"/>
    </font>
    <font>
      <u val="single"/>
      <sz val="11"/>
      <color rgb="FF0000FF"/>
      <name val="Calibri"/>
      <family val="0"/>
      <charset val="1"/>
    </font>
    <font>
      <u val="single"/>
      <sz val="11"/>
      <color rgb="FF000000"/>
      <name val="Calibri"/>
      <family val="0"/>
      <charset val="1"/>
    </font>
    <font>
      <i val="true"/>
      <sz val="11"/>
      <name val="Calibri"/>
      <family val="0"/>
      <charset val="1"/>
    </font>
    <font>
      <sz val="10"/>
      <name val="Calibri"/>
      <family val="0"/>
      <charset val="1"/>
    </font>
    <font>
      <sz val="10"/>
      <color rgb="FF000000"/>
      <name val="Calibri"/>
      <family val="0"/>
      <charset val="1"/>
    </font>
    <font>
      <sz val="11"/>
      <color rgb="FF000000"/>
      <name val="Arial"/>
      <family val="0"/>
      <charset val="1"/>
    </font>
    <font>
      <b val="true"/>
      <sz val="11"/>
      <color rgb="FF000000"/>
      <name val="Cambria"/>
      <family val="0"/>
      <charset val="1"/>
    </font>
    <font>
      <sz val="11"/>
      <color rgb="FFFF0000"/>
      <name val="Cambria"/>
      <family val="0"/>
      <charset val="1"/>
    </font>
    <font>
      <b val="true"/>
      <sz val="11"/>
      <color rgb="FF4F81BD"/>
      <name val="Cambria"/>
      <family val="0"/>
      <charset val="1"/>
    </font>
    <font>
      <b val="true"/>
      <sz val="11"/>
      <color rgb="FFFF0000"/>
      <name val="Cambria"/>
      <family val="0"/>
      <charset val="1"/>
    </font>
    <font>
      <b val="true"/>
      <sz val="11"/>
      <name val="Cambria"/>
      <family val="0"/>
      <charset val="1"/>
    </font>
    <font>
      <b val="true"/>
      <sz val="10"/>
      <color rgb="FF000000"/>
      <name val="Arial"/>
      <family val="0"/>
      <charset val="1"/>
    </font>
    <font>
      <u val="single"/>
      <sz val="10"/>
      <color rgb="FF000000"/>
      <name val="Arial"/>
      <family val="0"/>
      <charset val="1"/>
    </font>
    <font>
      <sz val="10"/>
      <color rgb="FFFF0000"/>
      <name val="Calibri"/>
      <family val="0"/>
      <charset val="1"/>
    </font>
    <font>
      <u val="single"/>
      <sz val="10"/>
      <color rgb="FF000000"/>
      <name val="Calibri"/>
      <family val="0"/>
      <charset val="1"/>
    </font>
    <font>
      <b val="true"/>
      <sz val="10"/>
      <color rgb="FFFF0000"/>
      <name val="Arial"/>
      <family val="0"/>
      <charset val="1"/>
    </font>
    <font>
      <b val="true"/>
      <sz val="11"/>
      <color rgb="FF000000"/>
      <name val="Arial"/>
      <family val="0"/>
      <charset val="1"/>
    </font>
    <font>
      <b val="true"/>
      <sz val="11"/>
      <color rgb="FF000000"/>
      <name val="Proxima_nova_ltsemibold"/>
      <family val="0"/>
      <charset val="1"/>
    </font>
    <font>
      <b val="true"/>
      <sz val="10"/>
      <color rgb="FF000000"/>
      <name val="Calibri"/>
      <family val="0"/>
      <charset val="1"/>
    </font>
    <font>
      <u val="single"/>
      <sz val="11"/>
      <color rgb="FF000000"/>
      <name val="Arial"/>
      <family val="0"/>
      <charset val="1"/>
    </font>
    <font>
      <sz val="11"/>
      <color rgb="FF222222"/>
      <name val="Calibri"/>
      <family val="0"/>
      <charset val="1"/>
    </font>
    <font>
      <u val="single"/>
      <sz val="11"/>
      <color rgb="FF1155CC"/>
      <name val="Calibri"/>
      <family val="0"/>
      <charset val="1"/>
    </font>
    <font>
      <b val="true"/>
      <sz val="11"/>
      <color rgb="FF444444"/>
      <name val="Calibri"/>
      <family val="0"/>
      <charset val="1"/>
    </font>
    <font>
      <b val="true"/>
      <sz val="11"/>
      <name val="Arial"/>
      <family val="0"/>
      <charset val="1"/>
    </font>
    <font>
      <b val="true"/>
      <sz val="11"/>
      <color rgb="FFFF0000"/>
      <name val="Arial"/>
      <family val="0"/>
      <charset val="1"/>
    </font>
  </fonts>
  <fills count="11">
    <fill>
      <patternFill patternType="none"/>
    </fill>
    <fill>
      <patternFill patternType="gray125"/>
    </fill>
    <fill>
      <patternFill patternType="solid">
        <fgColor rgb="FFFFFFFF"/>
        <bgColor rgb="FFFFF2CC"/>
      </patternFill>
    </fill>
    <fill>
      <patternFill patternType="solid">
        <fgColor rgb="FFFFFF00"/>
        <bgColor rgb="FFFFFF00"/>
      </patternFill>
    </fill>
    <fill>
      <patternFill patternType="solid">
        <fgColor rgb="FFFFF2CC"/>
        <bgColor rgb="FFFCE5CD"/>
      </patternFill>
    </fill>
    <fill>
      <patternFill patternType="solid">
        <fgColor rgb="FF00FF00"/>
        <bgColor rgb="FF33CCCC"/>
      </patternFill>
    </fill>
    <fill>
      <patternFill patternType="solid">
        <fgColor rgb="FFFFD966"/>
        <bgColor rgb="FFFFCC00"/>
      </patternFill>
    </fill>
    <fill>
      <patternFill patternType="solid">
        <fgColor rgb="FFFCE5CD"/>
        <bgColor rgb="FFFFF2CC"/>
      </patternFill>
    </fill>
    <fill>
      <patternFill patternType="solid">
        <fgColor rgb="FFB7B7B7"/>
        <bgColor rgb="FFCCCCCC"/>
      </patternFill>
    </fill>
    <fill>
      <patternFill patternType="solid">
        <fgColor rgb="FFCCCCCC"/>
        <bgColor rgb="FFB7B7B7"/>
      </patternFill>
    </fill>
    <fill>
      <patternFill patternType="solid">
        <fgColor rgb="FFFF0000"/>
        <bgColor rgb="FF993300"/>
      </patternFill>
    </fill>
  </fills>
  <borders count="4">
    <border diagonalUp="false" diagonalDown="false">
      <left/>
      <right/>
      <top/>
      <bottom/>
      <diagonal/>
    </border>
    <border diagonalUp="false" diagonalDown="false">
      <left/>
      <right/>
      <top style="thin"/>
      <bottom/>
      <diagonal/>
    </border>
    <border diagonalUp="false" diagonalDown="false">
      <left/>
      <right/>
      <top/>
      <bottom style="thin">
        <color rgb="FFE3E3E3"/>
      </bottom>
      <diagonal/>
    </border>
    <border diagonalUp="false" diagonalDown="false">
      <left/>
      <right style="thin">
        <color rgb="FFCCCCCC"/>
      </right>
      <top/>
      <bottom style="thin">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7" fontId="9"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7" fontId="17"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left" vertical="bottom" textRotation="0" wrapText="false" indent="0" shrinkToFit="false"/>
      <protection locked="true" hidden="false"/>
    </xf>
    <xf numFmtId="169" fontId="17" fillId="0" borderId="0" xfId="0" applyFont="true" applyBorder="false" applyAlignment="true" applyProtection="false">
      <alignment horizontal="left" vertical="bottom" textRotation="0" wrapText="false" indent="0" shrinkToFit="false"/>
      <protection locked="true" hidden="false"/>
    </xf>
    <xf numFmtId="169" fontId="4"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9" fontId="9" fillId="0" borderId="0" xfId="0" applyFont="true" applyBorder="false" applyAlignment="true" applyProtection="false">
      <alignment horizontal="general" vertical="bottom" textRotation="0" wrapText="false" indent="0" shrinkToFit="false"/>
      <protection locked="true" hidden="false"/>
    </xf>
    <xf numFmtId="166" fontId="18" fillId="0" borderId="0" xfId="0" applyFont="true" applyBorder="false" applyAlignment="true" applyProtection="false">
      <alignment horizontal="right"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12" fillId="3" borderId="0" xfId="0" applyFont="true" applyBorder="false" applyAlignment="true" applyProtection="false">
      <alignment horizontal="right" vertical="bottom" textRotation="0" wrapText="false" indent="0" shrinkToFit="false"/>
      <protection locked="true" hidden="false"/>
    </xf>
    <xf numFmtId="164" fontId="22" fillId="3" borderId="0" xfId="0" applyFont="true" applyBorder="false" applyAlignment="true" applyProtection="false">
      <alignment horizontal="right" vertical="bottom" textRotation="0" wrapText="false" indent="0" shrinkToFit="false"/>
      <protection locked="true" hidden="false"/>
    </xf>
    <xf numFmtId="164" fontId="20" fillId="3" borderId="0" xfId="0" applyFont="true" applyBorder="false" applyAlignment="true" applyProtection="false">
      <alignment horizontal="right" vertical="bottom" textRotation="0" wrapText="false" indent="0" shrinkToFit="false"/>
      <protection locked="true" hidden="false"/>
    </xf>
    <xf numFmtId="164" fontId="19" fillId="3"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71"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true" applyProtection="false">
      <alignment horizontal="general" vertical="bottom" textRotation="0" wrapText="false" indent="0" shrinkToFit="false"/>
      <protection locked="true" hidden="false"/>
    </xf>
    <xf numFmtId="172" fontId="17" fillId="0" borderId="0" xfId="0" applyFont="true" applyBorder="false" applyAlignment="tru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9" fillId="2"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xf numFmtId="164" fontId="18" fillId="2" borderId="0" xfId="0" applyFont="true" applyBorder="false" applyAlignment="true" applyProtection="false">
      <alignment horizontal="right" vertical="bottom" textRotation="0" wrapText="false" indent="0" shrinkToFit="false"/>
      <protection locked="true" hidden="false"/>
    </xf>
    <xf numFmtId="164" fontId="30" fillId="2" borderId="0" xfId="0" applyFont="true" applyBorder="false" applyAlignment="true" applyProtection="false">
      <alignment horizontal="left" vertical="bottom" textRotation="0" wrapText="false" indent="0" shrinkToFit="false"/>
      <protection locked="true" hidden="false"/>
    </xf>
    <xf numFmtId="171" fontId="18" fillId="2" borderId="0" xfId="0" applyFont="true" applyBorder="false" applyAlignment="true" applyProtection="false">
      <alignment horizontal="right" vertical="bottom" textRotation="0" wrapText="false" indent="0" shrinkToFit="false"/>
      <protection locked="true" hidden="false"/>
    </xf>
    <xf numFmtId="171" fontId="12"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8" fontId="18" fillId="2"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71" fontId="9" fillId="4" borderId="0" xfId="0" applyFont="true" applyBorder="false" applyAlignment="true" applyProtection="false">
      <alignment horizontal="general" vertical="bottom" textRotation="0" wrapText="false" indent="0" shrinkToFit="false"/>
      <protection locked="true" hidden="false"/>
    </xf>
    <xf numFmtId="164" fontId="17"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6" fillId="4"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6"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9" fontId="5"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8" borderId="0" xfId="0" applyFont="true" applyBorder="false" applyAlignment="true" applyProtection="false">
      <alignment horizontal="left" vertical="bottom" textRotation="0" wrapText="false" indent="0" shrinkToFit="false"/>
      <protection locked="true" hidden="false"/>
    </xf>
    <xf numFmtId="164" fontId="9" fillId="8" borderId="0" xfId="0" applyFont="true" applyBorder="false" applyAlignment="true" applyProtection="false">
      <alignment horizontal="center"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9" fillId="9" borderId="0" xfId="0" applyFont="true" applyBorder="false" applyAlignment="true" applyProtection="false">
      <alignment horizontal="center"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5" fillId="10"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35" fillId="0" borderId="2"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bottom" textRotation="0" wrapText="false" indent="0" shrinkToFit="false"/>
      <protection locked="true" hidden="false"/>
    </xf>
    <xf numFmtId="164" fontId="9" fillId="10" borderId="0" xfId="0" applyFont="true" applyBorder="false" applyAlignment="true" applyProtection="false">
      <alignment horizontal="left" vertical="bottom" textRotation="0" wrapText="false" indent="0" shrinkToFit="false"/>
      <protection locked="true" hidden="false"/>
    </xf>
    <xf numFmtId="164" fontId="9" fillId="10" borderId="0" xfId="0" applyFont="true" applyBorder="false" applyAlignment="true" applyProtection="false">
      <alignment horizontal="center"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18" fillId="2" borderId="3" xfId="0" applyFont="true" applyBorder="true" applyAlignment="true" applyProtection="false">
      <alignment horizontal="left"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36" fillId="3"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7" fillId="3"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CFFFF"/>
      <rgbColor rgb="FF660066"/>
      <rgbColor rgb="FFFF8080"/>
      <rgbColor rgb="FF1155CC"/>
      <rgbColor rgb="FFCCCCCC"/>
      <rgbColor rgb="FF000080"/>
      <rgbColor rgb="FFFF00FF"/>
      <rgbColor rgb="FFFFFF00"/>
      <rgbColor rgb="FF00FFFF"/>
      <rgbColor rgb="FF800080"/>
      <rgbColor rgb="FF800000"/>
      <rgbColor rgb="FF008080"/>
      <rgbColor rgb="FF0000FF"/>
      <rgbColor rgb="FF00CCFF"/>
      <rgbColor rgb="FFCCFFFF"/>
      <rgbColor rgb="FFE3E3E3"/>
      <rgbColor rgb="FFFCE5CD"/>
      <rgbColor rgb="FF99CCFF"/>
      <rgbColor rgb="FFFF99CC"/>
      <rgbColor rgb="FFCC99FF"/>
      <rgbColor rgb="FFFFD966"/>
      <rgbColor rgb="FF3366FF"/>
      <rgbColor rgb="FF33CCCC"/>
      <rgbColor rgb="FF99CC00"/>
      <rgbColor rgb="FFFFCC00"/>
      <rgbColor rgb="FFE69138"/>
      <rgbColor rgb="FFFF6600"/>
      <rgbColor rgb="FF4F81BD"/>
      <rgbColor rgb="FF969696"/>
      <rgbColor rgb="FF003366"/>
      <rgbColor rgb="FF339966"/>
      <rgbColor rgb="FF003300"/>
      <rgbColor rgb="FF444444"/>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worldbank.org/indicator/SP.DYN.CDRT.IN" TargetMode="External"/><Relationship Id="rId3" Type="http://schemas.openxmlformats.org/officeDocument/2006/relationships/hyperlink" Target="http://data.worldbank.org/indicator/SP.POP.GROW" TargetMode="External"/><Relationship Id="rId4"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hyperlink" Target="http://www.unaids.org/sites/default/files/country/documents//TUN_narrative_report_2014.pdf" TargetMode="External"/><Relationship Id="rId2" Type="http://schemas.openxmlformats.org/officeDocument/2006/relationships/hyperlink" Target="http://www.unaids.org/sites/default/files/country/documents//YEM_narrative_report_2014.pdf" TargetMode="External"/><Relationship Id="rId3" Type="http://schemas.openxmlformats.org/officeDocument/2006/relationships/hyperlink" Target="http://www.aidsdatahub.org/Country-Profiles/Afghanistan" TargetMode="External"/><Relationship Id="rId4" Type="http://schemas.openxmlformats.org/officeDocument/2006/relationships/hyperlink" Target="http://www.unaids.org/sites/default/files/country/documents/DZA_narrative_report_2015.pdf" TargetMode="External"/><Relationship Id="rId5" Type="http://schemas.openxmlformats.org/officeDocument/2006/relationships/hyperlink" Target="http://www.nelp-hiv.org/countries/AT" TargetMode="External"/><Relationship Id="rId6" Type="http://schemas.openxmlformats.org/officeDocument/2006/relationships/hyperlink" Target="http://www.aidsdatahub.org/Country-Profiles/Bangladesh" TargetMode="External"/><Relationship Id="rId7" Type="http://schemas.openxmlformats.org/officeDocument/2006/relationships/hyperlink" Target="http://www.euro.who.int/__data/assets/pdf_file/0007/293623/HIV-AIDS-Surveillance-Report-Europe-2014-en.pdf?ua=1" TargetMode="External"/><Relationship Id="rId8" Type="http://schemas.openxmlformats.org/officeDocument/2006/relationships/hyperlink" Target="http://www.aidsdatahub.org/Country-Profiles/Bhutan" TargetMode="External"/><Relationship Id="rId9" Type="http://schemas.openxmlformats.org/officeDocument/2006/relationships/hyperlink" Target="http://www.phac-aspc.gc.ca/aids-sida/publication/survreport/2012/dec/assets/longdesc/fig-ld-eng.php" TargetMode="External"/><Relationship Id="rId10" Type="http://schemas.openxmlformats.org/officeDocument/2006/relationships/hyperlink" Target="http://www.ncbi.nlm.nih.gov/pmc/articles/PMC4730421/pdf/ijerph-13-00030.pdf" TargetMode="External"/><Relationship Id="rId11" Type="http://schemas.openxmlformats.org/officeDocument/2006/relationships/hyperlink" Target="http://www.wac-egypt.org/en/hivaids-info/hiv-in-egypt/" TargetMode="External"/><Relationship Id="rId12" Type="http://schemas.openxmlformats.org/officeDocument/2006/relationships/hyperlink" Target="http://www.euro.who.int/__data/assets/pdf_file/0007/293623/HIV-AIDS-Surveillance-Report-Europe-2014-en.pdf?ua=1" TargetMode="External"/><Relationship Id="rId13" Type="http://schemas.openxmlformats.org/officeDocument/2006/relationships/hyperlink" Target="http://www.euro.who.int/__data/assets/pdf_file/0007/293623/HIV-AIDS-Surveillance-Report-Europe-2014-en.pdf?ua=1" TargetMode="External"/><Relationship Id="rId14" Type="http://schemas.openxmlformats.org/officeDocument/2006/relationships/hyperlink" Target="http://www.aidsdatahub.org/Country-Profiles/Lao-PDR" TargetMode="External"/><Relationship Id="rId15" Type="http://schemas.openxmlformats.org/officeDocument/2006/relationships/hyperlink" Target="http://www.dailystar.com.lb/News/Lebanon-News/2014/Dec-02/279570-around-3750-hivaids-cases-in-lebanon.ashx" TargetMode="External"/><Relationship Id="rId16" Type="http://schemas.openxmlformats.org/officeDocument/2006/relationships/hyperlink" Target="http://www.unaids.org/sites/default/files/country/documents//file,94669,es..pdf" TargetMode="External"/><Relationship Id="rId17" Type="http://schemas.openxmlformats.org/officeDocument/2006/relationships/hyperlink" Target="http://www.euro.who.int/__data/assets/pdf_file/0007/293623/HIV-AIDS-Surveillance-Report-Europe-2014-en.pdf?ua=1" TargetMode="External"/><Relationship Id="rId18" Type="http://schemas.openxmlformats.org/officeDocument/2006/relationships/hyperlink" Target="http://dnmeds.otago.ac.nz/departments/psm/research/aids/newsletters.html" TargetMode="External"/><Relationship Id="rId19" Type="http://schemas.openxmlformats.org/officeDocument/2006/relationships/hyperlink" Target="http://www.aidsdatahub.org/Country-Profiles/Philippines" TargetMode="External"/><Relationship Id="rId20" Type="http://schemas.openxmlformats.org/officeDocument/2006/relationships/hyperlink" Target="http://www.pancap.org/saintlucia_2010_country_progress_report_en.pdf" TargetMode="External"/><Relationship Id="rId21" Type="http://schemas.openxmlformats.org/officeDocument/2006/relationships/hyperlink" Target="http://www.aidsdatahub.org/Country-Profiles/Sri-Lanka" TargetMode="External"/><Relationship Id="rId22" Type="http://schemas.openxmlformats.org/officeDocument/2006/relationships/hyperlink" Target="http://www.unaids.org/sites/default/files/country/documents/TLS_narrative_report_2015.pdf" TargetMode="External"/><Relationship Id="rId23" Type="http://schemas.openxmlformats.org/officeDocument/2006/relationships/hyperlink" Target="https://www.gov.uk/government/uploads/system/uploads/attachment_data/file/401662/2014_PHE_HIV_annual_report_draft_Final_07-01-2015.pdf" TargetMode="External"/><Relationship Id="rId24" Type="http://schemas.openxmlformats.org/officeDocument/2006/relationships/hyperlink" Target="http://www.unaids.org/sites/default/files/country/documents//ce_AT_Narrative_Report.pdf" TargetMode="External"/><Relationship Id="rId25" Type="http://schemas.openxmlformats.org/officeDocument/2006/relationships/hyperlink" Target="http://english.ahram.org.eg/NewsContent/7/48/139780/Life--Style/Health/INTERVIEW-HIVAIDS-in-Egypt-Facts,-numbers-and-chal.aspx" TargetMode="External"/><Relationship Id="rId26" Type="http://schemas.openxmlformats.org/officeDocument/2006/relationships/hyperlink" Target="http://www.unaids.org/sites/default/files/country/documents//LBN_narrative_report_2014.pdf" TargetMode="External"/><Relationship Id="rId27" Type="http://schemas.openxmlformats.org/officeDocument/2006/relationships/hyperlink" Target="http://www.emro.who.int/lbn/programmes/hiv-aids.html" TargetMode="External"/><Relationship Id="rId28" Type="http://schemas.openxmlformats.org/officeDocument/2006/relationships/hyperlink" Target="http://www.aidsmap.com/Australia-performs-best-in-HIV-treatment-cascade-62-with-undetectable-viral-load/page/2919074/" TargetMode="External"/><Relationship Id="rId29" Type="http://schemas.openxmlformats.org/officeDocument/2006/relationships/hyperlink" Target="http://www.unaids.org/sites/default/files/country/documents/file,68394,es..pdf" TargetMode="External"/><Relationship Id="rId30" Type="http://schemas.openxmlformats.org/officeDocument/2006/relationships/hyperlink" Target="http://www.unaids.org/sites/default/files/country/documents/AFG_narrative_report_2014.pdf" TargetMode="External"/><Relationship Id="rId31" Type="http://schemas.openxmlformats.org/officeDocument/2006/relationships/hyperlink" Target="https://www.cia.gov/library/publications/the-world-factbook/rankorder/2155rank.html" TargetMode="External"/><Relationship Id="rId32" Type="http://schemas.openxmlformats.org/officeDocument/2006/relationships/hyperlink" Target="http://dnmeds.otago.ac.nz/departments/psm/research/aids/pdf/75%20AIDS-NZ%20May%202016.pdf" TargetMode="External"/><Relationship Id="rId33" Type="http://schemas.openxmlformats.org/officeDocument/2006/relationships/hyperlink" Target="http://www.unaids.org/sites/default/files/country/documents//PHL_narrative_report_2014.pdf" TargetMode="External"/><Relationship Id="rId34" Type="http://schemas.openxmlformats.org/officeDocument/2006/relationships/hyperlink" Target="http://www.unaids.org/sites/default/files/country/documents/LCA_narrative_report_2015.pdf" TargetMode="External"/><Relationship Id="rId35" Type="http://schemas.openxmlformats.org/officeDocument/2006/relationships/hyperlink" Target="http://www.unaids.org/sites/default/files/country/documents/LKA_narrative_report_2016.pdf" TargetMode="External"/><Relationship Id="rId36" Type="http://schemas.openxmlformats.org/officeDocument/2006/relationships/hyperlink" Target="http://www.hivpolicy.org/Library/HPP000476.pdf" TargetMode="External"/><Relationship Id="rId37" Type="http://schemas.openxmlformats.org/officeDocument/2006/relationships/hyperlink" Target="https://www.gov.uk/government/uploads/system/uploads/attachment_data/file/335452/HIV_annual_report_2012.pdf" TargetMode="External"/><Relationship Id="rId38" Type="http://schemas.openxmlformats.org/officeDocument/2006/relationships/hyperlink" Target="http://databank.worldbank.org/data/reports.aspx?source=Health%20Nutrition%20and%20Population%20Statistics:%20Population%20estimates%20and%20projections" TargetMode="External"/><Relationship Id="rId39" Type="http://schemas.openxmlformats.org/officeDocument/2006/relationships/hyperlink" Target="https://www.cia.gov/library/publications/the-world-factbook/rankorder/2155rank.html" TargetMode="External"/><Relationship Id="rId40" Type="http://schemas.openxmlformats.org/officeDocument/2006/relationships/hyperlink" Target="http://www.unaids.org/sites/default/files/country/documents/MNG_narrative_report_2015.pdf" TargetMode="External"/><Relationship Id="rId41" Type="http://schemas.openxmlformats.org/officeDocument/2006/relationships/hyperlink" Target="http://www.unaids.org/sites/default/files/country/documents/NZL_narrative_report_2015.pdf" TargetMode="External"/><Relationship Id="rId42" Type="http://schemas.openxmlformats.org/officeDocument/2006/relationships/hyperlink" Target="http://www.aidscontrol.gov.lk/web/index.php/statistics/hiv" TargetMode="External"/><Relationship Id="rId43" Type="http://schemas.openxmlformats.org/officeDocument/2006/relationships/hyperlink" Target="http://www.unaids.org/sites/default/files/country/documents/TLS_narrative_report_2015.pdf" TargetMode="External"/><Relationship Id="rId44" Type="http://schemas.openxmlformats.org/officeDocument/2006/relationships/hyperlink" Target="https://www.gov.uk/government/uploads/system/uploads/attachment_data/file/401662/2014_PHE_HIV_annual_report_draft_Final_07-01-2015.pdf" TargetMode="External"/><Relationship Id="rId45" Type="http://schemas.openxmlformats.org/officeDocument/2006/relationships/hyperlink" Target="http://databank.worldbank.org/data/reports.aspx?source=Health%20Nutrition%20and%20Population%20Statistics:%20Population%20estimates%20and%20projections" TargetMode="External"/><Relationship Id="rId46" Type="http://schemas.openxmlformats.org/officeDocument/2006/relationships/hyperlink" Target="http://www.ecoi.net/file_upload/1329_1217946151_efs2008-nz.pdf" TargetMode="External"/><Relationship Id="rId47" Type="http://schemas.openxmlformats.org/officeDocument/2006/relationships/hyperlink" Target="http://databank.worldbank.org/data/reports.aspx?source=Health%20Nutrition%20and%20Population%20Statistics:%20Population%20estimates%20and%20projections" TargetMode="External"/><Relationship Id="rId48" Type="http://schemas.openxmlformats.org/officeDocument/2006/relationships/hyperlink" Target="http://www.unaids.org/sites/default/files/country/documents/BEL_narrative_report_2014.pdf" TargetMode="External"/><Relationship Id="rId49" Type="http://schemas.openxmlformats.org/officeDocument/2006/relationships/hyperlink" Target="http://healthycanadians.gc.ca/publications/diseases-conditions-maladies-affections/hiv-aids-surveillance-2014-vih-sida/alt/hiv-aids-surveillance-2014-vih-sida-eng.pdf" TargetMode="External"/><Relationship Id="rId50" Type="http://schemas.openxmlformats.org/officeDocument/2006/relationships/hyperlink" Target="http://www.unaids.org/sites/default/files/country/documents/CHN_narrative_report_2015.pdf" TargetMode="External"/><Relationship Id="rId51" Type="http://schemas.openxmlformats.org/officeDocument/2006/relationships/hyperlink" Target="http://www.euro.who.int/__data/assets/pdf_file/0009/127656/e94500.pdf" TargetMode="External"/><Relationship Id="rId52" Type="http://schemas.openxmlformats.org/officeDocument/2006/relationships/hyperlink" Target="http://www.euro.who.int/__data/assets/pdf_file/0009/127656/e94500.pdf" TargetMode="External"/><Relationship Id="rId53" Type="http://schemas.openxmlformats.org/officeDocument/2006/relationships/hyperlink" Target="http://www.euro.who.int/__data/assets/pdf_file/0009/127656/e94500.pdf" TargetMode="External"/><Relationship Id="rId54" Type="http://schemas.openxmlformats.org/officeDocument/2006/relationships/hyperlink" Target="http://www.unaids.org/sites/default/files/country/documents/LAO_narrative_report_2016.pdf" TargetMode="External"/><Relationship Id="rId55" Type="http://schemas.openxmlformats.org/officeDocument/2006/relationships/hyperlink" Target="http://www.euro.who.int/__data/assets/pdf_file/0009/127656/e94500.pdf" TargetMode="External"/><Relationship Id="rId56" Type="http://schemas.openxmlformats.org/officeDocument/2006/relationships/hyperlink" Target="http://dnmeds.otago.ac.nz/departments/psm/research/aids/pdf/73_AIDS-NZ_June_2014.pdf" TargetMode="External"/><Relationship Id="rId57" Type="http://schemas.openxmlformats.org/officeDocument/2006/relationships/hyperlink" Target="http://www.unaids.org/sites/default/files/country/documents/TLS_narrative_report_2015.pdf" TargetMode="External"/><Relationship Id="rId58" Type="http://schemas.openxmlformats.org/officeDocument/2006/relationships/hyperlink" Target="https://www.gov.uk/government/uploads/system/uploads/attachment_data/file/335452/HIV_annual_report_2012.pdf" TargetMode="External"/><Relationship Id="rId59" Type="http://schemas.openxmlformats.org/officeDocument/2006/relationships/hyperlink" Target="http://www.unaids.org/sites/default/files/country/documents/ETH_narrative_report_2014.pdf" TargetMode="External"/><Relationship Id="rId60" Type="http://schemas.openxmlformats.org/officeDocument/2006/relationships/hyperlink" Target="http://bmjopen.bmj.com/content/3/7/e003078.full.pdf+html" TargetMode="External"/><Relationship Id="rId61" Type="http://schemas.openxmlformats.org/officeDocument/2006/relationships/hyperlink" Target="https://www.census.gov/population/international/files/hiv/ethiopia08.pdf" TargetMode="External"/><Relationship Id="rId62" Type="http://schemas.openxmlformats.org/officeDocument/2006/relationships/hyperlink" Target="http://www.unaids.org/sites/default/files/country/documents//TUN_narrative_report_2014.pdf" TargetMode="External"/><Relationship Id="rId63" Type="http://schemas.openxmlformats.org/officeDocument/2006/relationships/hyperlink" Target="http://www.pepfar.gov/countries/ethiopia/" TargetMode="External"/><Relationship Id="rId64" Type="http://schemas.openxmlformats.org/officeDocument/2006/relationships/hyperlink" Target="http://www.ynetnews.com/articles/0,7340,L-4305515,00.html" TargetMode="External"/><Relationship Id="rId65" Type="http://schemas.openxmlformats.org/officeDocument/2006/relationships/hyperlink" Target="http://www.euro.who.int/__data/assets/pdf_file/0009/127656/e94500.pdf" TargetMode="External"/><Relationship Id="rId66" Type="http://schemas.openxmlformats.org/officeDocument/2006/relationships/hyperlink" Target="https://www.gov.uk/government/uploads/system/uploads/attachment_data/file/335452/HIV_annual_report_2012.pdf"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atabank.worldbank.org/data/reports.aspx?source=Health%20Nutrition%20and%20Population%20Statistics:%20Population%20estimates%20and%20projections" TargetMode="External"/><Relationship Id="rId2" Type="http://schemas.openxmlformats.org/officeDocument/2006/relationships/hyperlink" Target="http://www.census.gov/cgi-bin/broker"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5.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ecdc.europa.eu/en/publications/Publications/dublin-declaration-treatment-care-support.pdf" TargetMode="External"/><Relationship Id="rId3" Type="http://schemas.openxmlformats.org/officeDocument/2006/relationships/hyperlink" Target="http://www.unaids.org/sites/default/files/country/documents/BTN_narrative_report_2015.pdf" TargetMode="External"/><Relationship Id="rId4" Type="http://schemas.openxmlformats.org/officeDocument/2006/relationships/hyperlink" Target="https://www.ecoi.net/file_upload/432_1198080046_can-fact-sheets.pdf" TargetMode="External"/><Relationship Id="rId5" Type="http://schemas.openxmlformats.org/officeDocument/2006/relationships/hyperlink" Target="http://ecdc.europa.eu/en/publications/Publications/dublin-declaration-treatment-care-support.pdf" TargetMode="External"/><Relationship Id="rId6" Type="http://schemas.openxmlformats.org/officeDocument/2006/relationships/hyperlink" Target="https://intra.tai.ee/images/prints/documents/14604493644_HIV_in_Estonia_2014.pdf" TargetMode="External"/><Relationship Id="rId7" Type="http://schemas.openxmlformats.org/officeDocument/2006/relationships/hyperlink" Target="http://www.euro.who.int/__data/assets/pdf_file/0003/191073/France-HIVAIDS-Country-Profile-2011-revision-2012-final.pdf" TargetMode="External"/><Relationship Id="rId8" Type="http://schemas.openxmlformats.org/officeDocument/2006/relationships/hyperlink" Target="http://www.unaids.org/sites/default/files/country/documents/NZL_narrative_report_2015.pdf" TargetMode="External"/><Relationship Id="rId9" Type="http://schemas.openxmlformats.org/officeDocument/2006/relationships/hyperlink" Target="http://www.pancap.org/saintlucia_2010_country_progress_report_en.pdf" TargetMode="External"/><Relationship Id="rId10" Type="http://schemas.openxmlformats.org/officeDocument/2006/relationships/hyperlink" Target="http://www.aidsdatahub.org/Country-Profiles/Timor-Leste" TargetMode="External"/><Relationship Id="rId11" Type="http://schemas.openxmlformats.org/officeDocument/2006/relationships/hyperlink" Target="http://ecdc.europa.eu/en/publications/Publications/dublin-declaration-treatment-care-support.pdf" TargetMode="External"/><Relationship Id="rId12" Type="http://schemas.openxmlformats.org/officeDocument/2006/relationships/hyperlink" Target="http://www.cdc.gov/nchhstp/newsroom/docs/factsheets/hiv-testing-us-508.pdf" TargetMode="External"/><Relationship Id="rId13" Type="http://schemas.openxmlformats.org/officeDocument/2006/relationships/hyperlink" Target="http://bmcinfectdis.biomedcentral.com/articles/10.1186/s12879-015-1230-3" TargetMode="External"/><Relationship Id="rId14" Type="http://schemas.openxmlformats.org/officeDocument/2006/relationships/hyperlink" Target="http://www.saarctb.org/new/wp-content/uploads/2015/09/HIV-update-2014.pdf" TargetMode="External"/><Relationship Id="rId15" Type="http://schemas.openxmlformats.org/officeDocument/2006/relationships/hyperlink" Target="http://www.scielo.br/pdf/rsp/v40s0/en_03.pdf" TargetMode="External"/><Relationship Id="rId16" Type="http://schemas.openxmlformats.org/officeDocument/2006/relationships/hyperlink" Target="http://www.avert.org/professionals/hiv-around-world/asia-pacific/china" TargetMode="External"/><Relationship Id="rId17" Type="http://schemas.openxmlformats.org/officeDocument/2006/relationships/hyperlink" Target="http://www.saarctb.org/new/wp-content/uploads/2015/09/HIV-update-2014.pdf" TargetMode="External"/><Relationship Id="rId18" Type="http://schemas.openxmlformats.org/officeDocument/2006/relationships/hyperlink" Target="http://www.wpro.who.int/hiv/data/countries/mng/en/" TargetMode="External"/><Relationship Id="rId19" Type="http://schemas.openxmlformats.org/officeDocument/2006/relationships/hyperlink" Target="http://www.unaids.org/sites/default/files/country/documents/LCA_narrative_report_2015.pdf" TargetMode="External"/><Relationship Id="rId20" Type="http://schemas.openxmlformats.org/officeDocument/2006/relationships/hyperlink" Target="http://apps.who.int/gho/data/view.main.23300?lang=en" TargetMode="External"/><Relationship Id="rId21" Type="http://schemas.openxmlformats.org/officeDocument/2006/relationships/hyperlink" Target="https://www.gov.uk/government/uploads/system/uploads/attachment_data/file/401662/2014_PHE_HIV_annual_report_draft_Final_07-01-2015.pdf" TargetMode="External"/><Relationship Id="rId22" Type="http://schemas.openxmlformats.org/officeDocument/2006/relationships/hyperlink" Target="http://www.cdc.gov/mmwr/preview/mmwrhtml/mm6347a5.htm" TargetMode="External"/><Relationship Id="rId23" Type="http://schemas.openxmlformats.org/officeDocument/2006/relationships/hyperlink" Target="http://image.thelancet.com/extras/01art9038web.pdf" TargetMode="External"/><Relationship Id="rId24" Type="http://schemas.openxmlformats.org/officeDocument/2006/relationships/hyperlink" Target="http://www.aidsdatahub.org/Country-Profiles/China" TargetMode="External"/><Relationship Id="rId25" Type="http://schemas.openxmlformats.org/officeDocument/2006/relationships/hyperlink" Target="http://naco.gov.in/upload/2015%20MSLNS/Annual%20report%20_NACO_2014-15.pdf" TargetMode="External"/><Relationship Id="rId26" Type="http://schemas.openxmlformats.org/officeDocument/2006/relationships/hyperlink" Target="http://data.unaids.org/pub/Report/2010/mongolia_2010_country_progress_report_en.pdf" TargetMode="External"/><Relationship Id="rId27" Type="http://schemas.openxmlformats.org/officeDocument/2006/relationships/hyperlink" Target="http://www.cdc.gov/mmwr/preview/mmwrhtml/mm6047a4.htm?s_cid=mm6047a4_w" TargetMode="External"/><Relationship Id="rId28"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hyperlink" Target="http://data.worldbank.org/indicator/NY.GDP.PCAP.CD" TargetMode="External"/><Relationship Id="rId2" Type="http://schemas.openxmlformats.org/officeDocument/2006/relationships/hyperlink" Target="http://data.un.org/CountryProfile.aspx?crName=gambia" TargetMode="External"/><Relationship Id="rId3" Type="http://schemas.openxmlformats.org/officeDocument/2006/relationships/hyperlink" Target="http://www.stats.govt.nz/browse_for_stats/snapshots-of-nz/top-statistics.aspx" TargetMode="External"/><Relationship Id="rId4" Type="http://schemas.openxmlformats.org/officeDocument/2006/relationships/hyperlink" Target="http://data.worldbank.org/indicator/NY.GDP.PCAP.PP.CD" TargetMode="External"/><Relationship Id="rId5" Type="http://schemas.openxmlformats.org/officeDocument/2006/relationships/hyperlink" Target="https://www.cia.gov/library/publications/the-world-factbook/rankorder/2004rank.html" TargetMode="External"/><Relationship Id="rId6" Type="http://schemas.openxmlformats.org/officeDocument/2006/relationships/hyperlink" Target="https://www.cia.gov/library/publications/the-world-factbook/rankorder/2004rank.html" TargetMode="External"/><Relationship Id="rId7" Type="http://schemas.openxmlformats.org/officeDocument/2006/relationships/hyperlink" Target="https://www.cia.gov/library/publications/the-world-factbook/rankorder/2004rank.html" TargetMode="External"/><Relationship Id="rId8" Type="http://schemas.openxmlformats.org/officeDocument/2006/relationships/hyperlink" Target="http://knoema.com/atlas/ranks/GDP-per-capita-PPP-based" TargetMode="External"/><Relationship Id="rId9" Type="http://schemas.openxmlformats.org/officeDocument/2006/relationships/hyperlink" Target="https://www.cia.gov/library/publications/the-world-factbook/rankorder/2004rank.html"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ncbi.nlm.nih.gov/pmc/articles/PMC2365748/pdf/nihms45505.pdf" TargetMode="External"/><Relationship Id="rId3" Type="http://schemas.openxmlformats.org/officeDocument/2006/relationships/hyperlink" Target="http://ovidsp.tx.ovid.com/sp-3.18.0b/ovidweb.cgi?WebLinkFrameset=1&amp;S=EIIHFPGHJLDDIDINNCJKEFFBJKBFAA00&amp;returnUrl=ovidweb.cgi%3F%26Full%2BText%3DL%257cS.sh.24.25%257c0%257c00005650-200611000-00005%26S%3DEIIHFPGHJLDDIDINNCJKEFFBJKBFAA00&amp;directlink=http%3A%2F" TargetMode="External"/><Relationship Id="rId4" Type="http://schemas.openxmlformats.org/officeDocument/2006/relationships/hyperlink" Target="http://jama.jamanetwork.com/article.aspx?articleid=1150355" TargetMode="External"/><Relationship Id="rId5" Type="http://schemas.openxmlformats.org/officeDocument/2006/relationships/hyperlink" Target="http://www.tandfonline.com/doi/pdf/10.1080/09540120500159334" TargetMode="External"/><Relationship Id="rId6" Type="http://schemas.openxmlformats.org/officeDocument/2006/relationships/hyperlink" Target="http://www.ncbi.nlm.nih.gov/pmc/articles/PMC3225224/pdf/nihms315998.pdf" TargetMode="External"/><Relationship Id="rId7" Type="http://schemas.openxmlformats.org/officeDocument/2006/relationships/hyperlink" Target="http://www.medscape.com/viewarticle/544519" TargetMode="External"/><Relationship Id="rId8" Type="http://schemas.openxmlformats.org/officeDocument/2006/relationships/hyperlink" Target="https://www.aids.gov/hiv-aids-basics/just-diagnosed-with-hiv-aids/hiv-in-your-body/stages-of-hiv/" TargetMode="External"/><Relationship Id="rId9"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www.aidsdatahub.org/sites/default/files/documents/Responding_to_HIV_in_Afghanistan.pdf.pdf" TargetMode="External"/><Relationship Id="rId3" Type="http://schemas.openxmlformats.org/officeDocument/2006/relationships/hyperlink" Target="http://download.springer.com/static/pdf/682/art%253A10.2165%252F11587500-000000000-00000.pdf?originUrl=http%3A%2F%2Flink.springer.com%2Farticle%2F10.2165%2F11587500-000000000-00000&amp;token2=exp=1456537651~acl=%2Fstatic%2Fpdf%2F682%2Fart%25253A10.2165%25252F" TargetMode="External"/><Relationship Id="rId4" Type="http://schemas.openxmlformats.org/officeDocument/2006/relationships/hyperlink" Target="http://ovidsp.tx.ovid.com/sp-3.18.0b/ovidweb.cgi?WebLinkFrameset=1&amp;S=EIIHFPGHJLDDIDINNCJKEFFBJKBFAA00&amp;returnUrl=ovidweb.cgi%3F%26Full%2BText%3DL%257cS.sh.24.25%257c0%257c00005650-200611000-00005%26S%3DEIIHFPGHJLDDIDINNCJKEFFBJKBFAA00&amp;directlink=http%3A%2F" TargetMode="External"/><Relationship Id="rId5" Type="http://schemas.openxmlformats.org/officeDocument/2006/relationships/hyperlink" Target="http://jama.jamanetwork.com/article.aspx?articleid=1150355" TargetMode="External"/><Relationship Id="rId6" Type="http://schemas.openxmlformats.org/officeDocument/2006/relationships/hyperlink" Target="http://www.ncbi.nlm.nih.gov/pmc/articles/PMC2365748/pdf/nihms45505.pdf" TargetMode="External"/><Relationship Id="rId7" Type="http://schemas.openxmlformats.org/officeDocument/2006/relationships/hyperlink" Target="http://archinte.jamanetwork.com/article.aspx?articleid=214173&amp;resultclick=1" TargetMode="External"/><Relationship Id="rId8"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Z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D2" activePane="bottomRight" state="frozen"/>
      <selection pane="topLeft" activeCell="A1" activeCellId="0" sqref="A1"/>
      <selection pane="topRight" activeCell="DD1" activeCellId="0" sqref="DD1"/>
      <selection pane="bottomLeft" activeCell="A2" activeCellId="0" sqref="A2"/>
      <selection pane="bottomRight" activeCell="DW1" activeCellId="0" sqref="DW1"/>
    </sheetView>
  </sheetViews>
  <sheetFormatPr defaultRowHeight="15"/>
  <cols>
    <col collapsed="false" hidden="false" max="1" min="1" style="0" width="17.4132653061224"/>
    <col collapsed="false" hidden="false" max="1025" min="2" style="0" width="8.50510204081633"/>
  </cols>
  <sheetData>
    <row r="1" customFormat="false" ht="15" hidden="false" customHeight="false" outlineLevel="0" collapsed="false">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row>
    <row r="2" customFormat="false" ht="15" hidden="false" customHeight="false" outlineLevel="0" collapsed="false">
      <c r="A2" s="2" t="s">
        <v>129</v>
      </c>
      <c r="B2" s="3" t="n">
        <v>0.038565</v>
      </c>
      <c r="C2" s="3" t="n">
        <v>0.024529</v>
      </c>
      <c r="D2" s="3" t="n">
        <v>0.046416</v>
      </c>
      <c r="E2" s="3" t="n">
        <v>0.017897</v>
      </c>
      <c r="F2" s="3" t="n">
        <v>0.013845</v>
      </c>
      <c r="G2" s="3" t="n">
        <v>0.021644</v>
      </c>
      <c r="H2" s="3" t="n">
        <v>0.0170158276361494</v>
      </c>
      <c r="I2" s="3" t="n">
        <v>0.018282</v>
      </c>
      <c r="J2" s="3" t="n">
        <v>0.019858</v>
      </c>
      <c r="K2" s="3" t="n">
        <v>0.017545</v>
      </c>
      <c r="L2" s="3" t="n">
        <v>0.013676</v>
      </c>
      <c r="M2" s="3" t="n">
        <v>0.013222</v>
      </c>
      <c r="N2" s="3" t="n">
        <v>0.013618</v>
      </c>
      <c r="O2" s="3" t="n">
        <v>0.027152</v>
      </c>
      <c r="P2" s="3" t="n">
        <v>0.035772</v>
      </c>
      <c r="Q2" s="3" t="n">
        <v>0.019879</v>
      </c>
      <c r="R2" s="3" t="n">
        <v>0.022881</v>
      </c>
      <c r="S2" s="3" t="n">
        <v>0.027218</v>
      </c>
      <c r="T2" s="3" t="n">
        <v>0.01498</v>
      </c>
      <c r="U2" s="3" t="n">
        <v>0.00941610735947097</v>
      </c>
      <c r="V2" s="3" t="n">
        <v>0.03867</v>
      </c>
      <c r="W2" s="3" t="n">
        <v>0.044291</v>
      </c>
      <c r="X2" s="3" t="n">
        <v>0.022543</v>
      </c>
      <c r="Y2" s="3" t="n">
        <v>0.036443</v>
      </c>
      <c r="Z2" s="3" t="n">
        <v>0.018381</v>
      </c>
      <c r="AA2" s="3" t="n">
        <v>0.018432</v>
      </c>
      <c r="AB2" s="3" t="n">
        <v>0.034215</v>
      </c>
      <c r="AC2" s="3" t="n">
        <v>0.047081</v>
      </c>
      <c r="AD2" s="3" t="n">
        <v>0.015691</v>
      </c>
      <c r="AE2" s="3" t="n">
        <v>0.012263</v>
      </c>
      <c r="AF2" s="3" t="n">
        <v>0.0153120421776998</v>
      </c>
      <c r="AG2" s="3" t="n">
        <v>0.033432</v>
      </c>
      <c r="AH2" s="3" t="n">
        <v>0.015643</v>
      </c>
      <c r="AI2" s="3" t="n">
        <v>0.009271</v>
      </c>
      <c r="AJ2" s="3" t="n">
        <v>0.037972</v>
      </c>
      <c r="AK2" s="3" t="n">
        <v>0.041846</v>
      </c>
      <c r="AL2" s="3" t="n">
        <v>0.013294</v>
      </c>
      <c r="AM2" s="3" t="n">
        <v>0.021957</v>
      </c>
      <c r="AN2" s="3" t="n">
        <v>0.018105</v>
      </c>
      <c r="AO2" s="3" t="n">
        <v>0.02044</v>
      </c>
      <c r="AP2" s="3" t="n">
        <v>0.028318</v>
      </c>
      <c r="AQ2" s="3" t="n">
        <v>0.009752</v>
      </c>
      <c r="AR2" s="3" t="n">
        <v>0.040189</v>
      </c>
      <c r="AS2" s="3" t="n">
        <v>0.028682</v>
      </c>
      <c r="AT2" s="3" t="n">
        <v>0.00918</v>
      </c>
      <c r="AU2" s="3" t="n">
        <v>0.032479</v>
      </c>
      <c r="AV2" s="3" t="n">
        <v>0.01282</v>
      </c>
      <c r="AW2" s="3" t="n">
        <v>0.030989</v>
      </c>
      <c r="AX2" s="3" t="n">
        <v>0.041049</v>
      </c>
      <c r="AY2" s="3" t="n">
        <v>-0.001543</v>
      </c>
      <c r="AZ2" s="3" t="n">
        <v>0.032449</v>
      </c>
      <c r="BA2" s="3" t="n">
        <v>0.001746</v>
      </c>
      <c r="BB2" s="3" t="n">
        <v>0.025853</v>
      </c>
      <c r="BC2" s="3" t="n">
        <v>0.036927</v>
      </c>
      <c r="BD2" s="3" t="n">
        <v>0.011888</v>
      </c>
      <c r="BE2" s="3" t="n">
        <v>0.022123</v>
      </c>
      <c r="BF2" s="3" t="n">
        <v>0.019257</v>
      </c>
      <c r="BG2" s="3" t="n">
        <v>0.019606</v>
      </c>
      <c r="BH2" s="3" t="n">
        <v>0.019763</v>
      </c>
      <c r="BI2" s="3" t="n">
        <v>0.017401</v>
      </c>
      <c r="BJ2" s="3" t="n">
        <v>0.024395</v>
      </c>
      <c r="BK2" s="3" t="n">
        <v>0.0189750409596244</v>
      </c>
      <c r="BL2" s="3" t="n">
        <v>0.007866</v>
      </c>
      <c r="BM2" s="3" t="n">
        <v>0.022367</v>
      </c>
      <c r="BN2" s="3" t="n">
        <v>0.034706</v>
      </c>
      <c r="BO2" s="3" t="n">
        <v>0.026161</v>
      </c>
      <c r="BP2" s="3" t="n">
        <v>0.023245</v>
      </c>
      <c r="BQ2" s="3" t="n">
        <v>0.016362</v>
      </c>
      <c r="BR2" s="3" t="n">
        <v>0.027273</v>
      </c>
      <c r="BS2" s="3" t="n">
        <v>0.032358</v>
      </c>
      <c r="BT2" s="3" t="n">
        <v>0.034513</v>
      </c>
      <c r="BU2" s="3" t="n">
        <v>0.038608</v>
      </c>
      <c r="BV2" s="3" t="n">
        <v>0.019631</v>
      </c>
      <c r="BW2" s="3" t="n">
        <v>0.039794</v>
      </c>
      <c r="BX2" s="3" t="n">
        <v>0.032671</v>
      </c>
      <c r="BY2" s="3" t="n">
        <v>0.009511</v>
      </c>
      <c r="BZ2" s="3" t="n">
        <v>0.018001</v>
      </c>
      <c r="CA2" s="3" t="n">
        <v>0.023689</v>
      </c>
      <c r="CB2" s="3" t="n">
        <v>0.019611</v>
      </c>
      <c r="CC2" s="3" t="n">
        <v>0.039362</v>
      </c>
      <c r="CD2" s="3" t="n">
        <v>0.01677</v>
      </c>
      <c r="CE2" s="3" t="n">
        <v>0.030794</v>
      </c>
      <c r="CF2" s="3" t="n">
        <v>0.018524</v>
      </c>
      <c r="CG2" s="3" t="n">
        <v>0.011898</v>
      </c>
      <c r="CH2" s="3" t="n">
        <v>0.021983</v>
      </c>
      <c r="CI2" s="3" t="n">
        <v>0.01617</v>
      </c>
      <c r="CJ2" s="3" t="n">
        <v>0.049414</v>
      </c>
      <c r="CK2" s="3" t="n">
        <v>0.039527</v>
      </c>
      <c r="CL2" s="3" t="n">
        <v>0.028444</v>
      </c>
      <c r="CM2" s="3" t="n">
        <v>0.021136</v>
      </c>
      <c r="CN2" s="3" t="n">
        <v>0.028621</v>
      </c>
      <c r="CO2" s="3" t="n">
        <v>0.018995</v>
      </c>
      <c r="CP2" s="3" t="n">
        <v>0.01887</v>
      </c>
      <c r="CQ2" s="3" t="n">
        <v>0.022668</v>
      </c>
      <c r="CR2" s="3" t="n">
        <v>0.010701</v>
      </c>
      <c r="CS2" s="3" t="n">
        <v>0.015276</v>
      </c>
      <c r="CT2" s="3" t="n">
        <v>0.030556</v>
      </c>
      <c r="CU2" s="3" t="n">
        <v>0.014526</v>
      </c>
      <c r="CV2" s="3" t="n">
        <v>0.028381</v>
      </c>
      <c r="CW2" s="3" t="n">
        <v>0.037461</v>
      </c>
      <c r="CX2" s="3" t="n">
        <v>0.035466</v>
      </c>
      <c r="CY2" s="3" t="n">
        <v>0.036035</v>
      </c>
      <c r="CZ2" s="3" t="n">
        <v>0.028222</v>
      </c>
      <c r="DA2" s="3" t="n">
        <v>0.050742</v>
      </c>
      <c r="DB2" s="3" t="n">
        <v>0.005406</v>
      </c>
      <c r="DC2" s="3" t="n">
        <v>0.016048</v>
      </c>
      <c r="DD2" s="3" t="n">
        <v>0.029215</v>
      </c>
      <c r="DE2" s="3" t="n">
        <v>0.016362</v>
      </c>
      <c r="DF2" s="3" t="n">
        <v>0.029031</v>
      </c>
      <c r="DG2" s="3" t="n">
        <v>0.0191221972859188</v>
      </c>
      <c r="DH2" s="3" t="n">
        <v>0.0199342377172249</v>
      </c>
      <c r="DI2" s="3" t="n">
        <v>0.028031</v>
      </c>
      <c r="DJ2" s="3" t="n">
        <v>0.011963</v>
      </c>
      <c r="DK2" s="3" t="n">
        <v>0.033663</v>
      </c>
      <c r="DL2" s="3" t="n">
        <v>0.035493</v>
      </c>
      <c r="DM2" s="3" t="n">
        <v>0.014012</v>
      </c>
      <c r="DN2" s="3" t="n">
        <v>0.016263</v>
      </c>
      <c r="DO2" s="3" t="n">
        <v>0.042192</v>
      </c>
      <c r="DP2" s="3" t="n">
        <v>0.01191</v>
      </c>
      <c r="DQ2" s="3" t="n">
        <v>0.015497</v>
      </c>
      <c r="DR2" s="3" t="n">
        <v>0.038449</v>
      </c>
      <c r="DS2" s="3" t="n">
        <v>0.015527</v>
      </c>
      <c r="DT2" s="3" t="n">
        <v>0.012712</v>
      </c>
      <c r="DU2" s="3" t="n">
        <v>0.021769</v>
      </c>
      <c r="DV2" s="3" t="n">
        <v>0.019233</v>
      </c>
      <c r="DW2" s="3" t="n">
        <v>0.016557</v>
      </c>
      <c r="DX2" s="3" t="n">
        <v>0.032075</v>
      </c>
      <c r="DY2" s="3" t="n">
        <v>0.039714</v>
      </c>
      <c r="DZ2" s="3" t="n">
        <v>0.032894</v>
      </c>
    </row>
    <row r="3" customFormat="false" ht="15" hidden="false" customHeight="false" outlineLevel="0" collapsed="false">
      <c r="A3" s="2" t="s">
        <v>130</v>
      </c>
      <c r="B3" s="3" t="n">
        <v>0.00823</v>
      </c>
      <c r="C3" s="3" t="n">
        <v>0.005125</v>
      </c>
      <c r="D3" s="3" t="n">
        <v>0.01372</v>
      </c>
      <c r="E3" s="3" t="n">
        <v>0.007566</v>
      </c>
      <c r="F3" s="3" t="n">
        <v>0.00919</v>
      </c>
      <c r="G3" s="3" t="n">
        <v>0.0065</v>
      </c>
      <c r="H3" s="3" t="n">
        <v>0.0092</v>
      </c>
      <c r="I3" s="3" t="n">
        <v>0.0058</v>
      </c>
      <c r="J3" s="3" t="n">
        <v>0.006156</v>
      </c>
      <c r="K3" s="3" t="n">
        <v>0.005401</v>
      </c>
      <c r="L3" s="3" t="n">
        <v>0.010576</v>
      </c>
      <c r="M3" s="3" t="n">
        <v>0.0128</v>
      </c>
      <c r="N3" s="3" t="n">
        <v>0.0093</v>
      </c>
      <c r="O3" s="3" t="n">
        <v>0.005559</v>
      </c>
      <c r="P3" s="3" t="n">
        <v>0.009361</v>
      </c>
      <c r="Q3" s="3" t="n">
        <v>0.00623</v>
      </c>
      <c r="R3" s="3" t="n">
        <v>0.007428</v>
      </c>
      <c r="S3" s="3" t="n">
        <v>0.007462</v>
      </c>
      <c r="T3" s="3" t="n">
        <v>0.006116</v>
      </c>
      <c r="U3" s="3" t="n">
        <v>0.0151</v>
      </c>
      <c r="V3" s="3" t="n">
        <v>0.00956</v>
      </c>
      <c r="W3" s="3" t="n">
        <v>0.011313</v>
      </c>
      <c r="X3" s="3" t="n">
        <v>0.006127</v>
      </c>
      <c r="Y3" s="3" t="n">
        <v>0.011462</v>
      </c>
      <c r="Z3" s="3" t="n">
        <v>0.0074</v>
      </c>
      <c r="AA3" s="3" t="n">
        <v>0.005411</v>
      </c>
      <c r="AB3" s="3" t="n">
        <v>0.014532</v>
      </c>
      <c r="AC3" s="3" t="n">
        <v>0.014065</v>
      </c>
      <c r="AD3" s="3" t="n">
        <v>0.005118</v>
      </c>
      <c r="AE3" s="3" t="n">
        <v>0.0072</v>
      </c>
      <c r="AF3" s="3" t="n">
        <v>0.005872</v>
      </c>
      <c r="AG3" s="3" t="n">
        <v>0.008569</v>
      </c>
      <c r="AH3" s="3" t="n">
        <v>0.004829</v>
      </c>
      <c r="AI3" s="3" t="n">
        <v>0.007811</v>
      </c>
      <c r="AJ3" s="3" t="n">
        <v>0.013548</v>
      </c>
      <c r="AK3" s="3" t="n">
        <v>0.010314</v>
      </c>
      <c r="AL3" s="3" t="n">
        <v>0.0091</v>
      </c>
      <c r="AM3" s="3" t="n">
        <v>0.008606</v>
      </c>
      <c r="AN3" s="3" t="n">
        <v>0.006065</v>
      </c>
      <c r="AO3" s="3" t="n">
        <v>0.005131</v>
      </c>
      <c r="AP3" s="3" t="n">
        <v>0.006129</v>
      </c>
      <c r="AQ3" s="3" t="n">
        <v>0.00679</v>
      </c>
      <c r="AR3" s="3" t="n">
        <v>0.010764</v>
      </c>
      <c r="AS3" s="3" t="n">
        <v>0.006598</v>
      </c>
      <c r="AT3" s="3" t="n">
        <v>0.0118</v>
      </c>
      <c r="AU3" s="3" t="n">
        <v>0.007411</v>
      </c>
      <c r="AV3" s="3" t="n">
        <v>0.0084</v>
      </c>
      <c r="AW3" s="4" t="n">
        <v>0.008626</v>
      </c>
      <c r="AX3" s="4" t="n">
        <v>0.008729</v>
      </c>
      <c r="AY3" s="3" t="n">
        <v>0.011517</v>
      </c>
      <c r="AZ3" s="3" t="n">
        <v>0.008948</v>
      </c>
      <c r="BA3" s="3" t="n">
        <v>0.0105</v>
      </c>
      <c r="BB3" s="3" t="n">
        <v>0.00537</v>
      </c>
      <c r="BC3" s="3" t="n">
        <v>0.009944</v>
      </c>
      <c r="BD3" s="3" t="n">
        <v>0.008137</v>
      </c>
      <c r="BE3" s="3" t="n">
        <v>0.008717</v>
      </c>
      <c r="BF3" s="3" t="n">
        <v>0.005011</v>
      </c>
      <c r="BG3" s="3" t="n">
        <v>0.007339</v>
      </c>
      <c r="BH3" s="3" t="n">
        <v>0.007161</v>
      </c>
      <c r="BI3" s="3" t="n">
        <v>0.004636</v>
      </c>
      <c r="BJ3" s="3" t="n">
        <v>0.0052</v>
      </c>
      <c r="BK3" s="3" t="n">
        <v>0.0098</v>
      </c>
      <c r="BL3" s="3" t="n">
        <v>0.0057</v>
      </c>
      <c r="BM3" s="3" t="n">
        <v>0.00757</v>
      </c>
      <c r="BN3" s="3" t="n">
        <v>0.008265</v>
      </c>
      <c r="BO3" s="3" t="n">
        <v>0.0061</v>
      </c>
      <c r="BP3" s="3" t="n">
        <v>0.006768</v>
      </c>
      <c r="BQ3" s="3" t="n">
        <v>0.004562</v>
      </c>
      <c r="BR3" s="3" t="n">
        <v>0.014804</v>
      </c>
      <c r="BS3" s="3" t="n">
        <v>0.008684</v>
      </c>
      <c r="BT3" s="3" t="n">
        <v>0.006674</v>
      </c>
      <c r="BU3" s="3" t="n">
        <v>0.007885</v>
      </c>
      <c r="BV3" s="3" t="n">
        <v>0.004921</v>
      </c>
      <c r="BW3" s="3" t="n">
        <v>0.01046</v>
      </c>
      <c r="BX3" s="3" t="n">
        <v>0.007947</v>
      </c>
      <c r="BY3" s="3" t="n">
        <v>0.0077</v>
      </c>
      <c r="BZ3" s="3" t="n">
        <v>0.004789</v>
      </c>
      <c r="CA3" s="3" t="n">
        <v>0.006113</v>
      </c>
      <c r="CB3" s="3" t="n">
        <v>0.005703</v>
      </c>
      <c r="CC3" s="3" t="n">
        <v>0.011452</v>
      </c>
      <c r="CD3" s="3" t="n">
        <v>0.00825</v>
      </c>
      <c r="CE3" s="3" t="n">
        <v>0.007099</v>
      </c>
      <c r="CF3" s="3" t="n">
        <v>0.006392</v>
      </c>
      <c r="CG3" s="3" t="n">
        <v>0.0083</v>
      </c>
      <c r="CH3" s="3" t="n">
        <v>0.00688</v>
      </c>
      <c r="CI3" s="3" t="n">
        <v>0.004754</v>
      </c>
      <c r="CJ3" s="3" t="n">
        <v>0.00912</v>
      </c>
      <c r="CK3" s="3" t="n">
        <v>0.012922</v>
      </c>
      <c r="CL3" s="3" t="n">
        <v>0.00741</v>
      </c>
      <c r="CM3" s="3" t="n">
        <v>0.005014</v>
      </c>
      <c r="CN3" s="3" t="n">
        <v>0.007674</v>
      </c>
      <c r="CO3" s="3" t="n">
        <v>0.005652</v>
      </c>
      <c r="CP3" s="3" t="n">
        <v>0.00562</v>
      </c>
      <c r="CQ3" s="3" t="n">
        <v>0.006735</v>
      </c>
      <c r="CR3" s="3" t="n">
        <v>0.011311</v>
      </c>
      <c r="CS3" s="3" t="n">
        <v>0.0131</v>
      </c>
      <c r="CT3" s="3" t="n">
        <v>0.007053</v>
      </c>
      <c r="CU3" s="3" t="n">
        <v>0.007203</v>
      </c>
      <c r="CV3" s="3" t="n">
        <v>0.006923</v>
      </c>
      <c r="CW3" s="3" t="n">
        <v>0.006205</v>
      </c>
      <c r="CX3" s="3" t="n">
        <v>0.013573</v>
      </c>
      <c r="CY3" s="3" t="n">
        <v>0.012035</v>
      </c>
      <c r="CZ3" s="3" t="n">
        <v>0.012461</v>
      </c>
      <c r="DA3" s="3" t="n">
        <v>0.011587</v>
      </c>
      <c r="DB3" s="3" t="n">
        <v>0.0085</v>
      </c>
      <c r="DC3" s="3" t="n">
        <v>0.006761</v>
      </c>
      <c r="DD3" s="3" t="n">
        <v>0.007762</v>
      </c>
      <c r="DE3" s="3" t="n">
        <v>0.007408</v>
      </c>
      <c r="DF3" s="3" t="n">
        <v>0.01437</v>
      </c>
      <c r="DG3" s="3" t="n">
        <v>0.0092</v>
      </c>
      <c r="DH3" s="3" t="n">
        <v>0.0078</v>
      </c>
      <c r="DI3" s="3" t="n">
        <v>0.005608</v>
      </c>
      <c r="DJ3" s="3" t="n">
        <v>0.007901</v>
      </c>
      <c r="DK3" s="3" t="n">
        <v>0.006876</v>
      </c>
      <c r="DL3" s="3" t="n">
        <v>0.00894</v>
      </c>
      <c r="DM3" s="3" t="n">
        <v>0.009392</v>
      </c>
      <c r="DN3" s="3" t="n">
        <v>0.0062</v>
      </c>
      <c r="DO3" s="3" t="n">
        <v>0.009654</v>
      </c>
      <c r="DP3" s="3" t="n">
        <v>0.0147</v>
      </c>
      <c r="DQ3" s="3" t="n">
        <v>0.0088</v>
      </c>
      <c r="DR3" s="3" t="n">
        <v>0.006905</v>
      </c>
      <c r="DS3" s="3" t="n">
        <v>0.0081</v>
      </c>
      <c r="DT3" s="3" t="n">
        <v>0.009329</v>
      </c>
      <c r="DU3" s="3" t="n">
        <v>0.0049</v>
      </c>
      <c r="DV3" s="3" t="n">
        <v>0.005528</v>
      </c>
      <c r="DW3" s="3" t="n">
        <v>0.005815</v>
      </c>
      <c r="DX3" s="3" t="n">
        <v>0.006919</v>
      </c>
      <c r="DY3" s="3" t="n">
        <v>0.009018</v>
      </c>
      <c r="DZ3" s="3" t="n">
        <v>0.009819</v>
      </c>
    </row>
    <row r="4" customFormat="false" ht="15" hidden="false" customHeight="false" outlineLevel="0" collapsed="false">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row>
    <row r="5" customFormat="false" ht="15" hidden="false" customHeight="false" outlineLevel="0" collapsed="false">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row>
    <row r="6" customFormat="false" ht="15" hidden="false" customHeight="false" outlineLevel="0" collapsed="false">
      <c r="A6" s="2" t="s">
        <v>131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row>
    <row r="7" customFormat="false" ht="15" hidden="false" customHeight="false" outlineLevel="0" collapsed="false">
      <c r="A7" s="6" t="s">
        <v>132</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row>
    <row r="8" customFormat="false" ht="15" hidden="false" customHeight="false" outlineLevel="0" collapsed="false">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row>
    <row r="9" customFormat="false" ht="15" hidden="false" customHeight="false" outlineLevel="0" collapsed="false">
      <c r="A9" s="7" t="s">
        <v>133</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row>
    <row r="10" customFormat="false" ht="15" hidden="false" customHeight="false" outlineLevel="0" collapsed="false">
      <c r="A10" s="6" t="s">
        <v>134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row>
    <row r="11" customFormat="false" ht="15" hidden="false" customHeight="false" outlineLevel="0" collapsed="false">
      <c r="A11" s="5"/>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row>
    <row r="12" customFormat="false" ht="15" hidden="false" customHeight="false" outlineLevel="0" collapsed="false">
      <c r="A12" s="5"/>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row>
    <row r="13" customFormat="false" ht="15" hidden="false" customHeight="false" outlineLevel="0" collapsed="false">
      <c r="A13" s="5"/>
      <c r="B13" s="5"/>
      <c r="C13" s="5"/>
      <c r="D13" s="5"/>
      <c r="E13" s="5" t="s">
        <v>135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row>
    <row r="14" customFormat="false" ht="15" hidden="false" customHeight="false" outlineLevel="0" collapsed="false">
      <c r="A14" s="9" t="s">
        <v>136</v>
      </c>
      <c r="B14" s="10"/>
      <c r="C14" s="10"/>
      <c r="D14" s="10"/>
      <c r="E14" s="10"/>
      <c r="F14" s="10"/>
      <c r="G14" s="10"/>
      <c r="H14" s="10"/>
      <c r="I14" s="10"/>
      <c r="J14" s="10"/>
      <c r="K14" s="10"/>
    </row>
    <row r="15" customFormat="false" ht="15" hidden="false" customHeight="false" outlineLevel="0" collapsed="false">
      <c r="A15" s="11" t="n">
        <v>2004</v>
      </c>
      <c r="B15" s="10"/>
      <c r="C15" s="10"/>
      <c r="D15" s="10"/>
      <c r="E15" s="10"/>
      <c r="F15" s="10"/>
      <c r="G15" s="10"/>
      <c r="H15" s="10"/>
      <c r="I15" s="10"/>
      <c r="J15" s="10"/>
      <c r="K15" s="10"/>
      <c r="AU15" s="7" t="s">
        <v>135</v>
      </c>
    </row>
    <row r="16" customFormat="false" ht="15" hidden="false" customHeight="false" outlineLevel="0" collapsed="false">
      <c r="A16" s="3" t="s">
        <v>137</v>
      </c>
      <c r="B16" s="3" t="n">
        <v>0.043151</v>
      </c>
      <c r="C16" s="3" t="n">
        <v>0.012953</v>
      </c>
      <c r="D16" s="3" t="n">
        <v>0.035553</v>
      </c>
      <c r="E16" s="3" t="n">
        <v>0.010886</v>
      </c>
      <c r="F16" s="3" t="n">
        <v>-0.00344</v>
      </c>
      <c r="G16" s="3" t="n">
        <v>0.011594</v>
      </c>
      <c r="H16" s="3" t="n">
        <v>0.00620413127334181</v>
      </c>
      <c r="I16" s="3" t="n">
        <v>0.008754</v>
      </c>
      <c r="J16" s="3" t="n">
        <v>0.021251</v>
      </c>
      <c r="K16" s="3" t="n">
        <v>0.016058</v>
      </c>
      <c r="L16" s="3" t="n">
        <v>0.003044</v>
      </c>
      <c r="M16" s="3" t="n">
        <v>-0.00686</v>
      </c>
      <c r="N16" s="3" t="n">
        <v>0.004328</v>
      </c>
      <c r="O16" s="3" t="n">
        <v>0.025507</v>
      </c>
      <c r="P16" s="3" t="n">
        <v>0.032991</v>
      </c>
      <c r="Q16" s="3" t="n">
        <v>0.028403</v>
      </c>
      <c r="R16" s="3" t="n">
        <v>0.017699</v>
      </c>
      <c r="S16" s="3" t="n">
        <v>0.013884</v>
      </c>
      <c r="T16" s="3" t="n">
        <v>0.013464</v>
      </c>
      <c r="U16" s="3" t="n">
        <v>-0.00543375462654425</v>
      </c>
      <c r="V16" s="3" t="n">
        <v>0.029321</v>
      </c>
      <c r="W16" s="3" t="n">
        <v>0.034578</v>
      </c>
      <c r="X16" s="3" t="n">
        <v>0.016232</v>
      </c>
      <c r="Y16" s="3" t="n">
        <v>0.025741</v>
      </c>
      <c r="Z16" s="3" t="n">
        <v>0.01002</v>
      </c>
      <c r="AA16" s="3" t="n">
        <v>0.013546</v>
      </c>
      <c r="AB16" s="3" t="n">
        <v>0.016332</v>
      </c>
      <c r="AC16" s="3" t="n">
        <v>0.037455</v>
      </c>
      <c r="AD16" s="3" t="n">
        <v>0.011621</v>
      </c>
      <c r="AE16" s="3" t="n">
        <v>0.005939</v>
      </c>
      <c r="AF16" s="3" t="n">
        <v>0.0134788776903394</v>
      </c>
      <c r="AG16" s="3" t="n">
        <v>0.02403</v>
      </c>
      <c r="AH16" s="3" t="n">
        <v>0.014693</v>
      </c>
      <c r="AI16" s="3" t="n">
        <v>0.002302</v>
      </c>
      <c r="AJ16" s="3" t="n">
        <v>0.017623</v>
      </c>
      <c r="AK16" s="3" t="n">
        <v>0.03204</v>
      </c>
      <c r="AL16" s="3" t="n">
        <v>0.002584</v>
      </c>
      <c r="AM16" s="3" t="n">
        <v>0.014417</v>
      </c>
      <c r="AN16" s="3" t="n">
        <v>0.014968</v>
      </c>
      <c r="AO16" s="3" t="n">
        <v>0.016422</v>
      </c>
      <c r="AP16" s="3" t="n">
        <v>0.018492</v>
      </c>
      <c r="AQ16" s="3" t="n">
        <v>0.004086</v>
      </c>
      <c r="AR16" s="3" t="n">
        <v>0.032575</v>
      </c>
      <c r="AS16" s="3" t="n">
        <v>0.034169</v>
      </c>
      <c r="AT16" s="3" t="n">
        <v>-0.00598</v>
      </c>
      <c r="AU16" s="3" t="n">
        <v>0.028241</v>
      </c>
      <c r="AV16" s="3" t="n">
        <v>0.007363</v>
      </c>
      <c r="AW16" s="3" t="n">
        <v>0.022083</v>
      </c>
      <c r="AX16" s="3" t="n">
        <v>0.032339</v>
      </c>
      <c r="AY16" s="3" t="n">
        <v>-0.01303</v>
      </c>
      <c r="AZ16" s="3" t="n">
        <v>0.026011</v>
      </c>
      <c r="BA16" s="3" t="n">
        <v>0.002474</v>
      </c>
      <c r="BB16" s="3" t="n">
        <v>0.023919</v>
      </c>
      <c r="BC16" s="3" t="n">
        <v>0.019546</v>
      </c>
      <c r="BD16" s="3" t="n">
        <v>-0.00051</v>
      </c>
      <c r="BE16" s="3" t="n">
        <v>0.015764</v>
      </c>
      <c r="BF16" s="3" t="n">
        <v>0.018992</v>
      </c>
      <c r="BG16" s="3" t="n">
        <v>0.016154</v>
      </c>
      <c r="BH16" s="3" t="n">
        <v>0.01335</v>
      </c>
      <c r="BI16" s="3" t="n">
        <v>0.011606</v>
      </c>
      <c r="BJ16" s="3" t="n">
        <v>0.017676</v>
      </c>
      <c r="BK16" s="3" t="n">
        <v>0.00647182705470772</v>
      </c>
      <c r="BL16" s="3" t="n">
        <v>0.003594</v>
      </c>
      <c r="BM16" s="3" t="n">
        <v>0.006949</v>
      </c>
      <c r="BN16" s="3" t="n">
        <v>0.026076</v>
      </c>
      <c r="BO16" s="3" t="n">
        <v>0.012101</v>
      </c>
      <c r="BP16" s="3" t="n">
        <v>0.014218</v>
      </c>
      <c r="BQ16" s="3" t="n">
        <v>0.042786</v>
      </c>
      <c r="BR16" s="3" t="n">
        <v>0.006961</v>
      </c>
      <c r="BS16" s="3" t="n">
        <v>0.019155</v>
      </c>
      <c r="BT16" s="3" t="n">
        <v>0.0296</v>
      </c>
      <c r="BU16" s="3" t="n">
        <v>0.025893</v>
      </c>
      <c r="BV16" s="3" t="n">
        <v>0.01843</v>
      </c>
      <c r="BW16" s="3" t="n">
        <v>0.03143</v>
      </c>
      <c r="BX16" s="3" t="n">
        <v>0.029871</v>
      </c>
      <c r="BY16" s="3" t="n">
        <v>0.006271</v>
      </c>
      <c r="BZ16" s="3" t="n">
        <v>0.01273</v>
      </c>
      <c r="CA16" s="3" t="n">
        <v>0.011107</v>
      </c>
      <c r="CB16" s="3" t="n">
        <v>0.009362</v>
      </c>
      <c r="CC16" s="3" t="n">
        <v>0.029403</v>
      </c>
      <c r="CD16" s="3" t="n">
        <v>0.008726</v>
      </c>
      <c r="CE16" s="3" t="n">
        <v>0.011154</v>
      </c>
      <c r="CF16" s="3" t="n">
        <v>0.013152</v>
      </c>
      <c r="CG16" s="3" t="n">
        <v>0.003475</v>
      </c>
      <c r="CH16" s="3" t="n">
        <v>0.014862</v>
      </c>
      <c r="CI16" s="3" t="n">
        <v>0.013047</v>
      </c>
      <c r="CJ16" s="3" t="n">
        <v>0.036778</v>
      </c>
      <c r="CK16" s="3" t="n">
        <v>0.025702</v>
      </c>
      <c r="CL16" s="3" t="n">
        <v>0.020278</v>
      </c>
      <c r="CM16" s="3" t="n">
        <v>0.017979</v>
      </c>
      <c r="CN16" s="3" t="n">
        <v>0.024623</v>
      </c>
      <c r="CO16" s="3" t="n">
        <v>0.016938</v>
      </c>
      <c r="CP16" s="3" t="n">
        <v>0.012376</v>
      </c>
      <c r="CQ16" s="3" t="n">
        <v>0.01939</v>
      </c>
      <c r="CR16" s="3" t="n">
        <v>-0.00247</v>
      </c>
      <c r="CS16" s="3" t="n">
        <v>-0.00403</v>
      </c>
      <c r="CT16" s="3" t="n">
        <v>0.01627</v>
      </c>
      <c r="CU16" s="3" t="n">
        <v>0.010424</v>
      </c>
      <c r="CV16" s="3" t="n">
        <v>0.022798</v>
      </c>
      <c r="CW16" s="3" t="n">
        <v>0.027145</v>
      </c>
      <c r="CX16" s="3" t="n">
        <v>0.046817</v>
      </c>
      <c r="CY16" s="3" t="n">
        <v>0.026023</v>
      </c>
      <c r="CZ16" s="3" t="n">
        <v>0.012938</v>
      </c>
      <c r="DA16" s="3" t="n">
        <v>0.037271</v>
      </c>
      <c r="DB16" s="3" t="n">
        <v>0.017255</v>
      </c>
      <c r="DC16" s="3" t="n">
        <v>0.013573</v>
      </c>
      <c r="DD16" s="3" t="n">
        <v>0.026345</v>
      </c>
      <c r="DE16" s="3" t="n">
        <v>0.003421</v>
      </c>
      <c r="DF16" s="3" t="n">
        <v>0.006255</v>
      </c>
      <c r="DG16" s="3" t="n">
        <v>0.00393298991357658</v>
      </c>
      <c r="DH16" s="3" t="n">
        <v>0.00687425960233006</v>
      </c>
      <c r="DI16" s="3" t="n">
        <v>0.020268</v>
      </c>
      <c r="DJ16" s="3" t="n">
        <v>0.00902</v>
      </c>
      <c r="DK16" s="3" t="n">
        <v>0.035101</v>
      </c>
      <c r="DL16" s="3" t="n">
        <v>0.027132</v>
      </c>
      <c r="DM16" s="3" t="n">
        <v>0.005036</v>
      </c>
      <c r="DN16" s="3" t="n">
        <v>0.009367</v>
      </c>
      <c r="DO16" s="3" t="n">
        <v>0.033641</v>
      </c>
      <c r="DP16" s="3" t="n">
        <v>-0.00759</v>
      </c>
      <c r="DQ16" s="3" t="n">
        <v>0.005689</v>
      </c>
      <c r="DR16" s="3" t="n">
        <v>0.028587</v>
      </c>
      <c r="DS16" s="3" t="n">
        <v>0.009255</v>
      </c>
      <c r="DT16" s="3" t="n">
        <v>-0.00046</v>
      </c>
      <c r="DU16" s="3" t="n">
        <v>0.011538</v>
      </c>
      <c r="DV16" s="3" t="n">
        <v>0.017517</v>
      </c>
      <c r="DW16" s="3" t="n">
        <v>0.01197</v>
      </c>
      <c r="DX16" s="3" t="n">
        <v>0.028375</v>
      </c>
      <c r="DY16" s="3" t="n">
        <v>0.025885</v>
      </c>
      <c r="DZ16" s="3" t="n">
        <v>0.007306</v>
      </c>
    </row>
    <row r="17" customFormat="false" ht="15" hidden="false" customHeight="false" outlineLevel="0" collapsed="false">
      <c r="A17" s="3" t="s">
        <v>129</v>
      </c>
      <c r="B17" s="12" t="n">
        <f aca="false">B18+B16</f>
        <v>0.054154</v>
      </c>
      <c r="C17" s="3" t="n">
        <v>0.017947</v>
      </c>
      <c r="D17" s="3" t="n">
        <v>0.052624</v>
      </c>
      <c r="E17" s="12" t="n">
        <f aca="false">E18+E16</f>
        <v>0.018632</v>
      </c>
      <c r="F17" s="3" t="n">
        <v>0.004952</v>
      </c>
      <c r="G17" s="12" t="n">
        <f aca="false">G18+G16</f>
        <v>0.018094</v>
      </c>
      <c r="H17" s="3" t="n">
        <v>0.0153041312733418</v>
      </c>
      <c r="I17" s="3" t="n">
        <v>0.014754</v>
      </c>
      <c r="J17" s="12" t="n">
        <f aca="false">J18+J16</f>
        <v>0.026841</v>
      </c>
      <c r="K17" s="12" t="n">
        <f aca="false">K18+K16</f>
        <v>0.02232</v>
      </c>
      <c r="L17" s="3" t="n">
        <v>0.013217</v>
      </c>
      <c r="M17" s="3" t="n">
        <v>0.007538</v>
      </c>
      <c r="N17" s="12" t="n">
        <f aca="false">N18+N16</f>
        <v>0.014028</v>
      </c>
      <c r="O17" s="3" t="n">
        <v>0.030923</v>
      </c>
      <c r="P17" s="12" t="n">
        <f aca="false">P18+P16</f>
        <v>0.044253</v>
      </c>
      <c r="Q17" s="12" t="n">
        <f aca="false">Q18+Q16</f>
        <v>0.035782</v>
      </c>
      <c r="R17" s="3" t="n">
        <v>0.026793</v>
      </c>
      <c r="S17" s="12" t="n">
        <f aca="false">S18+S16</f>
        <v>0.026756</v>
      </c>
      <c r="T17" s="12" t="n">
        <f aca="false">T18+T16</f>
        <v>0.019338</v>
      </c>
      <c r="U17" s="3" t="n">
        <v>0.00876624537345575</v>
      </c>
      <c r="V17" s="3" t="n">
        <v>0.043008</v>
      </c>
      <c r="W17" s="12" t="n">
        <f aca="false">W18+W16</f>
        <v>0.048092</v>
      </c>
      <c r="X17" s="12" t="n">
        <f aca="false">X18+X16</f>
        <v>0.024024</v>
      </c>
      <c r="Y17" s="12" t="n">
        <f aca="false">Y18+Y16</f>
        <v>0.039627</v>
      </c>
      <c r="Z17" s="12" t="n">
        <f aca="false">Z18+Z16</f>
        <v>0.01727</v>
      </c>
      <c r="AA17" s="3" t="n">
        <v>0.019049</v>
      </c>
      <c r="AB17" s="3" t="n">
        <v>0.035146</v>
      </c>
      <c r="AC17" s="12" t="n">
        <f aca="false">AC18+AC16</f>
        <v>0.054752</v>
      </c>
      <c r="AD17" s="3" t="n">
        <v>0.016799</v>
      </c>
      <c r="AE17" s="12" t="n">
        <f aca="false">AE18+AE16</f>
        <v>0.012359</v>
      </c>
      <c r="AF17" s="3" t="n">
        <v>0.0190488776903394</v>
      </c>
      <c r="AG17" s="12" t="n">
        <f aca="false">AG18+AG16</f>
        <v>0.037617</v>
      </c>
      <c r="AH17" s="3" t="n">
        <v>0.0189</v>
      </c>
      <c r="AI17" s="3" t="n">
        <v>0.009379</v>
      </c>
      <c r="AJ17" s="12" t="n">
        <f aca="false">AJ18+AJ16</f>
        <v>0.034276</v>
      </c>
      <c r="AK17" s="12" t="n">
        <f aca="false">AK18+AK16</f>
        <v>0.046069</v>
      </c>
      <c r="AL17" s="12" t="n">
        <f aca="false">AL18+AL16</f>
        <v>0.012884</v>
      </c>
      <c r="AM17" s="3" t="n">
        <v>0.024497</v>
      </c>
      <c r="AN17" s="3" t="n">
        <v>0.020955</v>
      </c>
      <c r="AO17" s="3" t="n">
        <v>0.021577</v>
      </c>
      <c r="AP17" s="12" t="n">
        <f aca="false">AP18+AP16</f>
        <v>0.025018</v>
      </c>
      <c r="AQ17" s="3" t="n">
        <v>0.010793</v>
      </c>
      <c r="AR17" s="3" t="n">
        <v>0.046007</v>
      </c>
      <c r="AS17" s="3" t="n">
        <v>0.042876</v>
      </c>
      <c r="AT17" s="12" t="n">
        <f aca="false">AT18+AT16</f>
        <v>0.00702</v>
      </c>
      <c r="AU17" s="12" t="n">
        <f aca="false">AU18+AU16</f>
        <v>0.039931</v>
      </c>
      <c r="AV17" s="12" t="n">
        <f aca="false">AV18+AV16</f>
        <v>0.015663</v>
      </c>
      <c r="AW17" s="3" t="n">
        <v>0.033207</v>
      </c>
      <c r="AX17" s="12" t="n">
        <f aca="false">AX18+AX16</f>
        <v>0.042875</v>
      </c>
      <c r="AY17" s="12" t="n">
        <f aca="false">AY18+AY16</f>
        <v>-0.00266</v>
      </c>
      <c r="AZ17" s="12" t="n">
        <f aca="false">AZ18+AZ16</f>
        <v>0.036262</v>
      </c>
      <c r="BA17" s="3" t="n">
        <v>0.012074</v>
      </c>
      <c r="BB17" s="3" t="n">
        <v>0.029716</v>
      </c>
      <c r="BC17" s="12" t="n">
        <f aca="false">BC18+BC16</f>
        <v>0.033919</v>
      </c>
      <c r="BD17" s="12" t="n">
        <f aca="false">BD18+BD16</f>
        <v>0.007256</v>
      </c>
      <c r="BE17" s="12" t="n">
        <f aca="false">BE18+BE16</f>
        <v>0.026059</v>
      </c>
      <c r="BF17" s="3" t="n">
        <v>0.024165</v>
      </c>
      <c r="BG17" s="12" t="n">
        <f aca="false">BG18+BG16</f>
        <v>0.024367</v>
      </c>
      <c r="BH17" s="3" t="n">
        <v>0.020663</v>
      </c>
      <c r="BI17" s="12" t="n">
        <f aca="false">BI18+BI16</f>
        <v>0.01673</v>
      </c>
      <c r="BJ17" s="3" t="n">
        <v>0.023276</v>
      </c>
      <c r="BK17" s="3" t="n">
        <v>0.0159718270547077</v>
      </c>
      <c r="BL17" s="3" t="n">
        <v>0.009794</v>
      </c>
      <c r="BM17" s="12" t="n">
        <f aca="false">BM18+BM16</f>
        <v>0.017089</v>
      </c>
      <c r="BN17" s="12" t="n">
        <f aca="false">BN18+BN16</f>
        <v>0.038508</v>
      </c>
      <c r="BO17" s="3" t="n">
        <v>0.019001</v>
      </c>
      <c r="BP17" s="12" t="n">
        <f aca="false">BP18+BP16</f>
        <v>0.022818</v>
      </c>
      <c r="BQ17" s="3" t="n">
        <v>0.047766</v>
      </c>
      <c r="BR17" s="12" t="n">
        <f aca="false">BR18+BR16</f>
        <v>0.025708</v>
      </c>
      <c r="BS17" s="12" t="n">
        <f aca="false">BS18+BS16</f>
        <v>0.031897</v>
      </c>
      <c r="BT17" s="3" t="n">
        <v>0.038363</v>
      </c>
      <c r="BU17" s="12" t="n">
        <f aca="false">BU18+BU16</f>
        <v>0.041679</v>
      </c>
      <c r="BV17" s="12" t="n">
        <f aca="false">BV18+BV16</f>
        <v>0.022884</v>
      </c>
      <c r="BW17" s="3" t="n">
        <v>0.046942</v>
      </c>
      <c r="BX17" s="12" t="n">
        <f aca="false">BX18+BX16</f>
        <v>0.039152</v>
      </c>
      <c r="BY17" s="12" t="n">
        <f aca="false">BY18+BY16</f>
        <v>0.013171</v>
      </c>
      <c r="BZ17" s="12" t="n">
        <f aca="false">BZ18+BZ16</f>
        <v>0.017315</v>
      </c>
      <c r="CA17" s="12" t="n">
        <f aca="false">CA18+CA16</f>
        <v>0.018211</v>
      </c>
      <c r="CB17" s="12" t="n">
        <f aca="false">CB18+CB16</f>
        <v>0.015549</v>
      </c>
      <c r="CC17" s="3" t="n">
        <v>0.044144</v>
      </c>
      <c r="CD17" s="12" t="n">
        <f aca="false">CD18+CD16</f>
        <v>0.017504</v>
      </c>
      <c r="CE17" s="12" t="n">
        <f aca="false">CE18+CE16</f>
        <v>0.022506</v>
      </c>
      <c r="CF17" s="12" t="n">
        <f aca="false">CF18+CF16</f>
        <v>0.020676</v>
      </c>
      <c r="CG17" s="12" t="n">
        <f aca="false">CG18+CG16</f>
        <v>0.011875</v>
      </c>
      <c r="CH17" s="12" t="n">
        <f aca="false">CH18+CH16</f>
        <v>0.021812</v>
      </c>
      <c r="CI17" s="12" t="n">
        <f aca="false">CI18+CI16</f>
        <v>0.018035</v>
      </c>
      <c r="CJ17" s="12" t="n">
        <f aca="false">CJ18+CJ16</f>
        <v>0.051345</v>
      </c>
      <c r="CK17" s="12" t="n">
        <f aca="false">CK18+CK16</f>
        <v>0.042075</v>
      </c>
      <c r="CL17" s="3" t="n">
        <v>0.028516</v>
      </c>
      <c r="CM17" s="3" t="n">
        <v>0.022781</v>
      </c>
      <c r="CN17" s="3" t="n">
        <v>0.033082</v>
      </c>
      <c r="CO17" s="12" t="n">
        <f aca="false">CO18+CO16</f>
        <v>0.022529</v>
      </c>
      <c r="CP17" s="3" t="n">
        <v>0.017916</v>
      </c>
      <c r="CQ17" s="12" t="n">
        <f aca="false">CQ18+CQ16</f>
        <v>0.025479</v>
      </c>
      <c r="CR17" s="12" t="n">
        <f aca="false">CR18+CR16</f>
        <v>0.009436</v>
      </c>
      <c r="CS17" s="3" t="n">
        <v>0.011974</v>
      </c>
      <c r="CT17" s="12" t="n">
        <f aca="false">CT18+CT16</f>
        <v>0.028758</v>
      </c>
      <c r="CU17" s="3" t="n">
        <v>0.017358</v>
      </c>
      <c r="CV17" s="3" t="n">
        <v>0.031177</v>
      </c>
      <c r="CW17" s="12" t="n">
        <f aca="false">CW18+CW16</f>
        <v>0.036739</v>
      </c>
      <c r="CX17" s="12" t="n">
        <f aca="false">CX18+CX16</f>
        <v>0.067068</v>
      </c>
      <c r="CY17" s="3" t="n">
        <v>0.040618</v>
      </c>
      <c r="CZ17" s="12" t="n">
        <f aca="false">CZ18+CZ16</f>
        <v>0.027289</v>
      </c>
      <c r="DA17" s="12" t="n">
        <f aca="false">DA18+DA16</f>
        <v>0.051958</v>
      </c>
      <c r="DB17" s="3" t="n">
        <v>0.025855</v>
      </c>
      <c r="DC17" s="12" t="n">
        <f aca="false">DC18+DC16</f>
        <v>0.019725</v>
      </c>
      <c r="DD17" s="3" t="n">
        <v>0.036043</v>
      </c>
      <c r="DE17" s="12" t="n">
        <f aca="false">DE18+DE16</f>
        <v>0.01092</v>
      </c>
      <c r="DF17" s="3" t="n">
        <v>0.021975</v>
      </c>
      <c r="DG17" s="3" t="n">
        <v>0.0140329899135766</v>
      </c>
      <c r="DH17" s="3" t="n">
        <v>0.0149742596023301</v>
      </c>
      <c r="DI17" s="3" t="n">
        <v>0.027022</v>
      </c>
      <c r="DJ17" s="12" t="n">
        <f aca="false">DJ18+DJ16</f>
        <v>0.016065</v>
      </c>
      <c r="DK17" s="12" t="n">
        <f aca="false">DK18+DK16</f>
        <v>0.042537</v>
      </c>
      <c r="DL17" s="12" t="n">
        <f aca="false">DL18+DL16</f>
        <v>0.039286</v>
      </c>
      <c r="DM17" s="3" t="n">
        <v>0.013546</v>
      </c>
      <c r="DN17" s="3" t="n">
        <v>0.015367</v>
      </c>
      <c r="DO17" s="12" t="n">
        <f aca="false">DO18+DO16</f>
        <v>0.047404</v>
      </c>
      <c r="DP17" s="12" t="n">
        <f aca="false">DP18+DP16</f>
        <v>0.008454</v>
      </c>
      <c r="DQ17" s="12" t="n">
        <f aca="false">DQ18+DQ16</f>
        <v>0.015389</v>
      </c>
      <c r="DR17" s="3" t="n">
        <v>0.040363</v>
      </c>
      <c r="DS17" s="12" t="n">
        <f aca="false">DS18+DS16</f>
        <v>0.017455</v>
      </c>
      <c r="DT17" s="3" t="n">
        <v>0.008877</v>
      </c>
      <c r="DU17" s="3" t="n">
        <v>0.016578</v>
      </c>
      <c r="DV17" s="3" t="n">
        <v>0.02256</v>
      </c>
      <c r="DW17" s="12" t="n">
        <f aca="false">DW18+DW16</f>
        <v>0.017514</v>
      </c>
      <c r="DX17" s="3" t="n">
        <v>0.036724</v>
      </c>
      <c r="DY17" s="12" t="n">
        <f aca="false">DY18+DY16</f>
        <v>0.041153</v>
      </c>
      <c r="DZ17" s="12" t="n">
        <f aca="false">DZ18+DZ16</f>
        <v>0.026486</v>
      </c>
    </row>
    <row r="18" customFormat="false" ht="15" hidden="false" customHeight="false" outlineLevel="0" collapsed="false">
      <c r="A18" s="11" t="s">
        <v>130</v>
      </c>
      <c r="B18" s="3" t="n">
        <v>0.011003</v>
      </c>
      <c r="C18" s="3" t="n">
        <v>0.004994</v>
      </c>
      <c r="D18" s="3" t="n">
        <v>0.017071</v>
      </c>
      <c r="E18" s="3" t="n">
        <v>0.007746</v>
      </c>
      <c r="F18" s="3" t="n">
        <v>0.008396</v>
      </c>
      <c r="G18" s="3" t="n">
        <v>0.0065</v>
      </c>
      <c r="H18" s="3" t="n">
        <v>0.0091</v>
      </c>
      <c r="I18" s="3" t="n">
        <v>0.006</v>
      </c>
      <c r="J18" s="3" t="n">
        <v>0.00559</v>
      </c>
      <c r="K18" s="3" t="n">
        <v>0.006262</v>
      </c>
      <c r="L18" s="3" t="n">
        <v>0.010173</v>
      </c>
      <c r="M18" s="3" t="n">
        <v>0.0144</v>
      </c>
      <c r="N18" s="3" t="n">
        <v>0.0097</v>
      </c>
      <c r="O18" s="3" t="n">
        <v>0.005416</v>
      </c>
      <c r="P18" s="3" t="n">
        <v>0.011262</v>
      </c>
      <c r="Q18" s="3" t="n">
        <v>0.007379</v>
      </c>
      <c r="R18" s="3" t="n">
        <v>0.009094</v>
      </c>
      <c r="S18" s="3" t="n">
        <v>0.012872</v>
      </c>
      <c r="T18" s="3" t="n">
        <v>0.005874</v>
      </c>
      <c r="U18" s="3" t="n">
        <v>0.0142</v>
      </c>
      <c r="V18" s="3" t="n">
        <v>0.013687</v>
      </c>
      <c r="W18" s="3" t="n">
        <v>0.013514</v>
      </c>
      <c r="X18" s="3" t="n">
        <v>0.007792</v>
      </c>
      <c r="Y18" s="3" t="n">
        <v>0.013886</v>
      </c>
      <c r="Z18" s="3" t="n">
        <v>0.00725</v>
      </c>
      <c r="AA18" s="3" t="n">
        <v>0.005503</v>
      </c>
      <c r="AB18" s="3" t="n">
        <v>0.018814</v>
      </c>
      <c r="AC18" s="3" t="n">
        <v>0.017297</v>
      </c>
      <c r="AD18" s="3" t="n">
        <v>0.005178</v>
      </c>
      <c r="AE18" s="3" t="n">
        <v>0.00642</v>
      </c>
      <c r="AF18" s="3" t="n">
        <v>0.00557</v>
      </c>
      <c r="AG18" s="3" t="n">
        <v>0.013587</v>
      </c>
      <c r="AH18" s="3" t="n">
        <v>0.004207</v>
      </c>
      <c r="AI18" s="3" t="n">
        <v>0.007077</v>
      </c>
      <c r="AJ18" s="3" t="n">
        <v>0.016653</v>
      </c>
      <c r="AK18" s="3" t="n">
        <v>0.014029</v>
      </c>
      <c r="AL18" s="3" t="n">
        <v>0.0103</v>
      </c>
      <c r="AM18" s="3" t="n">
        <v>0.01008</v>
      </c>
      <c r="AN18" s="3" t="n">
        <v>0.005987</v>
      </c>
      <c r="AO18" s="3" t="n">
        <v>0.005155</v>
      </c>
      <c r="AP18" s="3" t="n">
        <v>0.006526</v>
      </c>
      <c r="AQ18" s="3" t="n">
        <v>0.006707</v>
      </c>
      <c r="AR18" s="3" t="n">
        <v>0.013432</v>
      </c>
      <c r="AS18" s="3" t="n">
        <v>0.008707</v>
      </c>
      <c r="AT18" s="3" t="n">
        <v>0.013</v>
      </c>
      <c r="AU18" s="3" t="n">
        <v>0.01169</v>
      </c>
      <c r="AV18" s="3" t="n">
        <v>0.0083</v>
      </c>
      <c r="AW18" s="3" t="n">
        <v>0.011124</v>
      </c>
      <c r="AX18" s="3" t="n">
        <v>0.010536</v>
      </c>
      <c r="AY18" s="3" t="n">
        <v>0.01037</v>
      </c>
      <c r="AZ18" s="3" t="n">
        <v>0.010251</v>
      </c>
      <c r="BA18" s="3" t="n">
        <v>0.0096</v>
      </c>
      <c r="BB18" s="3" t="n">
        <v>0.005797</v>
      </c>
      <c r="BC18" s="3" t="n">
        <v>0.014373</v>
      </c>
      <c r="BD18" s="3" t="n">
        <v>0.007766</v>
      </c>
      <c r="BE18" s="3" t="n">
        <v>0.010295</v>
      </c>
      <c r="BF18" s="3" t="n">
        <v>0.005173</v>
      </c>
      <c r="BG18" s="3" t="n">
        <v>0.008213</v>
      </c>
      <c r="BH18" s="3" t="n">
        <v>0.007313</v>
      </c>
      <c r="BI18" s="3" t="n">
        <v>0.005124</v>
      </c>
      <c r="BJ18" s="3" t="n">
        <v>0.0056</v>
      </c>
      <c r="BK18" s="3" t="n">
        <v>0.0095</v>
      </c>
      <c r="BL18" s="3" t="n">
        <v>0.0062</v>
      </c>
      <c r="BM18" s="3" t="n">
        <v>0.01014</v>
      </c>
      <c r="BN18" s="3" t="n">
        <v>0.012432</v>
      </c>
      <c r="BO18" s="3" t="n">
        <v>0.0069</v>
      </c>
      <c r="BP18" s="3" t="n">
        <v>0.0086</v>
      </c>
      <c r="BQ18" s="3" t="n">
        <v>0.00498</v>
      </c>
      <c r="BR18" s="3" t="n">
        <v>0.018747</v>
      </c>
      <c r="BS18" s="3" t="n">
        <v>0.012742</v>
      </c>
      <c r="BT18" s="3" t="n">
        <v>0.008763</v>
      </c>
      <c r="BU18" s="3" t="n">
        <v>0.015786</v>
      </c>
      <c r="BV18" s="3" t="n">
        <v>0.004454</v>
      </c>
      <c r="BW18" s="3" t="n">
        <v>0.015512</v>
      </c>
      <c r="BX18" s="3" t="n">
        <v>0.009281</v>
      </c>
      <c r="BY18" s="3" t="n">
        <v>0.0069</v>
      </c>
      <c r="BZ18" s="3" t="n">
        <v>0.004585</v>
      </c>
      <c r="CA18" s="3" t="n">
        <v>0.007104</v>
      </c>
      <c r="CB18" s="3" t="n">
        <v>0.006187</v>
      </c>
      <c r="CC18" s="3" t="n">
        <v>0.014741</v>
      </c>
      <c r="CD18" s="3" t="n">
        <v>0.008778</v>
      </c>
      <c r="CE18" s="3" t="n">
        <v>0.011352</v>
      </c>
      <c r="CF18" s="3" t="n">
        <v>0.007524</v>
      </c>
      <c r="CG18" s="3" t="n">
        <v>0.0084</v>
      </c>
      <c r="CH18" s="3" t="n">
        <v>0.00695</v>
      </c>
      <c r="CI18" s="3" t="n">
        <v>0.004988</v>
      </c>
      <c r="CJ18" s="3" t="n">
        <v>0.014567</v>
      </c>
      <c r="CK18" s="3" t="n">
        <v>0.016373</v>
      </c>
      <c r="CL18" s="3" t="n">
        <v>0.008238</v>
      </c>
      <c r="CM18" s="3" t="n">
        <v>0.004802</v>
      </c>
      <c r="CN18" s="3" t="n">
        <v>0.008459</v>
      </c>
      <c r="CO18" s="3" t="n">
        <v>0.005591</v>
      </c>
      <c r="CP18" s="3" t="n">
        <v>0.00554</v>
      </c>
      <c r="CQ18" s="3" t="n">
        <v>0.006089</v>
      </c>
      <c r="CR18" s="3" t="n">
        <v>0.011906</v>
      </c>
      <c r="CS18" s="3" t="n">
        <v>0.016</v>
      </c>
      <c r="CT18" s="3" t="n">
        <v>0.012488</v>
      </c>
      <c r="CU18" s="3" t="n">
        <v>0.006934</v>
      </c>
      <c r="CV18" s="3" t="n">
        <v>0.008379</v>
      </c>
      <c r="CW18" s="3" t="n">
        <v>0.009594</v>
      </c>
      <c r="CX18" s="3" t="n">
        <v>0.020251</v>
      </c>
      <c r="CY18" s="3" t="n">
        <v>0.014595</v>
      </c>
      <c r="CZ18" s="3" t="n">
        <v>0.014351</v>
      </c>
      <c r="DA18" s="3" t="n">
        <v>0.014687</v>
      </c>
      <c r="DB18" s="3" t="n">
        <v>0.0086</v>
      </c>
      <c r="DC18" s="3" t="n">
        <v>0.006152</v>
      </c>
      <c r="DD18" s="3" t="n">
        <v>0.009698</v>
      </c>
      <c r="DE18" s="3" t="n">
        <v>0.007499</v>
      </c>
      <c r="DF18" s="3" t="n">
        <v>0.01572</v>
      </c>
      <c r="DG18" s="3" t="n">
        <v>0.0101</v>
      </c>
      <c r="DH18" s="3" t="n">
        <v>0.0081</v>
      </c>
      <c r="DI18" s="3" t="n">
        <v>0.006754</v>
      </c>
      <c r="DJ18" s="3" t="n">
        <v>0.007045</v>
      </c>
      <c r="DK18" s="3" t="n">
        <v>0.007436</v>
      </c>
      <c r="DL18" s="3" t="n">
        <v>0.012154</v>
      </c>
      <c r="DM18" s="3" t="n">
        <v>0.00851</v>
      </c>
      <c r="DN18" s="3" t="n">
        <v>0.006</v>
      </c>
      <c r="DO18" s="3" t="n">
        <v>0.013763</v>
      </c>
      <c r="DP18" s="3" t="n">
        <v>0.016044</v>
      </c>
      <c r="DQ18" s="3" t="n">
        <v>0.0097</v>
      </c>
      <c r="DR18" s="3" t="n">
        <v>0.011776</v>
      </c>
      <c r="DS18" s="3" t="n">
        <v>0.0082</v>
      </c>
      <c r="DT18" s="3" t="n">
        <v>0.00934</v>
      </c>
      <c r="DU18" s="3" t="n">
        <v>0.00504</v>
      </c>
      <c r="DV18" s="3" t="n">
        <v>0.005043</v>
      </c>
      <c r="DW18" s="3" t="n">
        <v>0.005544</v>
      </c>
      <c r="DX18" s="3" t="n">
        <v>0.008349</v>
      </c>
      <c r="DY18" s="3" t="n">
        <v>0.015268</v>
      </c>
      <c r="DZ18" s="3" t="n">
        <v>0.01918</v>
      </c>
    </row>
    <row r="19" customFormat="false" ht="15" hidden="false" customHeight="false" outlineLevel="0" collapsed="false">
      <c r="A19" s="10"/>
      <c r="B19" s="10"/>
      <c r="C19" s="10"/>
      <c r="D19" s="10"/>
      <c r="E19" s="10"/>
      <c r="F19" s="2"/>
      <c r="G19" s="10"/>
      <c r="H19" s="12"/>
      <c r="I19" s="2"/>
      <c r="J19" s="10"/>
      <c r="K19" s="10"/>
      <c r="L19" s="2"/>
      <c r="M19" s="2"/>
      <c r="O19" s="2"/>
      <c r="R19" s="2"/>
      <c r="U19" s="12"/>
      <c r="V19" s="2"/>
      <c r="AA19" s="2"/>
      <c r="AB19" s="2"/>
      <c r="AD19" s="2"/>
      <c r="AF19" s="12"/>
      <c r="AH19" s="2"/>
      <c r="AI19" s="2"/>
      <c r="AM19" s="2"/>
      <c r="AN19" s="2"/>
      <c r="AO19" s="2"/>
      <c r="AQ19" s="2"/>
      <c r="AR19" s="2"/>
      <c r="AS19" s="2"/>
      <c r="AW19" s="2"/>
      <c r="BA19" s="2"/>
      <c r="BB19" s="2"/>
      <c r="BF19" s="2"/>
      <c r="BH19" s="2"/>
      <c r="BJ19" s="2"/>
      <c r="BK19" s="12"/>
      <c r="BL19" s="2"/>
      <c r="BO19" s="2"/>
      <c r="BQ19" s="2"/>
      <c r="BT19" s="2"/>
      <c r="BW19" s="2"/>
      <c r="CC19" s="2"/>
      <c r="CL19" s="2"/>
      <c r="CM19" s="2"/>
      <c r="CN19" s="2"/>
      <c r="CP19" s="2"/>
      <c r="CS19" s="2"/>
      <c r="CU19" s="2"/>
      <c r="CV19" s="2"/>
      <c r="CY19" s="2"/>
      <c r="DB19" s="2"/>
      <c r="DD19" s="2"/>
      <c r="DF19" s="2"/>
      <c r="DG19" s="12"/>
      <c r="DH19" s="12"/>
      <c r="DI19" s="2"/>
      <c r="DM19" s="2"/>
      <c r="DN19" s="2"/>
      <c r="DR19" s="2"/>
      <c r="DT19" s="2"/>
      <c r="DU19" s="2"/>
      <c r="DV19" s="2"/>
      <c r="DX19" s="2"/>
    </row>
    <row r="20" customFormat="false" ht="15" hidden="false" customHeight="false" outlineLevel="0" collapsed="false">
      <c r="A20" s="12" t="n">
        <v>2009</v>
      </c>
      <c r="B20" s="10"/>
      <c r="C20" s="10"/>
      <c r="D20" s="10"/>
      <c r="E20" s="10"/>
      <c r="F20" s="2"/>
      <c r="G20" s="10"/>
      <c r="H20" s="12"/>
      <c r="I20" s="2"/>
      <c r="J20" s="10"/>
      <c r="K20" s="10"/>
      <c r="L20" s="2"/>
      <c r="M20" s="2"/>
      <c r="O20" s="2"/>
      <c r="R20" s="2"/>
      <c r="U20" s="12"/>
      <c r="V20" s="2"/>
      <c r="AA20" s="2"/>
      <c r="AB20" s="2"/>
      <c r="AD20" s="2"/>
      <c r="AF20" s="12"/>
      <c r="AH20" s="2"/>
      <c r="AI20" s="2"/>
      <c r="AM20" s="2"/>
      <c r="AN20" s="2"/>
      <c r="AO20" s="2"/>
      <c r="AQ20" s="2"/>
      <c r="AR20" s="2"/>
      <c r="AS20" s="2"/>
      <c r="AW20" s="2"/>
      <c r="BA20" s="2"/>
      <c r="BB20" s="2"/>
      <c r="BF20" s="2"/>
      <c r="BH20" s="2"/>
      <c r="BJ20" s="2"/>
      <c r="BK20" s="12"/>
      <c r="BL20" s="2"/>
      <c r="BO20" s="2"/>
      <c r="BQ20" s="2"/>
      <c r="BT20" s="2"/>
      <c r="BW20" s="2"/>
      <c r="CC20" s="2"/>
      <c r="CL20" s="2"/>
      <c r="CM20" s="2"/>
      <c r="CN20" s="2"/>
      <c r="CP20" s="2"/>
      <c r="CS20" s="2"/>
      <c r="CU20" s="2"/>
      <c r="CV20" s="2"/>
      <c r="CY20" s="2"/>
      <c r="DB20" s="2"/>
      <c r="DD20" s="2"/>
      <c r="DF20" s="2"/>
      <c r="DG20" s="12"/>
      <c r="DH20" s="12"/>
      <c r="DI20" s="2"/>
      <c r="DM20" s="2"/>
      <c r="DN20" s="2"/>
      <c r="DR20" s="2"/>
      <c r="DT20" s="2"/>
      <c r="DU20" s="2"/>
      <c r="DV20" s="2"/>
      <c r="DX20" s="2"/>
    </row>
    <row r="21" customFormat="false" ht="15" hidden="false" customHeight="false" outlineLevel="0" collapsed="false">
      <c r="A21" s="3" t="s">
        <v>137</v>
      </c>
      <c r="B21" s="3" t="n">
        <v>0.025256</v>
      </c>
      <c r="C21" s="3" t="n">
        <v>0.016827</v>
      </c>
      <c r="D21" s="3" t="n">
        <v>0.033591</v>
      </c>
      <c r="E21" s="3" t="n">
        <v>0.010268</v>
      </c>
      <c r="F21" s="3" t="n">
        <v>-0.003</v>
      </c>
      <c r="G21" s="3" t="n">
        <v>0.02061</v>
      </c>
      <c r="H21" s="3" t="n">
        <v>0.00261953189906348</v>
      </c>
      <c r="I21" s="3" t="n">
        <v>0.020761</v>
      </c>
      <c r="J21" s="3" t="n">
        <v>0.01761</v>
      </c>
      <c r="K21" s="3" t="n">
        <v>0.011091</v>
      </c>
      <c r="L21" s="3" t="n">
        <v>0.004142</v>
      </c>
      <c r="M21" s="3" t="n">
        <v>-0.00221</v>
      </c>
      <c r="N21" s="3" t="n">
        <v>0.008046</v>
      </c>
      <c r="O21" s="3" t="n">
        <v>0.02503</v>
      </c>
      <c r="P21" s="3" t="n">
        <v>0.02937</v>
      </c>
      <c r="Q21" s="3" t="n">
        <v>0.018306</v>
      </c>
      <c r="R21" s="3" t="n">
        <v>0.016415</v>
      </c>
      <c r="S21" s="3" t="n">
        <v>0.019797</v>
      </c>
      <c r="T21" s="3" t="n">
        <v>0.009869</v>
      </c>
      <c r="U21" s="3" t="n">
        <v>-0.00644281362547054</v>
      </c>
      <c r="V21" s="3" t="n">
        <v>0.030586</v>
      </c>
      <c r="W21" s="3" t="n">
        <v>0.035193</v>
      </c>
      <c r="X21" s="3" t="n">
        <v>0.015007</v>
      </c>
      <c r="Y21" s="3" t="n">
        <v>0.025432</v>
      </c>
      <c r="Z21" s="3" t="n">
        <v>0.011448</v>
      </c>
      <c r="AA21" s="3" t="n">
        <v>0.005871</v>
      </c>
      <c r="AB21" s="3" t="n">
        <v>0.018767</v>
      </c>
      <c r="AC21" s="3" t="n">
        <v>0.032744</v>
      </c>
      <c r="AD21" s="3" t="n">
        <v>0.010994</v>
      </c>
      <c r="AE21" s="3" t="n">
        <v>0.004974</v>
      </c>
      <c r="AF21" s="3" t="n">
        <v>0.0113957778918184</v>
      </c>
      <c r="AG21" s="3" t="n">
        <v>0.030327</v>
      </c>
      <c r="AH21" s="3" t="n">
        <v>0.013177</v>
      </c>
      <c r="AI21" s="3" t="n">
        <v>0.000638</v>
      </c>
      <c r="AJ21" s="3" t="n">
        <v>0.021736</v>
      </c>
      <c r="AK21" s="3" t="n">
        <v>0.032406</v>
      </c>
      <c r="AL21" s="3" t="n">
        <v>0.005351</v>
      </c>
      <c r="AM21" s="3" t="n">
        <v>0.012834</v>
      </c>
      <c r="AN21" s="3" t="n">
        <v>0.013528</v>
      </c>
      <c r="AO21" s="3" t="n">
        <v>0.016728</v>
      </c>
      <c r="AP21" s="3" t="n">
        <v>0.018396</v>
      </c>
      <c r="AQ21" s="3" t="n">
        <v>0.002855</v>
      </c>
      <c r="AR21" s="3" t="n">
        <v>0.030047</v>
      </c>
      <c r="AS21" s="3" t="n">
        <v>0.020434</v>
      </c>
      <c r="AT21" s="3" t="n">
        <v>-0.00193</v>
      </c>
      <c r="AU21" s="3" t="n">
        <v>0.0264</v>
      </c>
      <c r="AV21" s="3" t="n">
        <v>0.005145</v>
      </c>
      <c r="AW21" s="3" t="n">
        <v>0.022601</v>
      </c>
      <c r="AX21" s="3" t="n">
        <v>0.032337</v>
      </c>
      <c r="AY21" s="3" t="n">
        <v>-0.01299</v>
      </c>
      <c r="AZ21" s="3" t="n">
        <v>0.025509</v>
      </c>
      <c r="BA21" s="3" t="n">
        <v>0.00263</v>
      </c>
      <c r="BB21" s="3" t="n">
        <v>0.021831</v>
      </c>
      <c r="BC21" s="3" t="n">
        <v>0.027284</v>
      </c>
      <c r="BD21" s="3" t="n">
        <v>0.00354</v>
      </c>
      <c r="BE21" s="3" t="n">
        <v>0.015117</v>
      </c>
      <c r="BF21" s="3" t="n">
        <v>0.016887</v>
      </c>
      <c r="BG21" s="3" t="n">
        <v>0.014194</v>
      </c>
      <c r="BH21" s="3" t="n">
        <v>0.013104</v>
      </c>
      <c r="BI21" s="3" t="n">
        <v>0.011519</v>
      </c>
      <c r="BJ21" s="3" t="n">
        <v>0.023902</v>
      </c>
      <c r="BK21" s="3" t="n">
        <v>0.00455613449577732</v>
      </c>
      <c r="BL21" s="3" t="n">
        <v>0.003531</v>
      </c>
      <c r="BM21" s="3" t="n">
        <v>0.026363</v>
      </c>
      <c r="BN21" s="3" t="n">
        <v>0.026462</v>
      </c>
      <c r="BO21" s="3" t="n">
        <v>0.012073</v>
      </c>
      <c r="BP21" s="3" t="n">
        <v>0.017661</v>
      </c>
      <c r="BQ21" s="3" t="n">
        <v>0.017454</v>
      </c>
      <c r="BR21" s="3" t="n">
        <v>0.009196</v>
      </c>
      <c r="BS21" s="3" t="n">
        <v>0.039693</v>
      </c>
      <c r="BT21" s="3" t="n">
        <v>0.02815</v>
      </c>
      <c r="BU21" s="3" t="n">
        <v>0.030065</v>
      </c>
      <c r="BV21" s="3" t="n">
        <v>0.016902</v>
      </c>
      <c r="BW21" s="3" t="n">
        <v>0.032589</v>
      </c>
      <c r="BX21" s="3" t="n">
        <v>0.025267</v>
      </c>
      <c r="BY21" s="3" t="n">
        <v>0.002655</v>
      </c>
      <c r="BZ21" s="3" t="n">
        <v>0.015901</v>
      </c>
      <c r="CA21" s="3" t="n">
        <v>0.015061</v>
      </c>
      <c r="CB21" s="3" t="n">
        <v>0.011557</v>
      </c>
      <c r="CC21" s="3" t="n">
        <v>0.028</v>
      </c>
      <c r="CD21" s="3" t="n">
        <v>0.006635</v>
      </c>
      <c r="CE21" s="3" t="n">
        <v>0.017176</v>
      </c>
      <c r="CF21" s="3" t="n">
        <v>0.010109</v>
      </c>
      <c r="CG21" s="3" t="n">
        <v>0.005143</v>
      </c>
      <c r="CH21" s="3" t="n">
        <v>0.009997</v>
      </c>
      <c r="CI21" s="3" t="n">
        <v>0.0128</v>
      </c>
      <c r="CJ21" s="3" t="n">
        <v>0.038179</v>
      </c>
      <c r="CK21" s="3" t="n">
        <v>0.026715</v>
      </c>
      <c r="CL21" s="3" t="n">
        <v>0.020776</v>
      </c>
      <c r="CM21" s="3" t="n">
        <v>0.017207</v>
      </c>
      <c r="CN21" s="3" t="n">
        <v>0.023204</v>
      </c>
      <c r="CO21" s="3" t="n">
        <v>0.01326</v>
      </c>
      <c r="CP21" s="3" t="n">
        <v>0.012474</v>
      </c>
      <c r="CQ21" s="3" t="n">
        <v>0.014783</v>
      </c>
      <c r="CR21" s="3" t="n">
        <v>-0.00126</v>
      </c>
      <c r="CS21" s="3" t="n">
        <v>0.000301</v>
      </c>
      <c r="CT21" s="3" t="n">
        <v>0.027742</v>
      </c>
      <c r="CU21" s="3" t="n">
        <v>0.014181</v>
      </c>
      <c r="CV21" s="3" t="n">
        <v>0.021773</v>
      </c>
      <c r="CW21" s="3" t="n">
        <v>0.02837</v>
      </c>
      <c r="CX21" s="3" t="n">
        <v>0.022448</v>
      </c>
      <c r="CY21" s="3" t="n">
        <v>0.024257</v>
      </c>
      <c r="CZ21" s="3" t="n">
        <v>0.014316</v>
      </c>
      <c r="DA21" s="3" t="n">
        <v>0.044037</v>
      </c>
      <c r="DB21" s="3" t="n">
        <v>0.008857</v>
      </c>
      <c r="DC21" s="3" t="n">
        <v>0.010026</v>
      </c>
      <c r="DD21" s="3" t="n">
        <v>0.023713</v>
      </c>
      <c r="DE21" s="3" t="n">
        <v>0.011509</v>
      </c>
      <c r="DF21" s="3" t="n">
        <v>0.016998</v>
      </c>
      <c r="DG21" s="3" t="n">
        <v>0.00851904412936677</v>
      </c>
      <c r="DH21" s="3" t="n">
        <v>0.0124948463127384</v>
      </c>
      <c r="DI21" s="3" t="n">
        <v>0.021937</v>
      </c>
      <c r="DJ21" s="3" t="n">
        <v>0.001428</v>
      </c>
      <c r="DK21" s="3" t="n">
        <v>0.017063</v>
      </c>
      <c r="DL21" s="3" t="n">
        <v>0.027188</v>
      </c>
      <c r="DM21" s="3" t="n">
        <v>0.004742</v>
      </c>
      <c r="DN21" s="3" t="n">
        <v>0.01066</v>
      </c>
      <c r="DO21" s="3" t="n">
        <v>0.033379</v>
      </c>
      <c r="DP21" s="3" t="n">
        <v>-0.00444</v>
      </c>
      <c r="DQ21" s="3" t="n">
        <v>0.007564</v>
      </c>
      <c r="DR21" s="3" t="n">
        <v>0.031642</v>
      </c>
      <c r="DS21" s="3" t="n">
        <v>0.008767</v>
      </c>
      <c r="DT21" s="3" t="n">
        <v>0.003554</v>
      </c>
      <c r="DU21" s="3" t="n">
        <v>0.016873</v>
      </c>
      <c r="DV21" s="3" t="n">
        <v>0.015594</v>
      </c>
      <c r="DW21" s="3" t="n">
        <v>0.010591</v>
      </c>
      <c r="DX21" s="3" t="n">
        <v>0.027898</v>
      </c>
      <c r="DY21" s="3" t="n">
        <v>0.029546</v>
      </c>
      <c r="DZ21" s="3" t="n">
        <v>0.016574</v>
      </c>
    </row>
    <row r="22" customFormat="false" ht="15" hidden="false" customHeight="false" outlineLevel="0" collapsed="false">
      <c r="A22" s="3" t="s">
        <v>129</v>
      </c>
      <c r="B22" s="10" t="n">
        <f aca="false">B23+B21</f>
        <v>0.034731</v>
      </c>
      <c r="C22" s="3" t="n">
        <v>0.021913</v>
      </c>
      <c r="D22" s="3" t="n">
        <v>0.048866</v>
      </c>
      <c r="E22" s="10" t="n">
        <f aca="false">E23+E21</f>
        <v>0.017927</v>
      </c>
      <c r="F22" s="3" t="n">
        <v>0.005652</v>
      </c>
      <c r="G22" s="10" t="n">
        <f aca="false">G23+G21</f>
        <v>0.02711</v>
      </c>
      <c r="H22" s="3" t="n">
        <v>0.0119195318990635</v>
      </c>
      <c r="I22" s="3" t="n">
        <v>0.026661</v>
      </c>
      <c r="J22" s="10" t="n">
        <f aca="false">J23+J21</f>
        <v>0.023451</v>
      </c>
      <c r="K22" s="10" t="n">
        <f aca="false">K23+K21</f>
        <v>0.016819</v>
      </c>
      <c r="L22" s="3" t="n">
        <v>0.014421</v>
      </c>
      <c r="M22" s="3" t="n">
        <v>0.011994</v>
      </c>
      <c r="N22" s="10" t="n">
        <f aca="false">N23+N21</f>
        <v>0.017746</v>
      </c>
      <c r="O22" s="3" t="n">
        <v>0.030134</v>
      </c>
      <c r="P22" s="10" t="n">
        <f aca="false">P23+P21</f>
        <v>0.039379</v>
      </c>
      <c r="Q22" s="10" t="n">
        <f aca="false">Q23+Q21</f>
        <v>0.024771</v>
      </c>
      <c r="R22" s="3" t="n">
        <v>0.0245</v>
      </c>
      <c r="S22" s="10" t="n">
        <f aca="false">S23+S21</f>
        <v>0.027696</v>
      </c>
      <c r="T22" s="10" t="n">
        <f aca="false">T23+T21</f>
        <v>0.015812</v>
      </c>
      <c r="U22" s="3" t="n">
        <v>0.00805718637452946</v>
      </c>
      <c r="V22" s="3" t="n">
        <v>0.041558</v>
      </c>
      <c r="W22" s="10" t="n">
        <f aca="false">W23+W21</f>
        <v>0.04777</v>
      </c>
      <c r="X22" s="10" t="n">
        <f aca="false">X23+X21</f>
        <v>0.021662</v>
      </c>
      <c r="Y22" s="10" t="n">
        <f aca="false">Y23+Y21</f>
        <v>0.038294</v>
      </c>
      <c r="Z22" s="10" t="n">
        <f aca="false">Z23+Z21</f>
        <v>0.018548</v>
      </c>
      <c r="AA22" s="3" t="n">
        <v>0.011307</v>
      </c>
      <c r="AB22" s="3" t="n">
        <v>0.035647</v>
      </c>
      <c r="AC22" s="10" t="n">
        <f aca="false">AC23+AC21</f>
        <v>0.048583</v>
      </c>
      <c r="AD22" s="3" t="n">
        <v>0.016091</v>
      </c>
      <c r="AE22" s="10" t="n">
        <f aca="false">AE23+AE21</f>
        <v>0.012054</v>
      </c>
      <c r="AF22" s="3" t="n">
        <v>0.0170247778918184</v>
      </c>
      <c r="AG22" s="10" t="n">
        <f aca="false">AG23+AG21</f>
        <v>0.040952</v>
      </c>
      <c r="AH22" s="3" t="n">
        <v>0.017699</v>
      </c>
      <c r="AI22" s="3" t="n">
        <v>0.007798</v>
      </c>
      <c r="AJ22" s="10" t="n">
        <f aca="false">AJ23+AJ21</f>
        <v>0.036527</v>
      </c>
      <c r="AK22" s="10" t="n">
        <f aca="false">AK23+AK21</f>
        <v>0.04416</v>
      </c>
      <c r="AL22" s="10" t="n">
        <f aca="false">AL23+AL21</f>
        <v>0.015251</v>
      </c>
      <c r="AM22" s="3" t="n">
        <v>0.022127</v>
      </c>
      <c r="AN22" s="3" t="n">
        <v>0.019524</v>
      </c>
      <c r="AO22" s="3" t="n">
        <v>0.021907</v>
      </c>
      <c r="AP22" s="10" t="n">
        <f aca="false">AP23+AP21</f>
        <v>0.024773</v>
      </c>
      <c r="AQ22" s="3" t="n">
        <v>0.009518</v>
      </c>
      <c r="AR22" s="3" t="n">
        <v>0.042043</v>
      </c>
      <c r="AS22" s="3" t="n">
        <v>0.028252</v>
      </c>
      <c r="AT22" s="10" t="n">
        <f aca="false">AT23+AT21</f>
        <v>0.01017</v>
      </c>
      <c r="AU22" s="10" t="n">
        <f aca="false">AU23+AU21</f>
        <v>0.035315</v>
      </c>
      <c r="AV22" s="10" t="n">
        <f aca="false">AV23+AV21</f>
        <v>0.013645</v>
      </c>
      <c r="AW22" s="3" t="n">
        <v>0.032561</v>
      </c>
      <c r="AX22" s="10" t="n">
        <f aca="false">AX23+AX21</f>
        <v>0.041776</v>
      </c>
      <c r="AY22" s="10" t="n">
        <f aca="false">AY23+AY21</f>
        <v>-0.001853</v>
      </c>
      <c r="AZ22" s="10" t="n">
        <f aca="false">AZ23+AZ21</f>
        <v>0.034965</v>
      </c>
      <c r="BA22" s="3" t="n">
        <v>0.01243</v>
      </c>
      <c r="BB22" s="3" t="n">
        <v>0.02737</v>
      </c>
      <c r="BC22" s="10" t="n">
        <f aca="false">BC23+BC21</f>
        <v>0.03922</v>
      </c>
      <c r="BD22" s="10" t="n">
        <f aca="false">BD23+BD21</f>
        <v>0.011311</v>
      </c>
      <c r="BE22" s="10" t="n">
        <f aca="false">BE23+BE21</f>
        <v>0.024521</v>
      </c>
      <c r="BF22" s="3" t="n">
        <v>0.021925</v>
      </c>
      <c r="BG22" s="10" t="n">
        <f aca="false">BG23+BG21</f>
        <v>0.021894</v>
      </c>
      <c r="BH22" s="3" t="n">
        <v>0.020298</v>
      </c>
      <c r="BI22" s="10" t="n">
        <f aca="false">BI23+BI21</f>
        <v>0.016527</v>
      </c>
      <c r="BJ22" s="3" t="n">
        <v>0.029102</v>
      </c>
      <c r="BK22" s="3" t="n">
        <v>0.0145561344957773</v>
      </c>
      <c r="BL22" s="3" t="n">
        <v>0.010561</v>
      </c>
      <c r="BM22" s="10" t="n">
        <f aca="false">BM23+BM21</f>
        <v>0.036163</v>
      </c>
      <c r="BN22" s="10" t="n">
        <f aca="false">BN23+BN21</f>
        <v>0.036414</v>
      </c>
      <c r="BO22" s="3" t="n">
        <v>0.018773</v>
      </c>
      <c r="BP22" s="10" t="n">
        <f aca="false">BP23+BP21</f>
        <v>0.025225</v>
      </c>
      <c r="BQ22" s="3" t="n">
        <v>0.022105</v>
      </c>
      <c r="BR22" s="10" t="n">
        <f aca="false">BR23+BR21</f>
        <v>0.02579</v>
      </c>
      <c r="BS22" s="10" t="n">
        <f aca="false">BS23+BS21</f>
        <v>0.049475</v>
      </c>
      <c r="BT22" s="3" t="n">
        <v>0.035744</v>
      </c>
      <c r="BU22" s="10" t="n">
        <f aca="false">BU23+BU21</f>
        <v>0.041287</v>
      </c>
      <c r="BV22" s="10" t="n">
        <f aca="false">BV23+BV21</f>
        <v>0.021591</v>
      </c>
      <c r="BW22" s="3" t="n">
        <v>0.044963</v>
      </c>
      <c r="BX22" s="10" t="n">
        <f aca="false">BX23+BX21</f>
        <v>0.033875</v>
      </c>
      <c r="BY22" s="10" t="n">
        <f aca="false">BY23+BY21</f>
        <v>0.010055</v>
      </c>
      <c r="BZ22" s="10" t="n">
        <f aca="false">BZ23+BZ21</f>
        <v>0.020548</v>
      </c>
      <c r="CA22" s="10" t="n">
        <f aca="false">CA23+CA21</f>
        <v>0.021674</v>
      </c>
      <c r="CB22" s="10" t="n">
        <f aca="false">CB23+CB21</f>
        <v>0.017516</v>
      </c>
      <c r="CC22" s="3" t="n">
        <v>0.040922</v>
      </c>
      <c r="CD22" s="10" t="n">
        <f aca="false">CD23+CD21</f>
        <v>0.015064</v>
      </c>
      <c r="CE22" s="10" t="n">
        <f aca="false">CE23+CE21</f>
        <v>0.025504</v>
      </c>
      <c r="CF22" s="10" t="n">
        <f aca="false">CF23+CF21</f>
        <v>0.016912</v>
      </c>
      <c r="CG22" s="10" t="n">
        <f aca="false">CG23+CG21</f>
        <v>0.013243</v>
      </c>
      <c r="CH22" s="10" t="n">
        <f aca="false">CH23+CH21</f>
        <v>0.016727</v>
      </c>
      <c r="CI22" s="10" t="n">
        <f aca="false">CI23+CI21</f>
        <v>0.017618</v>
      </c>
      <c r="CJ22" s="10" t="n">
        <f aca="false">CJ23+CJ21</f>
        <v>0.049865</v>
      </c>
      <c r="CK22" s="10" t="n">
        <f aca="false">CK23+CK21</f>
        <v>0.041027</v>
      </c>
      <c r="CL22" s="3" t="n">
        <v>0.028638</v>
      </c>
      <c r="CM22" s="3" t="n">
        <v>0.022107</v>
      </c>
      <c r="CN22" s="3" t="n">
        <v>0.031043</v>
      </c>
      <c r="CO22" s="10" t="n">
        <f aca="false">CO23+CO21</f>
        <v>0.018838</v>
      </c>
      <c r="CP22" s="3" t="n">
        <v>0.018035</v>
      </c>
      <c r="CQ22" s="10" t="n">
        <f aca="false">CQ23+CQ21</f>
        <v>0.021083</v>
      </c>
      <c r="CR22" s="10" t="n">
        <f aca="false">CR23+CR21</f>
        <v>0.010597</v>
      </c>
      <c r="CS22" s="3" t="n">
        <v>0.014401</v>
      </c>
      <c r="CT22" s="10" t="n">
        <f aca="false">CT23+CT21</f>
        <v>0.036406</v>
      </c>
      <c r="CU22" s="3" t="n">
        <v>0.020842</v>
      </c>
      <c r="CV22" s="3" t="n">
        <v>0.029269</v>
      </c>
      <c r="CW22" s="10" t="n">
        <f aca="false">CW23+CW21</f>
        <v>0.036095</v>
      </c>
      <c r="CX22" s="10" t="n">
        <f aca="false">CX23+CX21</f>
        <v>0.038737</v>
      </c>
      <c r="CY22" s="3" t="n">
        <v>0.037554</v>
      </c>
      <c r="CZ22" s="10" t="n">
        <f aca="false">CZ23+CZ21</f>
        <v>0.028359</v>
      </c>
      <c r="DA22" s="10" t="n">
        <f aca="false">DA23+DA21</f>
        <v>0.057112</v>
      </c>
      <c r="DB22" s="3" t="n">
        <v>0.017157</v>
      </c>
      <c r="DC22" s="10" t="n">
        <f aca="false">DC23+DC21</f>
        <v>0.016443</v>
      </c>
      <c r="DD22" s="3" t="n">
        <v>0.032301</v>
      </c>
      <c r="DE22" s="10" t="n">
        <f aca="false">DE23+DE21</f>
        <v>0.018826</v>
      </c>
      <c r="DF22" s="3" t="n">
        <v>0.031665</v>
      </c>
      <c r="DG22" s="3" t="n">
        <v>0.0182190441293668</v>
      </c>
      <c r="DH22" s="3" t="n">
        <v>0.0205948463127384</v>
      </c>
      <c r="DI22" s="3" t="n">
        <v>0.027862</v>
      </c>
      <c r="DJ22" s="10" t="n">
        <f aca="false">DJ23+DJ21</f>
        <v>0.008731</v>
      </c>
      <c r="DK22" s="10" t="n">
        <f aca="false">DK23+DK21</f>
        <v>0.023661</v>
      </c>
      <c r="DL22" s="10" t="n">
        <f aca="false">DL23+DL21</f>
        <v>0.03779</v>
      </c>
      <c r="DM22" s="3" t="n">
        <v>0.013715</v>
      </c>
      <c r="DN22" s="3" t="n">
        <v>0.01636</v>
      </c>
      <c r="DO22" s="10" t="n">
        <f aca="false">DO23+DO21</f>
        <v>0.044683</v>
      </c>
      <c r="DP22" s="10" t="n">
        <f aca="false">DP23+DP21</f>
        <v>0.01086</v>
      </c>
      <c r="DQ22" s="10" t="n">
        <f aca="false">DQ23+DQ21</f>
        <v>0.016564</v>
      </c>
      <c r="DR22" s="3" t="n">
        <v>0.040497</v>
      </c>
      <c r="DS22" s="10" t="n">
        <f aca="false">DS23+DS21</f>
        <v>0.016667</v>
      </c>
      <c r="DT22" s="3" t="n">
        <v>0.012792</v>
      </c>
      <c r="DU22" s="3" t="n">
        <v>0.021673</v>
      </c>
      <c r="DV22" s="3" t="n">
        <v>0.020888</v>
      </c>
      <c r="DW22" s="10" t="n">
        <f aca="false">DW23+DW21</f>
        <v>0.016265</v>
      </c>
      <c r="DX22" s="3" t="n">
        <v>0.035476</v>
      </c>
      <c r="DY22" s="10" t="n">
        <f aca="false">DY23+DY21</f>
        <v>0.040937</v>
      </c>
      <c r="DZ22" s="10" t="n">
        <f aca="false">DZ23+DZ21</f>
        <v>0.031383</v>
      </c>
    </row>
    <row r="23" customFormat="false" ht="15" hidden="false" customHeight="false" outlineLevel="0" collapsed="false">
      <c r="A23" s="11" t="s">
        <v>130</v>
      </c>
      <c r="B23" s="3" t="n">
        <v>0.009475</v>
      </c>
      <c r="C23" s="3" t="n">
        <v>0.005086</v>
      </c>
      <c r="D23" s="3" t="n">
        <v>0.015275</v>
      </c>
      <c r="E23" s="3" t="n">
        <v>0.007659</v>
      </c>
      <c r="F23" s="3" t="n">
        <v>0.008655</v>
      </c>
      <c r="G23" s="3" t="n">
        <v>0.0065</v>
      </c>
      <c r="H23" s="3" t="n">
        <v>0.0093</v>
      </c>
      <c r="I23" s="3" t="n">
        <v>0.0059</v>
      </c>
      <c r="J23" s="3" t="n">
        <v>0.005841</v>
      </c>
      <c r="K23" s="3" t="n">
        <v>0.005728</v>
      </c>
      <c r="L23" s="3" t="n">
        <v>0.010279</v>
      </c>
      <c r="M23" s="3" t="n">
        <v>0.0142</v>
      </c>
      <c r="N23" s="3" t="n">
        <v>0.0097</v>
      </c>
      <c r="O23" s="3" t="n">
        <v>0.005104</v>
      </c>
      <c r="P23" s="3" t="n">
        <v>0.010009</v>
      </c>
      <c r="Q23" s="3" t="n">
        <v>0.006465</v>
      </c>
      <c r="R23" s="3" t="n">
        <v>0.008085</v>
      </c>
      <c r="S23" s="3" t="n">
        <v>0.007899</v>
      </c>
      <c r="T23" s="3" t="n">
        <v>0.005943</v>
      </c>
      <c r="U23" s="3" t="n">
        <v>0.0145</v>
      </c>
      <c r="V23" s="3" t="n">
        <v>0.010972</v>
      </c>
      <c r="W23" s="3" t="n">
        <v>0.012577</v>
      </c>
      <c r="X23" s="3" t="n">
        <v>0.006655</v>
      </c>
      <c r="Y23" s="3" t="n">
        <v>0.012862</v>
      </c>
      <c r="Z23" s="3" t="n">
        <v>0.0071</v>
      </c>
      <c r="AA23" s="3" t="n">
        <v>0.005436</v>
      </c>
      <c r="AB23" s="3" t="n">
        <v>0.01688</v>
      </c>
      <c r="AC23" s="3" t="n">
        <v>0.015839</v>
      </c>
      <c r="AD23" s="3" t="n">
        <v>0.005097</v>
      </c>
      <c r="AE23" s="3" t="n">
        <v>0.00708</v>
      </c>
      <c r="AF23" s="3" t="n">
        <v>0.005629</v>
      </c>
      <c r="AG23" s="3" t="n">
        <v>0.010625</v>
      </c>
      <c r="AH23" s="3" t="n">
        <v>0.004522</v>
      </c>
      <c r="AI23" s="3" t="n">
        <v>0.00716</v>
      </c>
      <c r="AJ23" s="3" t="n">
        <v>0.014791</v>
      </c>
      <c r="AK23" s="3" t="n">
        <v>0.011754</v>
      </c>
      <c r="AL23" s="3" t="n">
        <v>0.0099</v>
      </c>
      <c r="AM23" s="3" t="n">
        <v>0.009293</v>
      </c>
      <c r="AN23" s="3" t="n">
        <v>0.005996</v>
      </c>
      <c r="AO23" s="3" t="n">
        <v>0.005179</v>
      </c>
      <c r="AP23" s="3" t="n">
        <v>0.006377</v>
      </c>
      <c r="AQ23" s="3" t="n">
        <v>0.006663</v>
      </c>
      <c r="AR23" s="3" t="n">
        <v>0.011996</v>
      </c>
      <c r="AS23" s="3" t="n">
        <v>0.007818</v>
      </c>
      <c r="AT23" s="3" t="n">
        <v>0.0121</v>
      </c>
      <c r="AU23" s="3" t="n">
        <v>0.008915</v>
      </c>
      <c r="AV23" s="3" t="n">
        <v>0.0085</v>
      </c>
      <c r="AW23" s="3" t="n">
        <v>0.00996</v>
      </c>
      <c r="AX23" s="3" t="n">
        <v>0.009439</v>
      </c>
      <c r="AY23" s="3" t="n">
        <v>0.011137</v>
      </c>
      <c r="AZ23" s="3" t="n">
        <v>0.009456</v>
      </c>
      <c r="BA23" s="3" t="n">
        <v>0.0098</v>
      </c>
      <c r="BB23" s="3" t="n">
        <v>0.005539</v>
      </c>
      <c r="BC23" s="3" t="n">
        <v>0.011936</v>
      </c>
      <c r="BD23" s="3" t="n">
        <v>0.007771</v>
      </c>
      <c r="BE23" s="3" t="n">
        <v>0.009404</v>
      </c>
      <c r="BF23" s="3" t="n">
        <v>0.005038</v>
      </c>
      <c r="BG23" s="3" t="n">
        <v>0.0077</v>
      </c>
      <c r="BH23" s="3" t="n">
        <v>0.007194</v>
      </c>
      <c r="BI23" s="3" t="n">
        <v>0.005008</v>
      </c>
      <c r="BJ23" s="3" t="n">
        <v>0.0052</v>
      </c>
      <c r="BK23" s="3" t="n">
        <v>0.01</v>
      </c>
      <c r="BL23" s="3" t="n">
        <v>0.00703</v>
      </c>
      <c r="BM23" s="3" t="n">
        <v>0.0098</v>
      </c>
      <c r="BN23" s="3" t="n">
        <v>0.009952</v>
      </c>
      <c r="BO23" s="3" t="n">
        <v>0.0067</v>
      </c>
      <c r="BP23" s="3" t="n">
        <v>0.007564</v>
      </c>
      <c r="BQ23" s="3" t="n">
        <v>0.004651</v>
      </c>
      <c r="BR23" s="3" t="n">
        <v>0.016594</v>
      </c>
      <c r="BS23" s="3" t="n">
        <v>0.009782</v>
      </c>
      <c r="BT23" s="3" t="n">
        <v>0.007594</v>
      </c>
      <c r="BU23" s="3" t="n">
        <v>0.011222</v>
      </c>
      <c r="BV23" s="3" t="n">
        <v>0.004689</v>
      </c>
      <c r="BW23" s="3" t="n">
        <v>0.012374</v>
      </c>
      <c r="BX23" s="3" t="n">
        <v>0.008608</v>
      </c>
      <c r="BY23" s="3" t="n">
        <v>0.0074</v>
      </c>
      <c r="BZ23" s="3" t="n">
        <v>0.004647</v>
      </c>
      <c r="CA23" s="3" t="n">
        <v>0.006613</v>
      </c>
      <c r="CB23" s="3" t="n">
        <v>0.005959</v>
      </c>
      <c r="CC23" s="3" t="n">
        <v>0.012922</v>
      </c>
      <c r="CD23" s="3" t="n">
        <v>0.008429</v>
      </c>
      <c r="CE23" s="3" t="n">
        <v>0.008328</v>
      </c>
      <c r="CF23" s="3" t="n">
        <v>0.006803</v>
      </c>
      <c r="CG23" s="3" t="n">
        <v>0.0081</v>
      </c>
      <c r="CH23" s="3" t="n">
        <v>0.00673</v>
      </c>
      <c r="CI23" s="3" t="n">
        <v>0.004818</v>
      </c>
      <c r="CJ23" s="3" t="n">
        <v>0.011686</v>
      </c>
      <c r="CK23" s="3" t="n">
        <v>0.014312</v>
      </c>
      <c r="CL23" s="3" t="n">
        <v>0.007862</v>
      </c>
      <c r="CM23" s="3" t="n">
        <v>0.0049</v>
      </c>
      <c r="CN23" s="3" t="n">
        <v>0.007839</v>
      </c>
      <c r="CO23" s="3" t="n">
        <v>0.005578</v>
      </c>
      <c r="CP23" s="3" t="n">
        <v>0.005561</v>
      </c>
      <c r="CQ23" s="3" t="n">
        <v>0.0063</v>
      </c>
      <c r="CR23" s="3" t="n">
        <v>0.011857</v>
      </c>
      <c r="CS23" s="3" t="n">
        <v>0.0141</v>
      </c>
      <c r="CT23" s="3" t="n">
        <v>0.008664</v>
      </c>
      <c r="CU23" s="3" t="n">
        <v>0.006661</v>
      </c>
      <c r="CV23" s="3" t="n">
        <v>0.007496</v>
      </c>
      <c r="CW23" s="3" t="n">
        <v>0.007725</v>
      </c>
      <c r="CX23" s="3" t="n">
        <v>0.016289</v>
      </c>
      <c r="CY23" s="3" t="n">
        <v>0.013297</v>
      </c>
      <c r="CZ23" s="3" t="n">
        <v>0.014043</v>
      </c>
      <c r="DA23" s="3" t="n">
        <v>0.013075</v>
      </c>
      <c r="DB23" s="3" t="n">
        <v>0.0083</v>
      </c>
      <c r="DC23" s="3" t="n">
        <v>0.006417</v>
      </c>
      <c r="DD23" s="3" t="n">
        <v>0.008588</v>
      </c>
      <c r="DE23" s="3" t="n">
        <v>0.007317</v>
      </c>
      <c r="DF23" s="3" t="n">
        <v>0.014667</v>
      </c>
      <c r="DG23" s="3" t="n">
        <v>0.0097</v>
      </c>
      <c r="DH23" s="3" t="n">
        <v>0.0081</v>
      </c>
      <c r="DI23" s="3" t="n">
        <v>0.005925</v>
      </c>
      <c r="DJ23" s="3" t="n">
        <v>0.007303</v>
      </c>
      <c r="DK23" s="3" t="n">
        <v>0.006598</v>
      </c>
      <c r="DL23" s="3" t="n">
        <v>0.010602</v>
      </c>
      <c r="DM23" s="3" t="n">
        <v>0.008973</v>
      </c>
      <c r="DN23" s="3" t="n">
        <v>0.0057</v>
      </c>
      <c r="DO23" s="3" t="n">
        <v>0.011304</v>
      </c>
      <c r="DP23" s="3" t="n">
        <v>0.0153</v>
      </c>
      <c r="DQ23" s="3" t="n">
        <v>0.009</v>
      </c>
      <c r="DR23" s="3" t="n">
        <v>0.008855</v>
      </c>
      <c r="DS23" s="3" t="n">
        <v>0.0079</v>
      </c>
      <c r="DT23" s="3" t="n">
        <v>0.009238</v>
      </c>
      <c r="DU23" s="3" t="n">
        <v>0.0048</v>
      </c>
      <c r="DV23" s="3" t="n">
        <v>0.005294</v>
      </c>
      <c r="DW23" s="3" t="n">
        <v>0.005674</v>
      </c>
      <c r="DX23" s="3" t="n">
        <v>0.007578</v>
      </c>
      <c r="DY23" s="3" t="n">
        <v>0.011391</v>
      </c>
      <c r="DZ23" s="3" t="n">
        <v>0.014809</v>
      </c>
    </row>
    <row r="24" customFormat="false" ht="15" hidden="false" customHeight="false" outlineLevel="0" collapsed="false">
      <c r="A24" s="10"/>
      <c r="B24" s="10"/>
      <c r="C24" s="10"/>
      <c r="D24" s="10"/>
      <c r="E24" s="10"/>
      <c r="F24" s="2"/>
      <c r="G24" s="10"/>
      <c r="H24" s="12"/>
      <c r="I24" s="2"/>
      <c r="J24" s="10"/>
      <c r="K24" s="10"/>
      <c r="L24" s="2"/>
      <c r="M24" s="2"/>
      <c r="O24" s="2"/>
      <c r="R24" s="2"/>
      <c r="U24" s="12"/>
      <c r="V24" s="2"/>
      <c r="AA24" s="2"/>
      <c r="AB24" s="2"/>
      <c r="AD24" s="2"/>
      <c r="AF24" s="12"/>
      <c r="AH24" s="2"/>
      <c r="AI24" s="2"/>
      <c r="AM24" s="2"/>
      <c r="AN24" s="2"/>
      <c r="AO24" s="2"/>
      <c r="AQ24" s="2"/>
      <c r="AR24" s="2"/>
      <c r="AS24" s="2"/>
      <c r="AW24" s="2"/>
      <c r="BA24" s="2"/>
      <c r="BB24" s="2"/>
      <c r="BF24" s="2"/>
      <c r="BH24" s="2"/>
      <c r="BJ24" s="2"/>
      <c r="BK24" s="12"/>
      <c r="BL24" s="2"/>
      <c r="BO24" s="2"/>
      <c r="BQ24" s="2"/>
      <c r="BT24" s="2"/>
      <c r="BW24" s="2"/>
      <c r="CC24" s="2"/>
      <c r="CL24" s="2"/>
      <c r="CM24" s="2"/>
      <c r="CN24" s="2"/>
      <c r="CP24" s="2"/>
      <c r="CS24" s="2"/>
      <c r="CU24" s="2"/>
      <c r="CV24" s="2"/>
      <c r="CY24" s="2"/>
      <c r="DB24" s="2"/>
      <c r="DD24" s="2"/>
      <c r="DF24" s="2"/>
      <c r="DG24" s="12"/>
      <c r="DH24" s="12"/>
      <c r="DI24" s="2"/>
      <c r="DM24" s="2"/>
      <c r="DN24" s="2"/>
      <c r="DR24" s="2"/>
      <c r="DT24" s="2"/>
      <c r="DU24" s="2"/>
      <c r="DV24" s="2"/>
      <c r="DX24" s="2"/>
    </row>
    <row r="25" customFormat="false" ht="15" hidden="false" customHeight="false" outlineLevel="0" collapsed="false">
      <c r="A25" s="12" t="n">
        <v>2014</v>
      </c>
      <c r="B25" s="10"/>
      <c r="C25" s="10"/>
      <c r="D25" s="10"/>
      <c r="E25" s="10"/>
      <c r="F25" s="2"/>
      <c r="G25" s="10"/>
      <c r="H25" s="12"/>
      <c r="I25" s="2"/>
      <c r="J25" s="10"/>
      <c r="K25" s="10"/>
      <c r="L25" s="2"/>
      <c r="M25" s="2"/>
      <c r="O25" s="2"/>
      <c r="R25" s="2"/>
      <c r="U25" s="12"/>
      <c r="V25" s="2"/>
      <c r="AA25" s="2"/>
      <c r="AB25" s="2"/>
      <c r="AD25" s="2"/>
      <c r="AF25" s="12"/>
      <c r="AH25" s="2"/>
      <c r="AI25" s="2"/>
      <c r="AM25" s="2"/>
      <c r="AN25" s="2"/>
      <c r="AO25" s="2"/>
      <c r="AQ25" s="2"/>
      <c r="AR25" s="2"/>
      <c r="AS25" s="2"/>
      <c r="AW25" s="2"/>
      <c r="BA25" s="2"/>
      <c r="BB25" s="2"/>
      <c r="BF25" s="2"/>
      <c r="BH25" s="2"/>
      <c r="BJ25" s="2"/>
      <c r="BK25" s="12"/>
      <c r="BL25" s="2"/>
      <c r="BO25" s="2"/>
      <c r="BQ25" s="2"/>
      <c r="BT25" s="2"/>
      <c r="BW25" s="2"/>
      <c r="CC25" s="2"/>
      <c r="CL25" s="2"/>
      <c r="CM25" s="2"/>
      <c r="CN25" s="2"/>
      <c r="CP25" s="2"/>
      <c r="CS25" s="2"/>
      <c r="CU25" s="2"/>
      <c r="CV25" s="2"/>
      <c r="CY25" s="2"/>
      <c r="DB25" s="2"/>
      <c r="DD25" s="2"/>
      <c r="DF25" s="2"/>
      <c r="DG25" s="12"/>
      <c r="DH25" s="12"/>
      <c r="DI25" s="2"/>
      <c r="DM25" s="2"/>
      <c r="DN25" s="2"/>
      <c r="DR25" s="2"/>
      <c r="DT25" s="2"/>
      <c r="DU25" s="2"/>
      <c r="DV25" s="2"/>
      <c r="DX25" s="2"/>
    </row>
    <row r="26" customFormat="false" ht="15" hidden="false" customHeight="false" outlineLevel="0" collapsed="false">
      <c r="A26" s="3" t="s">
        <v>137</v>
      </c>
      <c r="B26" s="3" t="n">
        <v>0.030335</v>
      </c>
      <c r="C26" s="3" t="n">
        <v>0.019404</v>
      </c>
      <c r="D26" s="3" t="n">
        <v>0.032696</v>
      </c>
      <c r="E26" s="3" t="n">
        <v>0.010331</v>
      </c>
      <c r="F26" s="3" t="n">
        <v>0.004655</v>
      </c>
      <c r="G26" s="3" t="n">
        <v>0.015144</v>
      </c>
      <c r="H26" s="3" t="n">
        <v>0.00781582763614942</v>
      </c>
      <c r="I26" s="3" t="n">
        <v>0.012482</v>
      </c>
      <c r="J26" s="3" t="n">
        <v>0.013702</v>
      </c>
      <c r="K26" s="3" t="n">
        <v>0.012144</v>
      </c>
      <c r="L26" s="3" t="n">
        <v>0.0031</v>
      </c>
      <c r="M26" s="3" t="n">
        <v>0.000422</v>
      </c>
      <c r="N26" s="3" t="n">
        <v>0.004318</v>
      </c>
      <c r="O26" s="3" t="n">
        <v>0.021593</v>
      </c>
      <c r="P26" s="3" t="n">
        <v>0.026411</v>
      </c>
      <c r="Q26" s="3" t="n">
        <v>0.013649</v>
      </c>
      <c r="R26" s="3" t="n">
        <v>0.015453</v>
      </c>
      <c r="S26" s="3" t="n">
        <v>0.019756</v>
      </c>
      <c r="T26" s="3" t="n">
        <v>0.008864</v>
      </c>
      <c r="U26" s="3" t="n">
        <v>-0.00568389264052903</v>
      </c>
      <c r="V26" s="3" t="n">
        <v>0.02911</v>
      </c>
      <c r="W26" s="3" t="n">
        <v>0.032978</v>
      </c>
      <c r="X26" s="3" t="n">
        <v>0.016416</v>
      </c>
      <c r="Y26" s="3" t="n">
        <v>0.024981</v>
      </c>
      <c r="Z26" s="3" t="n">
        <v>0.010981</v>
      </c>
      <c r="AA26" s="3" t="n">
        <v>0.013021</v>
      </c>
      <c r="AB26" s="3" t="n">
        <v>0.019683</v>
      </c>
      <c r="AC26" s="3" t="n">
        <v>0.033016</v>
      </c>
      <c r="AD26" s="3" t="n">
        <v>0.010573</v>
      </c>
      <c r="AE26" s="3" t="n">
        <v>0.005063</v>
      </c>
      <c r="AF26" s="3" t="n">
        <v>0.00944004217769977</v>
      </c>
      <c r="AG26" s="3" t="n">
        <v>0.024863</v>
      </c>
      <c r="AH26" s="3" t="n">
        <v>0.010814</v>
      </c>
      <c r="AI26" s="3" t="n">
        <v>0.00146</v>
      </c>
      <c r="AJ26" s="3" t="n">
        <v>0.024424</v>
      </c>
      <c r="AK26" s="3" t="n">
        <v>0.031532</v>
      </c>
      <c r="AL26" s="3" t="n">
        <v>0.004194</v>
      </c>
      <c r="AM26" s="3" t="n">
        <v>0.013351</v>
      </c>
      <c r="AN26" s="3" t="n">
        <v>0.01204</v>
      </c>
      <c r="AO26" s="3" t="n">
        <v>0.015309</v>
      </c>
      <c r="AP26" s="3" t="n">
        <v>0.022189</v>
      </c>
      <c r="AQ26" s="3" t="n">
        <v>0.002962</v>
      </c>
      <c r="AR26" s="3" t="n">
        <v>0.029425</v>
      </c>
      <c r="AS26" s="3" t="n">
        <v>0.022084</v>
      </c>
      <c r="AT26" s="3" t="n">
        <v>-0.00262</v>
      </c>
      <c r="AU26" s="3" t="n">
        <v>0.025068</v>
      </c>
      <c r="AV26" s="3" t="n">
        <v>0.00442</v>
      </c>
      <c r="AW26" s="3" t="n">
        <v>0.022363</v>
      </c>
      <c r="AX26" s="3" t="n">
        <v>0.03232</v>
      </c>
      <c r="AY26" s="3" t="n">
        <v>-0.01306</v>
      </c>
      <c r="AZ26" s="3" t="n">
        <v>0.023501</v>
      </c>
      <c r="BA26" s="3" t="n">
        <v>-0.00875</v>
      </c>
      <c r="BB26" s="3" t="n">
        <v>0.020483</v>
      </c>
      <c r="BC26" s="3" t="n">
        <v>0.026983</v>
      </c>
      <c r="BD26" s="3" t="n">
        <v>0.003751</v>
      </c>
      <c r="BE26" s="3" t="n">
        <v>0.013406</v>
      </c>
      <c r="BF26" s="3" t="n">
        <v>0.014246</v>
      </c>
      <c r="BG26" s="3" t="n">
        <v>0.012267</v>
      </c>
      <c r="BH26" s="3" t="n">
        <v>0.012602</v>
      </c>
      <c r="BI26" s="3" t="n">
        <v>0.012765</v>
      </c>
      <c r="BJ26" s="3" t="n">
        <v>0.019195</v>
      </c>
      <c r="BK26" s="3" t="n">
        <v>0.00917504095962437</v>
      </c>
      <c r="BL26" s="3" t="n">
        <v>0.002166</v>
      </c>
      <c r="BM26" s="3" t="n">
        <v>0.014797</v>
      </c>
      <c r="BN26" s="3" t="n">
        <v>0.026441</v>
      </c>
      <c r="BO26" s="3" t="n">
        <v>0.020061</v>
      </c>
      <c r="BP26" s="3" t="n">
        <v>0.016477</v>
      </c>
      <c r="BQ26" s="3" t="n">
        <v>0.0118</v>
      </c>
      <c r="BR26" s="3" t="n">
        <v>0.012469</v>
      </c>
      <c r="BS26" s="3" t="n">
        <v>0.023674</v>
      </c>
      <c r="BT26" s="3" t="n">
        <v>0.027839</v>
      </c>
      <c r="BU26" s="3" t="n">
        <v>0.030723</v>
      </c>
      <c r="BV26" s="3" t="n">
        <v>0.01471</v>
      </c>
      <c r="BW26" s="3" t="n">
        <v>0.029334</v>
      </c>
      <c r="BX26" s="3" t="n">
        <v>0.024724</v>
      </c>
      <c r="BY26" s="3" t="n">
        <v>0.001811</v>
      </c>
      <c r="BZ26" s="3" t="n">
        <v>0.013212</v>
      </c>
      <c r="CA26" s="3" t="n">
        <v>0.017576</v>
      </c>
      <c r="CB26" s="3" t="n">
        <v>0.013908</v>
      </c>
      <c r="CC26" s="3" t="n">
        <v>0.02791</v>
      </c>
      <c r="CD26" s="3" t="n">
        <v>0.00852</v>
      </c>
      <c r="CE26" s="3" t="n">
        <v>0.023695</v>
      </c>
      <c r="CF26" s="3" t="n">
        <v>0.012132</v>
      </c>
      <c r="CG26" s="3" t="n">
        <v>0.003598</v>
      </c>
      <c r="CH26" s="3" t="n">
        <v>0.015103</v>
      </c>
      <c r="CI26" s="3" t="n">
        <v>0.011416</v>
      </c>
      <c r="CJ26" s="3" t="n">
        <v>0.040294</v>
      </c>
      <c r="CK26" s="3" t="n">
        <v>0.026605</v>
      </c>
      <c r="CL26" s="3" t="n">
        <v>0.021034</v>
      </c>
      <c r="CM26" s="3" t="n">
        <v>0.016122</v>
      </c>
      <c r="CN26" s="3" t="n">
        <v>0.020947</v>
      </c>
      <c r="CO26" s="3" t="n">
        <v>0.013343</v>
      </c>
      <c r="CP26" s="3" t="n">
        <v>0.01325</v>
      </c>
      <c r="CQ26" s="3" t="n">
        <v>0.015933</v>
      </c>
      <c r="CR26" s="3" t="n">
        <v>-0.00061</v>
      </c>
      <c r="CS26" s="3" t="n">
        <v>0.002176</v>
      </c>
      <c r="CT26" s="3" t="n">
        <v>0.023503</v>
      </c>
      <c r="CU26" s="3" t="n">
        <v>0.007323</v>
      </c>
      <c r="CV26" s="3" t="n">
        <v>0.021458</v>
      </c>
      <c r="CW26" s="3" t="n">
        <v>0.031256</v>
      </c>
      <c r="CX26" s="3" t="n">
        <v>0.021893</v>
      </c>
      <c r="CY26" s="3" t="n">
        <v>0.024</v>
      </c>
      <c r="CZ26" s="3" t="n">
        <v>0.015761</v>
      </c>
      <c r="DA26" s="3" t="n">
        <v>0.039155</v>
      </c>
      <c r="DB26" s="3" t="n">
        <v>-0.00309</v>
      </c>
      <c r="DC26" s="3" t="n">
        <v>0.009287</v>
      </c>
      <c r="DD26" s="3" t="n">
        <v>0.021453</v>
      </c>
      <c r="DE26" s="3" t="n">
        <v>0.008954</v>
      </c>
      <c r="DF26" s="3" t="n">
        <v>0.014661</v>
      </c>
      <c r="DG26" s="3" t="n">
        <v>0.00992219728591882</v>
      </c>
      <c r="DH26" s="3" t="n">
        <v>0.0121342377172249</v>
      </c>
      <c r="DI26" s="3" t="n">
        <v>0.022423</v>
      </c>
      <c r="DJ26" s="3" t="n">
        <v>0.004062</v>
      </c>
      <c r="DK26" s="3" t="n">
        <v>0.026787</v>
      </c>
      <c r="DL26" s="3" t="n">
        <v>0.026553</v>
      </c>
      <c r="DM26" s="3" t="n">
        <v>0.00462</v>
      </c>
      <c r="DN26" s="3" t="n">
        <v>0.010063</v>
      </c>
      <c r="DO26" s="3" t="n">
        <v>0.032538</v>
      </c>
      <c r="DP26" s="3" t="n">
        <v>-0.00279</v>
      </c>
      <c r="DQ26" s="3" t="n">
        <v>0.006697</v>
      </c>
      <c r="DR26" s="3" t="n">
        <v>0.031544</v>
      </c>
      <c r="DS26" s="3" t="n">
        <v>0.007427</v>
      </c>
      <c r="DT26" s="3" t="n">
        <v>0.003383</v>
      </c>
      <c r="DU26" s="3" t="n">
        <v>0.016869</v>
      </c>
      <c r="DV26" s="3" t="n">
        <v>0.013705</v>
      </c>
      <c r="DW26" s="3" t="n">
        <v>0.010742</v>
      </c>
      <c r="DX26" s="3" t="n">
        <v>0.025156</v>
      </c>
      <c r="DY26" s="3" t="n">
        <v>0.030696</v>
      </c>
      <c r="DZ26" s="3" t="n">
        <v>0.023075</v>
      </c>
    </row>
    <row r="27" customFormat="false" ht="15" hidden="false" customHeight="false" outlineLevel="0" collapsed="false">
      <c r="A27" s="3" t="s">
        <v>129</v>
      </c>
      <c r="B27" s="0" t="n">
        <f aca="false">B28+B26</f>
        <v>0.038565</v>
      </c>
      <c r="C27" s="3" t="n">
        <v>0.024529</v>
      </c>
      <c r="D27" s="3" t="n">
        <v>0.046416</v>
      </c>
      <c r="E27" s="0" t="n">
        <f aca="false">E28+E26</f>
        <v>0.017897</v>
      </c>
      <c r="F27" s="3" t="n">
        <v>0.013845</v>
      </c>
      <c r="G27" s="0" t="n">
        <f aca="false">G28+G26</f>
        <v>0.021644</v>
      </c>
      <c r="H27" s="3" t="n">
        <v>0.0170158276361494</v>
      </c>
      <c r="I27" s="3" t="n">
        <v>0.018282</v>
      </c>
      <c r="J27" s="0" t="n">
        <f aca="false">J28+J26</f>
        <v>0.019858</v>
      </c>
      <c r="K27" s="0" t="n">
        <f aca="false">K28+K26</f>
        <v>0.017545</v>
      </c>
      <c r="L27" s="3" t="n">
        <v>0.013676</v>
      </c>
      <c r="M27" s="3" t="n">
        <v>0.013222</v>
      </c>
      <c r="N27" s="0" t="n">
        <f aca="false">N28+N26</f>
        <v>0.013618</v>
      </c>
      <c r="O27" s="3" t="n">
        <v>0.027152</v>
      </c>
      <c r="P27" s="0" t="n">
        <f aca="false">P28+P26</f>
        <v>0.035772</v>
      </c>
      <c r="Q27" s="0" t="n">
        <f aca="false">Q28+Q26</f>
        <v>0.019879</v>
      </c>
      <c r="R27" s="3" t="n">
        <v>0.022881</v>
      </c>
      <c r="S27" s="0" t="n">
        <f aca="false">S28+S26</f>
        <v>0.027218</v>
      </c>
      <c r="T27" s="0" t="n">
        <f aca="false">T28+T26</f>
        <v>0.01498</v>
      </c>
      <c r="U27" s="3" t="n">
        <v>0.00941610735947097</v>
      </c>
      <c r="V27" s="3" t="n">
        <v>0.03867</v>
      </c>
      <c r="W27" s="0" t="n">
        <f aca="false">W28+W26</f>
        <v>0.044291</v>
      </c>
      <c r="X27" s="0" t="n">
        <f aca="false">X28+X26</f>
        <v>0.022543</v>
      </c>
      <c r="Y27" s="0" t="n">
        <f aca="false">Y28+Y26</f>
        <v>0.036443</v>
      </c>
      <c r="Z27" s="0" t="n">
        <f aca="false">Z28+Z26</f>
        <v>0.018381</v>
      </c>
      <c r="AA27" s="3" t="n">
        <v>0.018432</v>
      </c>
      <c r="AB27" s="3" t="n">
        <v>0.034215</v>
      </c>
      <c r="AC27" s="0" t="n">
        <f aca="false">AC28+AC26</f>
        <v>0.047081</v>
      </c>
      <c r="AD27" s="3" t="n">
        <v>0.015691</v>
      </c>
      <c r="AE27" s="0" t="n">
        <f aca="false">AE28+AE26</f>
        <v>0.012263</v>
      </c>
      <c r="AF27" s="3" t="n">
        <v>0.0153120421776998</v>
      </c>
      <c r="AG27" s="0" t="n">
        <f aca="false">AG28+AG26</f>
        <v>0.033432</v>
      </c>
      <c r="AH27" s="3" t="n">
        <v>0.015643</v>
      </c>
      <c r="AI27" s="3" t="n">
        <v>0.009271</v>
      </c>
      <c r="AJ27" s="0" t="n">
        <f aca="false">AJ28+AJ26</f>
        <v>0.037972</v>
      </c>
      <c r="AK27" s="0" t="n">
        <f aca="false">AK28+AK26</f>
        <v>0.041846</v>
      </c>
      <c r="AL27" s="0" t="n">
        <f aca="false">AL28+AL26</f>
        <v>0.013294</v>
      </c>
      <c r="AM27" s="3" t="n">
        <v>0.021957</v>
      </c>
      <c r="AN27" s="3" t="n">
        <v>0.018105</v>
      </c>
      <c r="AO27" s="3" t="n">
        <v>0.02044</v>
      </c>
      <c r="AP27" s="0" t="n">
        <f aca="false">AP28+AP26</f>
        <v>0.028318</v>
      </c>
      <c r="AQ27" s="3" t="n">
        <v>0.009752</v>
      </c>
      <c r="AR27" s="3" t="n">
        <v>0.040189</v>
      </c>
      <c r="AS27" s="3" t="n">
        <v>0.028682</v>
      </c>
      <c r="AT27" s="0" t="n">
        <f aca="false">AT28+AT26</f>
        <v>0.00918</v>
      </c>
      <c r="AU27" s="0" t="n">
        <f aca="false">AU28+AU26</f>
        <v>0.032479</v>
      </c>
      <c r="AV27" s="0" t="n">
        <f aca="false">AV28+AV26</f>
        <v>0.01282</v>
      </c>
      <c r="AW27" s="3" t="n">
        <v>0.030989</v>
      </c>
      <c r="AX27" s="0" t="n">
        <f aca="false">AX28+AX26</f>
        <v>0.041049</v>
      </c>
      <c r="AY27" s="0" t="n">
        <f aca="false">AY28+AY26</f>
        <v>-0.001543</v>
      </c>
      <c r="AZ27" s="0" t="n">
        <f aca="false">AZ28+AZ26</f>
        <v>0.032449</v>
      </c>
      <c r="BA27" s="3" t="n">
        <v>0.001746</v>
      </c>
      <c r="BB27" s="3" t="n">
        <v>0.025853</v>
      </c>
      <c r="BC27" s="0" t="n">
        <f aca="false">BC28+BC26</f>
        <v>0.036927</v>
      </c>
      <c r="BD27" s="0" t="n">
        <f aca="false">BD28+BD26</f>
        <v>0.011888</v>
      </c>
      <c r="BE27" s="0" t="n">
        <f aca="false">BE28+BE26</f>
        <v>0.022123</v>
      </c>
      <c r="BF27" s="3" t="n">
        <v>0.019257</v>
      </c>
      <c r="BG27" s="0" t="n">
        <f aca="false">BG28+BG26</f>
        <v>0.019606</v>
      </c>
      <c r="BH27" s="3" t="n">
        <v>0.019763</v>
      </c>
      <c r="BI27" s="0" t="n">
        <f aca="false">BI28+BI26</f>
        <v>0.017401</v>
      </c>
      <c r="BJ27" s="3" t="n">
        <v>0.024395</v>
      </c>
      <c r="BK27" s="3" t="n">
        <v>0.0189750409596244</v>
      </c>
      <c r="BL27" s="3" t="n">
        <v>0.007866</v>
      </c>
      <c r="BM27" s="0" t="n">
        <f aca="false">BM28+BM26</f>
        <v>0.022367</v>
      </c>
      <c r="BN27" s="0" t="n">
        <f aca="false">BN28+BN26</f>
        <v>0.034706</v>
      </c>
      <c r="BO27" s="3" t="n">
        <v>0.026161</v>
      </c>
      <c r="BP27" s="0" t="n">
        <f aca="false">BP28+BP26</f>
        <v>0.023245</v>
      </c>
      <c r="BQ27" s="3" t="n">
        <v>0.016362</v>
      </c>
      <c r="BR27" s="0" t="n">
        <f aca="false">BR28+BR26</f>
        <v>0.027273</v>
      </c>
      <c r="BS27" s="0" t="n">
        <f aca="false">BS28+BS26</f>
        <v>0.032358</v>
      </c>
      <c r="BT27" s="3" t="n">
        <v>0.034513</v>
      </c>
      <c r="BU27" s="0" t="n">
        <f aca="false">BU28+BU26</f>
        <v>0.038608</v>
      </c>
      <c r="BV27" s="0" t="n">
        <f aca="false">BV28+BV26</f>
        <v>0.019631</v>
      </c>
      <c r="BW27" s="3" t="n">
        <v>0.039794</v>
      </c>
      <c r="BX27" s="0" t="n">
        <f aca="false">BX28+BX26</f>
        <v>0.032671</v>
      </c>
      <c r="BY27" s="0" t="n">
        <f aca="false">BY28+BY26</f>
        <v>0.009511</v>
      </c>
      <c r="BZ27" s="0" t="n">
        <f aca="false">BZ28+BZ26</f>
        <v>0.018001</v>
      </c>
      <c r="CA27" s="0" t="n">
        <f aca="false">CA28+CA26</f>
        <v>0.023689</v>
      </c>
      <c r="CB27" s="0" t="n">
        <f aca="false">CB28+CB26</f>
        <v>0.019611</v>
      </c>
      <c r="CC27" s="3" t="n">
        <v>0.039362</v>
      </c>
      <c r="CD27" s="0" t="n">
        <f aca="false">CD28+CD26</f>
        <v>0.01677</v>
      </c>
      <c r="CE27" s="0" t="n">
        <f aca="false">CE28+CE26</f>
        <v>0.030794</v>
      </c>
      <c r="CF27" s="0" t="n">
        <f aca="false">CF28+CF26</f>
        <v>0.018524</v>
      </c>
      <c r="CG27" s="0" t="n">
        <f aca="false">CG28+CG26</f>
        <v>0.011898</v>
      </c>
      <c r="CH27" s="0" t="n">
        <f aca="false">CH28+CH26</f>
        <v>0.021983</v>
      </c>
      <c r="CI27" s="0" t="n">
        <f aca="false">CI28+CI26</f>
        <v>0.01617</v>
      </c>
      <c r="CJ27" s="0" t="n">
        <f aca="false">CJ28+CJ26</f>
        <v>0.049414</v>
      </c>
      <c r="CK27" s="0" t="n">
        <f aca="false">CK28+CK26</f>
        <v>0.039527</v>
      </c>
      <c r="CL27" s="3" t="n">
        <v>0.028444</v>
      </c>
      <c r="CM27" s="3" t="n">
        <v>0.021136</v>
      </c>
      <c r="CN27" s="3" t="n">
        <v>0.028621</v>
      </c>
      <c r="CO27" s="0" t="n">
        <f aca="false">CO28+CO26</f>
        <v>0.018995</v>
      </c>
      <c r="CP27" s="3" t="n">
        <v>0.01887</v>
      </c>
      <c r="CQ27" s="0" t="n">
        <f aca="false">CQ28+CQ26</f>
        <v>0.022668</v>
      </c>
      <c r="CR27" s="0" t="n">
        <f aca="false">CR28+CR26</f>
        <v>0.010701</v>
      </c>
      <c r="CS27" s="3" t="n">
        <v>0.015276</v>
      </c>
      <c r="CT27" s="0" t="n">
        <f aca="false">CT28+CT26</f>
        <v>0.030556</v>
      </c>
      <c r="CU27" s="3" t="n">
        <v>0.014526</v>
      </c>
      <c r="CV27" s="3" t="n">
        <v>0.028381</v>
      </c>
      <c r="CW27" s="0" t="n">
        <f aca="false">CW28+CW26</f>
        <v>0.037461</v>
      </c>
      <c r="CX27" s="0" t="n">
        <f aca="false">CX28+CX26</f>
        <v>0.035466</v>
      </c>
      <c r="CY27" s="3" t="n">
        <v>0.036035</v>
      </c>
      <c r="CZ27" s="0" t="n">
        <f aca="false">CZ28+CZ26</f>
        <v>0.028222</v>
      </c>
      <c r="DA27" s="0" t="n">
        <f aca="false">DA28+DA26</f>
        <v>0.050742</v>
      </c>
      <c r="DB27" s="3" t="n">
        <v>0.005406</v>
      </c>
      <c r="DC27" s="0" t="n">
        <f aca="false">DC28+DC26</f>
        <v>0.016048</v>
      </c>
      <c r="DD27" s="3" t="n">
        <v>0.029215</v>
      </c>
      <c r="DE27" s="0" t="n">
        <f aca="false">DE28+DE26</f>
        <v>0.016362</v>
      </c>
      <c r="DF27" s="3" t="n">
        <v>0.029031</v>
      </c>
      <c r="DG27" s="3" t="n">
        <v>0.0191221972859188</v>
      </c>
      <c r="DH27" s="3" t="n">
        <v>0.0199342377172249</v>
      </c>
      <c r="DI27" s="3" t="n">
        <v>0.028031</v>
      </c>
      <c r="DJ27" s="0" t="n">
        <f aca="false">DJ28+DJ26</f>
        <v>0.011963</v>
      </c>
      <c r="DK27" s="0" t="n">
        <f aca="false">DK28+DK26</f>
        <v>0.033663</v>
      </c>
      <c r="DL27" s="0" t="n">
        <f aca="false">DL28+DL26</f>
        <v>0.035493</v>
      </c>
      <c r="DM27" s="3" t="n">
        <v>0.014012</v>
      </c>
      <c r="DN27" s="3" t="n">
        <v>0.016263</v>
      </c>
      <c r="DO27" s="0" t="n">
        <f aca="false">DO28+DO26</f>
        <v>0.042192</v>
      </c>
      <c r="DP27" s="0" t="n">
        <f aca="false">DP28+DP26</f>
        <v>0.01191</v>
      </c>
      <c r="DQ27" s="0" t="n">
        <f aca="false">DQ28+DQ26</f>
        <v>0.015497</v>
      </c>
      <c r="DR27" s="3" t="n">
        <v>0.038449</v>
      </c>
      <c r="DS27" s="0" t="n">
        <f aca="false">DS28+DS26</f>
        <v>0.015527</v>
      </c>
      <c r="DT27" s="3" t="n">
        <v>0.012712</v>
      </c>
      <c r="DU27" s="3" t="n">
        <v>0.021769</v>
      </c>
      <c r="DV27" s="3" t="n">
        <v>0.019233</v>
      </c>
      <c r="DW27" s="0" t="n">
        <f aca="false">DW28+DW26</f>
        <v>0.016557</v>
      </c>
      <c r="DX27" s="3" t="n">
        <v>0.032075</v>
      </c>
      <c r="DY27" s="0" t="n">
        <f aca="false">DY28+DY26</f>
        <v>0.039714</v>
      </c>
      <c r="DZ27" s="0" t="n">
        <f aca="false">DZ28+DZ26</f>
        <v>0.032894</v>
      </c>
    </row>
    <row r="28" customFormat="false" ht="15" hidden="false" customHeight="false" outlineLevel="0" collapsed="false">
      <c r="A28" s="11" t="s">
        <v>130</v>
      </c>
      <c r="B28" s="3" t="n">
        <v>0.00823</v>
      </c>
      <c r="C28" s="3" t="n">
        <v>0.005125</v>
      </c>
      <c r="D28" s="3" t="n">
        <v>0.01372</v>
      </c>
      <c r="E28" s="3" t="n">
        <v>0.007566</v>
      </c>
      <c r="F28" s="3" t="n">
        <v>0.00919</v>
      </c>
      <c r="G28" s="3" t="n">
        <v>0.0065</v>
      </c>
      <c r="H28" s="3" t="n">
        <v>0.0092</v>
      </c>
      <c r="I28" s="3" t="n">
        <v>0.0058</v>
      </c>
      <c r="J28" s="3" t="n">
        <v>0.006156</v>
      </c>
      <c r="K28" s="3" t="n">
        <v>0.005401</v>
      </c>
      <c r="L28" s="3" t="n">
        <v>0.010576</v>
      </c>
      <c r="M28" s="3" t="n">
        <v>0.0128</v>
      </c>
      <c r="N28" s="3" t="n">
        <v>0.0093</v>
      </c>
      <c r="O28" s="3" t="n">
        <v>0.005559</v>
      </c>
      <c r="P28" s="3" t="n">
        <v>0.009361</v>
      </c>
      <c r="Q28" s="3" t="n">
        <v>0.00623</v>
      </c>
      <c r="R28" s="3" t="n">
        <v>0.007428</v>
      </c>
      <c r="S28" s="3" t="n">
        <v>0.007462</v>
      </c>
      <c r="T28" s="3" t="n">
        <v>0.006116</v>
      </c>
      <c r="U28" s="3" t="n">
        <v>0.0151</v>
      </c>
      <c r="V28" s="3" t="n">
        <v>0.00956</v>
      </c>
      <c r="W28" s="3" t="n">
        <v>0.011313</v>
      </c>
      <c r="X28" s="3" t="n">
        <v>0.006127</v>
      </c>
      <c r="Y28" s="3" t="n">
        <v>0.011462</v>
      </c>
      <c r="Z28" s="3" t="n">
        <v>0.0074</v>
      </c>
      <c r="AA28" s="3" t="n">
        <v>0.005411</v>
      </c>
      <c r="AB28" s="3" t="n">
        <v>0.014532</v>
      </c>
      <c r="AC28" s="3" t="n">
        <v>0.014065</v>
      </c>
      <c r="AD28" s="3" t="n">
        <v>0.005118</v>
      </c>
      <c r="AE28" s="3" t="n">
        <v>0.0072</v>
      </c>
      <c r="AF28" s="3" t="n">
        <v>0.005872</v>
      </c>
      <c r="AG28" s="3" t="n">
        <v>0.008569</v>
      </c>
      <c r="AH28" s="3" t="n">
        <v>0.004829</v>
      </c>
      <c r="AI28" s="3" t="n">
        <v>0.007811</v>
      </c>
      <c r="AJ28" s="3" t="n">
        <v>0.013548</v>
      </c>
      <c r="AK28" s="3" t="n">
        <v>0.010314</v>
      </c>
      <c r="AL28" s="3" t="n">
        <v>0.0091</v>
      </c>
      <c r="AM28" s="3" t="n">
        <v>0.008606</v>
      </c>
      <c r="AN28" s="3" t="n">
        <v>0.006065</v>
      </c>
      <c r="AO28" s="3" t="n">
        <v>0.005131</v>
      </c>
      <c r="AP28" s="3" t="n">
        <v>0.006129</v>
      </c>
      <c r="AQ28" s="3" t="n">
        <v>0.00679</v>
      </c>
      <c r="AR28" s="3" t="n">
        <v>0.010764</v>
      </c>
      <c r="AS28" s="3" t="n">
        <v>0.006598</v>
      </c>
      <c r="AT28" s="3" t="n">
        <v>0.0118</v>
      </c>
      <c r="AU28" s="3" t="n">
        <v>0.007411</v>
      </c>
      <c r="AV28" s="3" t="n">
        <v>0.0084</v>
      </c>
      <c r="AW28" s="3" t="n">
        <v>0.008626</v>
      </c>
      <c r="AX28" s="3" t="n">
        <v>0.008729</v>
      </c>
      <c r="AY28" s="3" t="n">
        <v>0.011517</v>
      </c>
      <c r="AZ28" s="3" t="n">
        <v>0.008948</v>
      </c>
      <c r="BA28" s="3" t="n">
        <v>0.0105</v>
      </c>
      <c r="BB28" s="3" t="n">
        <v>0.00537</v>
      </c>
      <c r="BC28" s="3" t="n">
        <v>0.009944</v>
      </c>
      <c r="BD28" s="3" t="n">
        <v>0.008137</v>
      </c>
      <c r="BE28" s="3" t="n">
        <v>0.008717</v>
      </c>
      <c r="BF28" s="3" t="n">
        <v>0.005011</v>
      </c>
      <c r="BG28" s="3" t="n">
        <v>0.007339</v>
      </c>
      <c r="BH28" s="3" t="n">
        <v>0.007161</v>
      </c>
      <c r="BI28" s="3" t="n">
        <v>0.004636</v>
      </c>
      <c r="BJ28" s="3" t="n">
        <v>0.0052</v>
      </c>
      <c r="BK28" s="3" t="n">
        <v>0.0098</v>
      </c>
      <c r="BL28" s="3" t="n">
        <v>0.0057</v>
      </c>
      <c r="BM28" s="3" t="n">
        <v>0.00757</v>
      </c>
      <c r="BN28" s="3" t="n">
        <v>0.008265</v>
      </c>
      <c r="BO28" s="3" t="n">
        <v>0.0061</v>
      </c>
      <c r="BP28" s="3" t="n">
        <v>0.006768</v>
      </c>
      <c r="BQ28" s="3" t="n">
        <v>0.004562</v>
      </c>
      <c r="BR28" s="3" t="n">
        <v>0.014804</v>
      </c>
      <c r="BS28" s="3" t="n">
        <v>0.008684</v>
      </c>
      <c r="BT28" s="3" t="n">
        <v>0.006674</v>
      </c>
      <c r="BU28" s="3" t="n">
        <v>0.007885</v>
      </c>
      <c r="BV28" s="3" t="n">
        <v>0.004921</v>
      </c>
      <c r="BW28" s="3" t="n">
        <v>0.01046</v>
      </c>
      <c r="BX28" s="3" t="n">
        <v>0.007947</v>
      </c>
      <c r="BY28" s="3" t="n">
        <v>0.0077</v>
      </c>
      <c r="BZ28" s="3" t="n">
        <v>0.004789</v>
      </c>
      <c r="CA28" s="3" t="n">
        <v>0.006113</v>
      </c>
      <c r="CB28" s="3" t="n">
        <v>0.005703</v>
      </c>
      <c r="CC28" s="3" t="n">
        <v>0.011452</v>
      </c>
      <c r="CD28" s="3" t="n">
        <v>0.00825</v>
      </c>
      <c r="CE28" s="3" t="n">
        <v>0.007099</v>
      </c>
      <c r="CF28" s="3" t="n">
        <v>0.006392</v>
      </c>
      <c r="CG28" s="3" t="n">
        <v>0.0083</v>
      </c>
      <c r="CH28" s="3" t="n">
        <v>0.00688</v>
      </c>
      <c r="CI28" s="3" t="n">
        <v>0.004754</v>
      </c>
      <c r="CJ28" s="3" t="n">
        <v>0.00912</v>
      </c>
      <c r="CK28" s="3" t="n">
        <v>0.012922</v>
      </c>
      <c r="CL28" s="3" t="n">
        <v>0.00741</v>
      </c>
      <c r="CM28" s="3" t="n">
        <v>0.005014</v>
      </c>
      <c r="CN28" s="3" t="n">
        <v>0.007674</v>
      </c>
      <c r="CO28" s="3" t="n">
        <v>0.005652</v>
      </c>
      <c r="CP28" s="3" t="n">
        <v>0.00562</v>
      </c>
      <c r="CQ28" s="3" t="n">
        <v>0.006735</v>
      </c>
      <c r="CR28" s="3" t="n">
        <v>0.011311</v>
      </c>
      <c r="CS28" s="3" t="n">
        <v>0.0131</v>
      </c>
      <c r="CT28" s="3" t="n">
        <v>0.007053</v>
      </c>
      <c r="CU28" s="3" t="n">
        <v>0.007203</v>
      </c>
      <c r="CV28" s="3" t="n">
        <v>0.006923</v>
      </c>
      <c r="CW28" s="3" t="n">
        <v>0.006205</v>
      </c>
      <c r="CX28" s="3" t="n">
        <v>0.013573</v>
      </c>
      <c r="CY28" s="3" t="n">
        <v>0.012035</v>
      </c>
      <c r="CZ28" s="3" t="n">
        <v>0.012461</v>
      </c>
      <c r="DA28" s="3" t="n">
        <v>0.011587</v>
      </c>
      <c r="DB28" s="3" t="n">
        <v>0.0085</v>
      </c>
      <c r="DC28" s="3" t="n">
        <v>0.006761</v>
      </c>
      <c r="DD28" s="3" t="n">
        <v>0.007762</v>
      </c>
      <c r="DE28" s="3" t="n">
        <v>0.007408</v>
      </c>
      <c r="DF28" s="3" t="n">
        <v>0.01437</v>
      </c>
      <c r="DG28" s="3" t="n">
        <v>0.0092</v>
      </c>
      <c r="DH28" s="3" t="n">
        <v>0.0078</v>
      </c>
      <c r="DI28" s="3" t="n">
        <v>0.005608</v>
      </c>
      <c r="DJ28" s="3" t="n">
        <v>0.007901</v>
      </c>
      <c r="DK28" s="3" t="n">
        <v>0.006876</v>
      </c>
      <c r="DL28" s="3" t="n">
        <v>0.00894</v>
      </c>
      <c r="DM28" s="3" t="n">
        <v>0.009392</v>
      </c>
      <c r="DN28" s="3" t="n">
        <v>0.0062</v>
      </c>
      <c r="DO28" s="3" t="n">
        <v>0.009654</v>
      </c>
      <c r="DP28" s="3" t="n">
        <v>0.0147</v>
      </c>
      <c r="DQ28" s="3" t="n">
        <v>0.0088</v>
      </c>
      <c r="DR28" s="3" t="n">
        <v>0.006905</v>
      </c>
      <c r="DS28" s="3" t="n">
        <v>0.0081</v>
      </c>
      <c r="DT28" s="3" t="n">
        <v>0.009329</v>
      </c>
      <c r="DU28" s="3" t="n">
        <v>0.0049</v>
      </c>
      <c r="DV28" s="3" t="n">
        <v>0.005528</v>
      </c>
      <c r="DW28" s="3" t="n">
        <v>0.005815</v>
      </c>
      <c r="DX28" s="3" t="n">
        <v>0.006919</v>
      </c>
      <c r="DY28" s="3" t="n">
        <v>0.009018</v>
      </c>
      <c r="DZ28" s="3" t="n">
        <v>0.009819</v>
      </c>
    </row>
  </sheetData>
  <hyperlinks>
    <hyperlink ref="A7" r:id="rId2" display="http://data.worldbank.org/indicator/SP.DYN.CDRT.IN"/>
    <hyperlink ref="A10" r:id="rId3" display="http://data.worldbank.org/indicator/SP.POP.GROW"/>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Z1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B2" activePane="bottomRight" state="frozen"/>
      <selection pane="topLeft" activeCell="A1" activeCellId="0" sqref="A1"/>
      <selection pane="topRight" activeCell="DB1" activeCellId="0" sqref="DB1"/>
      <selection pane="bottomLeft" activeCell="A2" activeCellId="0" sqref="A2"/>
      <selection pane="bottomRight" activeCell="DV1" activeCellId="0" sqref="DV1"/>
    </sheetView>
  </sheetViews>
  <sheetFormatPr defaultRowHeight="15"/>
  <cols>
    <col collapsed="false" hidden="false" max="1" min="1" style="0" width="9.98979591836735"/>
    <col collapsed="false" hidden="false" max="30" min="2" style="0" width="8.50510204081633"/>
    <col collapsed="false" hidden="false" max="31" min="31" style="0" width="17.0102040816327"/>
    <col collapsed="false" hidden="false" max="36" min="32" style="0" width="8.50510204081633"/>
    <col collapsed="false" hidden="false" max="37" min="37" style="0" width="15.1173469387755"/>
    <col collapsed="false" hidden="false" max="120" min="38" style="0" width="8.50510204081633"/>
    <col collapsed="false" hidden="false" max="122" min="121" style="0" width="15.6581632653061"/>
    <col collapsed="false" hidden="false" max="1025" min="123" style="0" width="8.50510204081633"/>
  </cols>
  <sheetData>
    <row r="1" customFormat="false" ht="15" hidden="false" customHeight="false" outlineLevel="0" collapsed="false">
      <c r="A1" s="14"/>
      <c r="B1" s="14" t="s">
        <v>0</v>
      </c>
      <c r="C1" s="14" t="s">
        <v>1</v>
      </c>
      <c r="D1" s="14" t="s">
        <v>2</v>
      </c>
      <c r="E1" s="14" t="s">
        <v>3</v>
      </c>
      <c r="F1" s="14" t="s">
        <v>4</v>
      </c>
      <c r="G1" s="14" t="s">
        <v>5</v>
      </c>
      <c r="H1" s="14" t="s">
        <v>6</v>
      </c>
      <c r="I1" s="14" t="s">
        <v>7</v>
      </c>
      <c r="J1" s="14" t="s">
        <v>8</v>
      </c>
      <c r="K1" s="14" t="s">
        <v>9</v>
      </c>
      <c r="L1" s="14" t="s">
        <v>10</v>
      </c>
      <c r="M1" s="14" t="s">
        <v>11</v>
      </c>
      <c r="N1" s="14" t="s">
        <v>12</v>
      </c>
      <c r="O1" s="14" t="s">
        <v>13</v>
      </c>
      <c r="P1" s="14" t="s">
        <v>14</v>
      </c>
      <c r="Q1" s="14" t="s">
        <v>15</v>
      </c>
      <c r="R1" s="107" t="s">
        <v>16</v>
      </c>
      <c r="S1" s="14" t="s">
        <v>17</v>
      </c>
      <c r="T1" s="14" t="s">
        <v>18</v>
      </c>
      <c r="U1" s="14" t="s">
        <v>19</v>
      </c>
      <c r="V1" s="14" t="s">
        <v>20</v>
      </c>
      <c r="W1" s="14" t="s">
        <v>21</v>
      </c>
      <c r="X1" s="14" t="s">
        <v>22</v>
      </c>
      <c r="Y1" s="14" t="s">
        <v>23</v>
      </c>
      <c r="Z1" s="14" t="s">
        <v>24</v>
      </c>
      <c r="AA1" s="14" t="s">
        <v>25</v>
      </c>
      <c r="AB1" s="14" t="s">
        <v>26</v>
      </c>
      <c r="AC1" s="14" t="s">
        <v>27</v>
      </c>
      <c r="AD1" s="14" t="s">
        <v>28</v>
      </c>
      <c r="AE1" s="108" t="s">
        <v>29</v>
      </c>
      <c r="AF1" s="14" t="s">
        <v>30</v>
      </c>
      <c r="AG1" s="14" t="s">
        <v>31</v>
      </c>
      <c r="AH1" s="14" t="s">
        <v>32</v>
      </c>
      <c r="AI1" s="14" t="s">
        <v>33</v>
      </c>
      <c r="AJ1" s="14" t="s">
        <v>34</v>
      </c>
      <c r="AK1" s="107" t="s">
        <v>35</v>
      </c>
      <c r="AL1" s="14" t="s">
        <v>36</v>
      </c>
      <c r="AM1" s="14" t="s">
        <v>37</v>
      </c>
      <c r="AN1" s="14" t="s">
        <v>38</v>
      </c>
      <c r="AO1" s="14" t="s">
        <v>39</v>
      </c>
      <c r="AP1" s="108" t="s">
        <v>40</v>
      </c>
      <c r="AQ1" s="14" t="s">
        <v>41</v>
      </c>
      <c r="AR1" s="14" t="s">
        <v>42</v>
      </c>
      <c r="AS1" s="14" t="s">
        <v>43</v>
      </c>
      <c r="AT1" s="14" t="s">
        <v>44</v>
      </c>
      <c r="AU1" s="14" t="s">
        <v>45</v>
      </c>
      <c r="AV1" s="14" t="s">
        <v>46</v>
      </c>
      <c r="AW1" s="14" t="s">
        <v>47</v>
      </c>
      <c r="AX1" s="14" t="s">
        <v>48</v>
      </c>
      <c r="AY1" s="14" t="s">
        <v>49</v>
      </c>
      <c r="AZ1" s="14" t="s">
        <v>50</v>
      </c>
      <c r="BA1" s="14" t="s">
        <v>51</v>
      </c>
      <c r="BB1" s="14" t="s">
        <v>52</v>
      </c>
      <c r="BC1" s="14" t="s">
        <v>53</v>
      </c>
      <c r="BD1" s="14" t="s">
        <v>54</v>
      </c>
      <c r="BE1" s="14" t="s">
        <v>55</v>
      </c>
      <c r="BF1" s="14" t="s">
        <v>56</v>
      </c>
      <c r="BG1" s="14" t="s">
        <v>57</v>
      </c>
      <c r="BH1" s="14" t="s">
        <v>58</v>
      </c>
      <c r="BI1" s="107" t="s">
        <v>59</v>
      </c>
      <c r="BJ1" s="14" t="s">
        <v>60</v>
      </c>
      <c r="BK1" s="14" t="s">
        <v>61</v>
      </c>
      <c r="BL1" s="14" t="s">
        <v>62</v>
      </c>
      <c r="BM1" s="14" t="s">
        <v>63</v>
      </c>
      <c r="BN1" s="14" t="s">
        <v>64</v>
      </c>
      <c r="BO1" s="14" t="s">
        <v>65</v>
      </c>
      <c r="BP1" s="107" t="s">
        <v>66</v>
      </c>
      <c r="BQ1" s="14" t="s">
        <v>67</v>
      </c>
      <c r="BR1" s="14" t="s">
        <v>68</v>
      </c>
      <c r="BS1" s="14" t="s">
        <v>69</v>
      </c>
      <c r="BT1" s="14" t="s">
        <v>70</v>
      </c>
      <c r="BU1" s="14" t="s">
        <v>71</v>
      </c>
      <c r="BV1" s="14" t="s">
        <v>72</v>
      </c>
      <c r="BW1" s="14" t="s">
        <v>73</v>
      </c>
      <c r="BX1" s="14" t="s">
        <v>74</v>
      </c>
      <c r="BY1" s="14" t="s">
        <v>75</v>
      </c>
      <c r="BZ1" s="14" t="s">
        <v>76</v>
      </c>
      <c r="CA1" s="14" t="s">
        <v>77</v>
      </c>
      <c r="CB1" s="14" t="s">
        <v>78</v>
      </c>
      <c r="CC1" s="14" t="s">
        <v>79</v>
      </c>
      <c r="CD1" s="14" t="s">
        <v>80</v>
      </c>
      <c r="CE1" s="14" t="s">
        <v>81</v>
      </c>
      <c r="CF1" s="14" t="s">
        <v>82</v>
      </c>
      <c r="CG1" s="14" t="s">
        <v>83</v>
      </c>
      <c r="CH1" s="14" t="s">
        <v>84</v>
      </c>
      <c r="CI1" s="14" t="s">
        <v>85</v>
      </c>
      <c r="CJ1" s="14" t="s">
        <v>86</v>
      </c>
      <c r="CK1" s="14" t="s">
        <v>87</v>
      </c>
      <c r="CL1" s="14" t="s">
        <v>88</v>
      </c>
      <c r="CM1" s="14" t="s">
        <v>89</v>
      </c>
      <c r="CN1" s="14" t="s">
        <v>90</v>
      </c>
      <c r="CO1" s="14" t="s">
        <v>91</v>
      </c>
      <c r="CP1" s="14" t="s">
        <v>92</v>
      </c>
      <c r="CQ1" s="14" t="s">
        <v>93</v>
      </c>
      <c r="CR1" s="14" t="s">
        <v>94</v>
      </c>
      <c r="CS1" s="14" t="s">
        <v>95</v>
      </c>
      <c r="CT1" s="14" t="s">
        <v>96</v>
      </c>
      <c r="CU1" s="14" t="s">
        <v>97</v>
      </c>
      <c r="CV1" s="14" t="s">
        <v>99</v>
      </c>
      <c r="CW1" s="14" t="s">
        <v>100</v>
      </c>
      <c r="CX1" s="14" t="s">
        <v>101</v>
      </c>
      <c r="CY1" s="14" t="s">
        <v>102</v>
      </c>
      <c r="CZ1" s="14" t="s">
        <v>103</v>
      </c>
      <c r="DA1" s="14" t="s">
        <v>104</v>
      </c>
      <c r="DB1" s="14" t="s">
        <v>105</v>
      </c>
      <c r="DC1" s="14" t="s">
        <v>106</v>
      </c>
      <c r="DD1" s="14" t="s">
        <v>107</v>
      </c>
      <c r="DE1" s="14" t="s">
        <v>108</v>
      </c>
      <c r="DF1" s="14" t="s">
        <v>109</v>
      </c>
      <c r="DG1" s="14" t="s">
        <v>110</v>
      </c>
      <c r="DH1" s="14" t="s">
        <v>111</v>
      </c>
      <c r="DI1" s="14" t="s">
        <v>112</v>
      </c>
      <c r="DJ1" s="14" t="s">
        <v>113</v>
      </c>
      <c r="DK1" s="14" t="s">
        <v>114</v>
      </c>
      <c r="DL1" s="14" t="s">
        <v>115</v>
      </c>
      <c r="DM1" s="14" t="s">
        <v>116</v>
      </c>
      <c r="DN1" s="14" t="s">
        <v>117</v>
      </c>
      <c r="DO1" s="14" t="s">
        <v>118</v>
      </c>
      <c r="DP1" s="14" t="s">
        <v>119</v>
      </c>
      <c r="DQ1" s="14" t="s">
        <v>120</v>
      </c>
      <c r="DR1" s="14" t="s">
        <v>121</v>
      </c>
      <c r="DS1" s="14" t="s">
        <v>122</v>
      </c>
      <c r="DT1" s="14" t="s">
        <v>123</v>
      </c>
      <c r="DU1" s="14" t="s">
        <v>124</v>
      </c>
      <c r="DV1" s="14" t="s">
        <v>125</v>
      </c>
      <c r="DW1" s="14" t="s">
        <v>126</v>
      </c>
      <c r="DX1" s="14" t="s">
        <v>127</v>
      </c>
      <c r="DY1" s="14" t="s">
        <v>128</v>
      </c>
      <c r="DZ1" s="14" t="s">
        <v>213</v>
      </c>
    </row>
    <row r="2" customFormat="false" ht="15" hidden="false" customHeight="false" outlineLevel="0" collapsed="false">
      <c r="A2" s="13" t="s">
        <v>472</v>
      </c>
      <c r="B2" s="16"/>
      <c r="C2" s="16"/>
      <c r="D2" s="16"/>
      <c r="E2" s="16"/>
      <c r="F2" s="16"/>
      <c r="G2" s="16"/>
      <c r="H2" s="16"/>
      <c r="I2" s="16"/>
      <c r="J2" s="16"/>
      <c r="K2" s="109"/>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5"/>
      <c r="BX2" s="16"/>
      <c r="BY2" s="16"/>
      <c r="BZ2" s="16"/>
      <c r="CA2" s="16"/>
      <c r="CB2" s="16"/>
      <c r="CC2" s="16"/>
      <c r="CD2" s="16"/>
      <c r="CE2" s="16"/>
      <c r="CF2" s="16"/>
      <c r="CG2" s="16"/>
      <c r="CH2" s="16"/>
      <c r="CI2" s="16"/>
      <c r="CJ2" s="16"/>
      <c r="CK2" s="16"/>
      <c r="CL2" s="16"/>
      <c r="CM2" s="16"/>
      <c r="CN2" s="16"/>
      <c r="CO2" s="16"/>
      <c r="CP2" s="109"/>
      <c r="CQ2" s="109"/>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5"/>
      <c r="DT2" s="16"/>
      <c r="DU2" s="16"/>
      <c r="DV2" s="16"/>
      <c r="DW2" s="16"/>
      <c r="DX2" s="16"/>
      <c r="DY2" s="16"/>
      <c r="DZ2" s="16"/>
    </row>
    <row r="3" customFormat="false" ht="15" hidden="false" customHeight="false" outlineLevel="0" collapsed="false">
      <c r="A3" s="13" t="n">
        <v>1990</v>
      </c>
      <c r="B3" s="16" t="n">
        <v>0.002039353</v>
      </c>
      <c r="C3" s="16" t="n">
        <v>0.000679</v>
      </c>
      <c r="D3" s="16" t="n">
        <v>0.1</v>
      </c>
      <c r="E3" s="16" t="n">
        <v>0.03</v>
      </c>
      <c r="F3" s="16" t="s">
        <v>473</v>
      </c>
      <c r="G3" s="16" t="n">
        <v>0.01</v>
      </c>
      <c r="H3" s="16"/>
      <c r="I3" s="16" t="s">
        <v>473</v>
      </c>
      <c r="J3" s="16" t="n">
        <v>0.33</v>
      </c>
      <c r="K3" s="109" t="n">
        <v>1.2084E-005</v>
      </c>
      <c r="L3" s="16" t="n">
        <v>0.04</v>
      </c>
      <c r="M3" s="16" t="s">
        <v>473</v>
      </c>
      <c r="N3" s="16"/>
      <c r="O3" s="16" t="n">
        <v>0.02</v>
      </c>
      <c r="P3" s="16" t="n">
        <v>0.09</v>
      </c>
      <c r="Q3" s="16"/>
      <c r="R3" s="16" t="n">
        <v>0.04</v>
      </c>
      <c r="S3" s="16" t="n">
        <v>2.36</v>
      </c>
      <c r="T3" s="16" t="n">
        <v>0.05</v>
      </c>
      <c r="U3" s="16"/>
      <c r="V3" s="16" t="n">
        <v>0.59</v>
      </c>
      <c r="W3" s="16" t="n">
        <v>0.28</v>
      </c>
      <c r="X3" s="16" t="n">
        <v>0.02</v>
      </c>
      <c r="Y3" s="16" t="n">
        <v>0.56</v>
      </c>
      <c r="Z3" s="16"/>
      <c r="AA3" s="16" t="n">
        <v>0.16</v>
      </c>
      <c r="AB3" s="16" t="n">
        <v>1.02</v>
      </c>
      <c r="AC3" s="16" t="n">
        <v>0.25</v>
      </c>
      <c r="AD3" s="16" t="n">
        <v>0.02</v>
      </c>
      <c r="AE3" s="16"/>
      <c r="AF3" s="15" t="n">
        <v>0.02</v>
      </c>
      <c r="AG3" s="16" t="n">
        <v>0.91</v>
      </c>
      <c r="AH3" s="16" t="n">
        <v>0.01</v>
      </c>
      <c r="AI3" s="16" t="s">
        <v>473</v>
      </c>
      <c r="AJ3" s="16" t="n">
        <v>0.67</v>
      </c>
      <c r="AK3" s="16" t="n">
        <v>0.19</v>
      </c>
      <c r="AL3" s="16"/>
      <c r="AM3" s="16" t="n">
        <v>0.09</v>
      </c>
      <c r="AN3" s="16" t="n">
        <v>0.21</v>
      </c>
      <c r="AO3" s="16" t="n">
        <v>0.04</v>
      </c>
      <c r="AP3" s="16"/>
      <c r="AQ3" s="16" t="n">
        <v>0.03</v>
      </c>
      <c r="AR3" s="16" t="n">
        <v>0.09</v>
      </c>
      <c r="AS3" s="16" t="n">
        <v>0.16</v>
      </c>
      <c r="AT3" s="16"/>
      <c r="AU3" s="16" t="n">
        <v>0.34</v>
      </c>
      <c r="AV3" s="16"/>
      <c r="AW3" s="16" t="n">
        <v>0.27</v>
      </c>
      <c r="AX3" s="16" t="n">
        <v>0.04</v>
      </c>
      <c r="AY3" s="16" t="s">
        <v>473</v>
      </c>
      <c r="AZ3" s="16" t="n">
        <v>0.32</v>
      </c>
      <c r="BA3" s="16" t="n">
        <v>0.01</v>
      </c>
      <c r="BB3" s="16" t="s">
        <v>473</v>
      </c>
      <c r="BC3" s="16" t="n">
        <v>0.17</v>
      </c>
      <c r="BD3" s="16" t="n">
        <v>0.02</v>
      </c>
      <c r="BE3" s="16" t="n">
        <v>0.6</v>
      </c>
      <c r="BF3" s="16" t="n">
        <v>0.3</v>
      </c>
      <c r="BG3" s="16" t="n">
        <v>0.02</v>
      </c>
      <c r="BH3" s="16" t="s">
        <v>473</v>
      </c>
      <c r="BI3" s="16" t="s">
        <v>473</v>
      </c>
      <c r="BJ3" s="16" t="n">
        <v>0.007522172</v>
      </c>
      <c r="BK3" s="15" t="s">
        <v>473</v>
      </c>
      <c r="BL3" s="16" t="n">
        <v>0.29</v>
      </c>
      <c r="BM3" s="16" t="s">
        <v>473</v>
      </c>
      <c r="BN3" s="16" t="n">
        <v>1.91</v>
      </c>
      <c r="BO3" s="16" t="s">
        <v>473</v>
      </c>
      <c r="BP3" s="16" t="n">
        <v>0.000105</v>
      </c>
      <c r="BQ3" s="16"/>
      <c r="BR3" s="16" t="n">
        <v>0.9</v>
      </c>
      <c r="BS3" s="16" t="n">
        <v>0.24</v>
      </c>
      <c r="BT3" s="16" t="n">
        <v>0.02</v>
      </c>
      <c r="BU3" s="16" t="n">
        <v>2.38</v>
      </c>
      <c r="BV3" s="16" t="n">
        <v>0.08</v>
      </c>
      <c r="BW3" s="16" t="n">
        <v>0.37</v>
      </c>
      <c r="BX3" s="16" t="n">
        <v>0.06</v>
      </c>
      <c r="BY3" s="16" t="n">
        <v>0.02</v>
      </c>
      <c r="BZ3" s="16" t="n">
        <v>0.07</v>
      </c>
      <c r="CA3" s="16"/>
      <c r="CB3" s="16"/>
      <c r="CC3" s="16" t="n">
        <v>0.43</v>
      </c>
      <c r="CD3" s="16" t="n">
        <v>0.04</v>
      </c>
      <c r="CE3" s="16" t="n">
        <v>0.6</v>
      </c>
      <c r="CF3" s="16" t="s">
        <v>473</v>
      </c>
      <c r="CG3" s="16"/>
      <c r="CH3" s="16"/>
      <c r="CI3" s="16" t="n">
        <v>0.04</v>
      </c>
      <c r="CJ3" s="16" t="n">
        <v>0.08</v>
      </c>
      <c r="CK3" s="16" t="n">
        <v>0.31</v>
      </c>
      <c r="CL3" s="16"/>
      <c r="CM3" s="16" t="n">
        <v>0.1</v>
      </c>
      <c r="CN3" s="16" t="n">
        <v>0.03</v>
      </c>
      <c r="CO3" s="16" t="n">
        <v>0.03</v>
      </c>
      <c r="CP3" s="109" t="n">
        <v>0.05</v>
      </c>
      <c r="CQ3" s="109" t="n">
        <v>9.82082E-005</v>
      </c>
      <c r="CR3" s="16" t="s">
        <v>473</v>
      </c>
      <c r="CS3" s="16"/>
      <c r="CT3" s="16" t="n">
        <v>0.84</v>
      </c>
      <c r="CU3" s="16" t="n">
        <v>0.013785</v>
      </c>
      <c r="CV3" s="16" t="n">
        <v>0.04</v>
      </c>
      <c r="CW3" s="16" t="s">
        <v>473</v>
      </c>
      <c r="CX3" s="16" t="n">
        <v>0.03</v>
      </c>
      <c r="CY3" s="16" t="n">
        <v>0.44</v>
      </c>
      <c r="CZ3" s="16" t="n">
        <v>0.07</v>
      </c>
      <c r="DA3" s="16" t="n">
        <v>0.05</v>
      </c>
      <c r="DB3" s="16" t="n">
        <v>0.000268</v>
      </c>
      <c r="DC3" s="16" t="s">
        <v>473</v>
      </c>
      <c r="DD3" s="16" t="n">
        <v>0.05</v>
      </c>
      <c r="DE3" s="16" t="n">
        <v>1.24</v>
      </c>
      <c r="DF3" s="15" t="n">
        <v>0.00881795335302676</v>
      </c>
      <c r="DG3" s="16"/>
      <c r="DH3" s="16" t="s">
        <v>473</v>
      </c>
      <c r="DI3" s="16" t="n">
        <v>0.36</v>
      </c>
      <c r="DJ3" s="16"/>
      <c r="DK3" s="16" t="n">
        <v>0.36</v>
      </c>
      <c r="DL3" s="16" t="n">
        <v>0.09</v>
      </c>
      <c r="DM3" s="16" t="n">
        <f aca="false">0.001855/DM33</f>
        <v>0.003040983607</v>
      </c>
      <c r="DN3" s="16" t="n">
        <v>1.89</v>
      </c>
      <c r="DO3" s="16" t="s">
        <v>473</v>
      </c>
      <c r="DP3" s="16"/>
      <c r="DQ3" s="16" t="n">
        <v>1.15</v>
      </c>
      <c r="DR3" s="16"/>
      <c r="DS3" s="16" t="n">
        <v>0.03</v>
      </c>
      <c r="DT3" s="16" t="s">
        <v>473</v>
      </c>
      <c r="DU3" s="16" t="s">
        <v>473</v>
      </c>
      <c r="DV3" s="16" t="s">
        <v>473</v>
      </c>
      <c r="DW3" s="15" t="n">
        <v>0.000888635015738615</v>
      </c>
      <c r="DX3" s="16" t="n">
        <v>2.46</v>
      </c>
      <c r="DY3" s="16" t="n">
        <v>4.18</v>
      </c>
      <c r="DZ3" s="16" t="n">
        <v>0.107675213</v>
      </c>
    </row>
    <row r="4" customFormat="false" ht="15" hidden="false" customHeight="false" outlineLevel="0" collapsed="false">
      <c r="A4" s="13" t="n">
        <v>1991</v>
      </c>
      <c r="B4" s="16" t="n">
        <v>0.002738171</v>
      </c>
      <c r="C4" s="16" t="n">
        <v>0.000631</v>
      </c>
      <c r="D4" s="16" t="n">
        <v>0.12</v>
      </c>
      <c r="E4" s="16" t="n">
        <v>0.03</v>
      </c>
      <c r="F4" s="16" t="s">
        <v>473</v>
      </c>
      <c r="G4" s="16" t="n">
        <v>0.01</v>
      </c>
      <c r="H4" s="16"/>
      <c r="I4" s="16" t="s">
        <v>473</v>
      </c>
      <c r="J4" s="16" t="n">
        <v>0.35</v>
      </c>
      <c r="K4" s="109" t="n">
        <v>2.54234E-005</v>
      </c>
      <c r="L4" s="16" t="n">
        <v>0.05</v>
      </c>
      <c r="M4" s="16" t="s">
        <v>473</v>
      </c>
      <c r="N4" s="16"/>
      <c r="O4" s="16" t="n">
        <v>0.02</v>
      </c>
      <c r="P4" s="16" t="n">
        <v>0.13</v>
      </c>
      <c r="Q4" s="16"/>
      <c r="R4" s="16" t="n">
        <v>0.04</v>
      </c>
      <c r="S4" s="16" t="n">
        <v>3.05</v>
      </c>
      <c r="T4" s="16" t="n">
        <v>0.04</v>
      </c>
      <c r="U4" s="16"/>
      <c r="V4" s="16" t="n">
        <v>0.54</v>
      </c>
      <c r="W4" s="16" t="n">
        <v>0.33</v>
      </c>
      <c r="X4" s="16" t="n">
        <v>0.07</v>
      </c>
      <c r="Y4" s="16" t="n">
        <v>0.64</v>
      </c>
      <c r="Z4" s="16"/>
      <c r="AA4" s="16" t="n">
        <v>0.17</v>
      </c>
      <c r="AB4" s="16" t="n">
        <v>1.14</v>
      </c>
      <c r="AC4" s="16" t="n">
        <v>0.28</v>
      </c>
      <c r="AD4" s="16" t="n">
        <v>0.02</v>
      </c>
      <c r="AE4" s="16"/>
      <c r="AF4" s="15" t="n">
        <v>0.03</v>
      </c>
      <c r="AG4" s="16" t="n">
        <v>0.91</v>
      </c>
      <c r="AH4" s="16" t="n">
        <v>0.01</v>
      </c>
      <c r="AI4" s="16" t="s">
        <v>473</v>
      </c>
      <c r="AJ4" s="16" t="n">
        <v>0.72</v>
      </c>
      <c r="AK4" s="16" t="n">
        <v>0.19</v>
      </c>
      <c r="AL4" s="16"/>
      <c r="AM4" s="16" t="n">
        <v>0.15</v>
      </c>
      <c r="AN4" s="16" t="n">
        <v>0.25</v>
      </c>
      <c r="AO4" s="16" t="n">
        <v>0.04</v>
      </c>
      <c r="AP4" s="16"/>
      <c r="AQ4" s="16" t="n">
        <v>0.03</v>
      </c>
      <c r="AR4" s="16" t="n">
        <v>0.1</v>
      </c>
      <c r="AS4" s="16" t="n">
        <v>0.19</v>
      </c>
      <c r="AT4" s="16"/>
      <c r="AU4" s="16" t="n">
        <v>0.44</v>
      </c>
      <c r="AV4" s="16"/>
      <c r="AW4" s="16" t="n">
        <v>0.34</v>
      </c>
      <c r="AX4" s="16" t="n">
        <v>0.05</v>
      </c>
      <c r="AY4" s="16" t="s">
        <v>473</v>
      </c>
      <c r="AZ4" s="16" t="n">
        <v>0.36</v>
      </c>
      <c r="BA4" s="16" t="n">
        <v>0.01</v>
      </c>
      <c r="BB4" s="16" t="n">
        <v>0.01</v>
      </c>
      <c r="BC4" s="16" t="n">
        <v>0.22</v>
      </c>
      <c r="BD4" s="16" t="n">
        <v>0.05</v>
      </c>
      <c r="BE4" s="16" t="n">
        <v>0.67</v>
      </c>
      <c r="BF4" s="16" t="n">
        <v>0.26</v>
      </c>
      <c r="BG4" s="16" t="n">
        <v>0.02</v>
      </c>
      <c r="BH4" s="16" t="s">
        <v>473</v>
      </c>
      <c r="BI4" s="16" t="s">
        <v>473</v>
      </c>
      <c r="BJ4" s="16" t="n">
        <v>0.019080934</v>
      </c>
      <c r="BK4" s="15" t="s">
        <v>473</v>
      </c>
      <c r="BL4" s="16" t="n">
        <v>0.32</v>
      </c>
      <c r="BM4" s="16" t="s">
        <v>473</v>
      </c>
      <c r="BN4" s="16" t="n">
        <v>2.16</v>
      </c>
      <c r="BO4" s="16" t="s">
        <v>473</v>
      </c>
      <c r="BP4" s="16" t="n">
        <v>0.000357</v>
      </c>
      <c r="BQ4" s="16"/>
      <c r="BR4" s="16" t="n">
        <v>1.24</v>
      </c>
      <c r="BS4" s="16" t="n">
        <v>0.26</v>
      </c>
      <c r="BT4" s="16" t="n">
        <v>0.02</v>
      </c>
      <c r="BU4" s="16" t="n">
        <v>2.5</v>
      </c>
      <c r="BV4" s="16" t="n">
        <v>0.2</v>
      </c>
      <c r="BW4" s="16" t="n">
        <v>0.35</v>
      </c>
      <c r="BX4" s="16" t="n">
        <v>0.07</v>
      </c>
      <c r="BY4" s="16" t="n">
        <v>0.02</v>
      </c>
      <c r="BZ4" s="16" t="n">
        <v>0.07</v>
      </c>
      <c r="CA4" s="16"/>
      <c r="CB4" s="16"/>
      <c r="CC4" s="16" t="n">
        <v>0.51</v>
      </c>
      <c r="CD4" s="16" t="n">
        <v>0.07</v>
      </c>
      <c r="CE4" s="16" t="n">
        <v>0.89</v>
      </c>
      <c r="CF4" s="16" t="s">
        <v>473</v>
      </c>
      <c r="CG4" s="16"/>
      <c r="CH4" s="16"/>
      <c r="CI4" s="16" t="n">
        <v>0.04</v>
      </c>
      <c r="CJ4" s="16" t="n">
        <v>0.1</v>
      </c>
      <c r="CK4" s="16" t="n">
        <v>0.36</v>
      </c>
      <c r="CL4" s="16"/>
      <c r="CM4" s="16" t="n">
        <v>0.13</v>
      </c>
      <c r="CN4" s="16" t="n">
        <v>0.04</v>
      </c>
      <c r="CO4" s="16" t="n">
        <v>0.03</v>
      </c>
      <c r="CP4" s="16" t="n">
        <v>0.05</v>
      </c>
      <c r="CQ4" s="16" t="n">
        <v>0.000165609</v>
      </c>
      <c r="CR4" s="16" t="s">
        <v>473</v>
      </c>
      <c r="CS4" s="16"/>
      <c r="CT4" s="16" t="n">
        <v>0.9</v>
      </c>
      <c r="CU4" s="16" t="n">
        <v>0.023922</v>
      </c>
      <c r="CV4" s="16" t="n">
        <v>0.04</v>
      </c>
      <c r="CW4" s="16" t="n">
        <v>0.01</v>
      </c>
      <c r="CX4" s="16" t="n">
        <v>0.05</v>
      </c>
      <c r="CY4" s="16" t="n">
        <v>0.72</v>
      </c>
      <c r="CZ4" s="16" t="n">
        <v>0.12</v>
      </c>
      <c r="DA4" s="16" t="n">
        <v>0.06</v>
      </c>
      <c r="DB4" s="16" t="n">
        <v>0.000317</v>
      </c>
      <c r="DC4" s="16" t="s">
        <v>473</v>
      </c>
      <c r="DD4" s="16" t="n">
        <v>0.06</v>
      </c>
      <c r="DE4" s="16" t="n">
        <v>2.02</v>
      </c>
      <c r="DF4" s="15" t="n">
        <v>0.00853303542208303</v>
      </c>
      <c r="DG4" s="16"/>
      <c r="DH4" s="16" t="s">
        <v>473</v>
      </c>
      <c r="DI4" s="16" t="n">
        <v>0.47</v>
      </c>
      <c r="DJ4" s="16"/>
      <c r="DK4" s="16" t="n">
        <v>0.44</v>
      </c>
      <c r="DL4" s="16" t="n">
        <v>0.09</v>
      </c>
      <c r="DM4" s="16" t="n">
        <f aca="false">0.002001/DM33</f>
        <v>0.003280327869</v>
      </c>
      <c r="DN4" s="16" t="n">
        <v>1.55</v>
      </c>
      <c r="DO4" s="16" t="n">
        <v>0.01</v>
      </c>
      <c r="DP4" s="16"/>
      <c r="DQ4" s="16" t="n">
        <v>1.22</v>
      </c>
      <c r="DR4" s="16"/>
      <c r="DS4" s="16" t="n">
        <v>0.03</v>
      </c>
      <c r="DT4" s="16" t="s">
        <v>473</v>
      </c>
      <c r="DU4" s="16" t="s">
        <v>473</v>
      </c>
      <c r="DV4" s="16" t="s">
        <v>473</v>
      </c>
      <c r="DW4" s="15" t="n">
        <v>0.000561900315400266</v>
      </c>
      <c r="DX4" s="16" t="n">
        <v>2.34</v>
      </c>
      <c r="DY4" s="16" t="n">
        <v>4.57</v>
      </c>
      <c r="DZ4" s="16" t="n">
        <v>0.122552397</v>
      </c>
    </row>
    <row r="5" customFormat="false" ht="15" hidden="false" customHeight="false" outlineLevel="0" collapsed="false">
      <c r="A5" s="13" t="n">
        <v>1992</v>
      </c>
      <c r="B5" s="16" t="n">
        <v>0.002977203</v>
      </c>
      <c r="C5" s="16" t="n">
        <v>0.000716</v>
      </c>
      <c r="D5" s="16" t="n">
        <v>0.13</v>
      </c>
      <c r="E5" s="16" t="n">
        <v>0.03</v>
      </c>
      <c r="F5" s="16" t="s">
        <v>473</v>
      </c>
      <c r="G5" s="16" t="n">
        <v>0.01</v>
      </c>
      <c r="H5" s="16"/>
      <c r="I5" s="16" t="s">
        <v>473</v>
      </c>
      <c r="J5" s="16" t="n">
        <v>0.36</v>
      </c>
      <c r="K5" s="109" t="n">
        <v>3.79742E-005</v>
      </c>
      <c r="L5" s="16" t="n">
        <v>0.05</v>
      </c>
      <c r="M5" s="16" t="s">
        <v>473</v>
      </c>
      <c r="N5" s="16"/>
      <c r="O5" s="16" t="n">
        <v>0.03</v>
      </c>
      <c r="P5" s="16" t="n">
        <v>0.16</v>
      </c>
      <c r="Q5" s="16"/>
      <c r="R5" s="16" t="n">
        <v>0.05</v>
      </c>
      <c r="S5" s="16" t="n">
        <v>3.76</v>
      </c>
      <c r="T5" s="16" t="n">
        <v>0.04</v>
      </c>
      <c r="U5" s="16"/>
      <c r="V5" s="16" t="n">
        <v>0.48</v>
      </c>
      <c r="W5" s="16" t="n">
        <v>0.41</v>
      </c>
      <c r="X5" s="16" t="n">
        <v>0.19</v>
      </c>
      <c r="Y5" s="16" t="n">
        <v>0.71</v>
      </c>
      <c r="Z5" s="16"/>
      <c r="AA5" s="16" t="n">
        <v>0.18</v>
      </c>
      <c r="AB5" s="16" t="n">
        <v>1.25</v>
      </c>
      <c r="AC5" s="16" t="n">
        <v>0.31</v>
      </c>
      <c r="AD5" s="16" t="n">
        <v>0.02</v>
      </c>
      <c r="AE5" s="16"/>
      <c r="AF5" s="15" t="n">
        <v>0.03</v>
      </c>
      <c r="AG5" s="16" t="n">
        <v>0.91</v>
      </c>
      <c r="AH5" s="16" t="n">
        <v>0.01</v>
      </c>
      <c r="AI5" s="16" t="s">
        <v>473</v>
      </c>
      <c r="AJ5" s="16" t="n">
        <v>0.76</v>
      </c>
      <c r="AK5" s="16" t="n">
        <v>0.2</v>
      </c>
      <c r="AL5" s="16"/>
      <c r="AM5" s="16" t="n">
        <v>0.22</v>
      </c>
      <c r="AN5" s="16" t="n">
        <v>0.28</v>
      </c>
      <c r="AO5" s="16" t="n">
        <v>0.04</v>
      </c>
      <c r="AP5" s="16"/>
      <c r="AQ5" s="16" t="n">
        <v>0.04</v>
      </c>
      <c r="AR5" s="16" t="n">
        <v>0.11</v>
      </c>
      <c r="AS5" s="16" t="n">
        <v>0.23</v>
      </c>
      <c r="AT5" s="16"/>
      <c r="AU5" s="16" t="n">
        <v>0.55</v>
      </c>
      <c r="AV5" s="16"/>
      <c r="AW5" s="16" t="n">
        <v>0.42</v>
      </c>
      <c r="AX5" s="16" t="n">
        <v>0.07</v>
      </c>
      <c r="AY5" s="16" t="s">
        <v>473</v>
      </c>
      <c r="AZ5" s="16" t="n">
        <v>0.38</v>
      </c>
      <c r="BA5" s="16" t="n">
        <v>0.01</v>
      </c>
      <c r="BB5" s="16" t="n">
        <v>0.01</v>
      </c>
      <c r="BC5" s="16" t="n">
        <v>0.27</v>
      </c>
      <c r="BD5" s="16" t="n">
        <v>0.08</v>
      </c>
      <c r="BE5" s="16" t="n">
        <v>0.73</v>
      </c>
      <c r="BF5" s="16" t="n">
        <v>0.22</v>
      </c>
      <c r="BG5" s="16" t="n">
        <v>0.03</v>
      </c>
      <c r="BH5" s="16" t="s">
        <v>473</v>
      </c>
      <c r="BI5" s="16" t="s">
        <v>473</v>
      </c>
      <c r="BJ5" s="16" t="n">
        <v>0.012654867</v>
      </c>
      <c r="BK5" s="15" t="s">
        <v>473</v>
      </c>
      <c r="BL5" s="16" t="n">
        <v>0.33</v>
      </c>
      <c r="BM5" s="16" t="s">
        <v>473</v>
      </c>
      <c r="BN5" s="16" t="n">
        <v>2.3</v>
      </c>
      <c r="BO5" s="16" t="s">
        <v>473</v>
      </c>
      <c r="BP5" s="16" t="n">
        <v>0.000693</v>
      </c>
      <c r="BQ5" s="16"/>
      <c r="BR5" s="16" t="n">
        <v>1.74</v>
      </c>
      <c r="BS5" s="16" t="n">
        <v>0.29</v>
      </c>
      <c r="BT5" s="16" t="n">
        <v>0.03</v>
      </c>
      <c r="BU5" s="16" t="n">
        <v>2.59</v>
      </c>
      <c r="BV5" s="16" t="n">
        <v>0.18</v>
      </c>
      <c r="BW5" s="16" t="n">
        <v>0.3</v>
      </c>
      <c r="BX5" s="16" t="n">
        <v>0.08</v>
      </c>
      <c r="BY5" s="16" t="n">
        <v>0.04</v>
      </c>
      <c r="BZ5" s="16" t="n">
        <v>0.06</v>
      </c>
      <c r="CA5" s="16"/>
      <c r="CB5" s="16"/>
      <c r="CC5" s="16" t="n">
        <v>0.6</v>
      </c>
      <c r="CD5" s="16" t="n">
        <v>0.09</v>
      </c>
      <c r="CE5" s="16" t="n">
        <v>1.31</v>
      </c>
      <c r="CF5" s="16" t="s">
        <v>473</v>
      </c>
      <c r="CG5" s="16"/>
      <c r="CH5" s="16" t="n">
        <v>0.005697</v>
      </c>
      <c r="CI5" s="16" t="n">
        <v>0.05</v>
      </c>
      <c r="CJ5" s="16" t="n">
        <v>0.12</v>
      </c>
      <c r="CK5" s="16" t="n">
        <v>0.42</v>
      </c>
      <c r="CL5" s="16"/>
      <c r="CM5" s="16" t="n">
        <v>0.14</v>
      </c>
      <c r="CN5" s="16" t="n">
        <v>0.05</v>
      </c>
      <c r="CO5" s="16" t="n">
        <v>0.03</v>
      </c>
      <c r="CP5" s="16" t="n">
        <v>0.05</v>
      </c>
      <c r="CQ5" s="16" t="n">
        <v>0.000489445</v>
      </c>
      <c r="CR5" s="16" t="s">
        <v>473</v>
      </c>
      <c r="CS5" s="16"/>
      <c r="CT5" s="16" t="n">
        <v>0.8</v>
      </c>
      <c r="CU5" s="16" t="n">
        <v>0.026389</v>
      </c>
      <c r="CV5" s="16" t="n">
        <v>0.05</v>
      </c>
      <c r="CW5" s="16" t="n">
        <v>0.02</v>
      </c>
      <c r="CX5" s="16" t="n">
        <v>0.06</v>
      </c>
      <c r="CY5" s="16" t="n">
        <v>1.1</v>
      </c>
      <c r="CZ5" s="16" t="n">
        <v>0.18</v>
      </c>
      <c r="DA5" s="16" t="n">
        <v>0.06</v>
      </c>
      <c r="DB5" s="16" t="n">
        <v>0.000334</v>
      </c>
      <c r="DC5" s="16" t="s">
        <v>473</v>
      </c>
      <c r="DD5" s="16" t="n">
        <v>0.07</v>
      </c>
      <c r="DE5" s="16" t="n">
        <v>2.9</v>
      </c>
      <c r="DF5" s="15" t="n">
        <v>0.00914331837079491</v>
      </c>
      <c r="DG5" s="16"/>
      <c r="DH5" s="16" t="s">
        <v>473</v>
      </c>
      <c r="DI5" s="16" t="n">
        <v>0.49</v>
      </c>
      <c r="DJ5" s="16"/>
      <c r="DK5" s="16" t="n">
        <v>0.51</v>
      </c>
      <c r="DL5" s="16" t="n">
        <v>0.1</v>
      </c>
      <c r="DM5" s="16" t="n">
        <f aca="false">0.001772/DM33</f>
        <v>0.002904918033</v>
      </c>
      <c r="DN5" s="16" t="n">
        <v>1.23</v>
      </c>
      <c r="DO5" s="16" t="n">
        <v>0.02</v>
      </c>
      <c r="DP5" s="16"/>
      <c r="DQ5" s="16" t="n">
        <v>1.22</v>
      </c>
      <c r="DR5" s="16"/>
      <c r="DS5" s="16" t="n">
        <v>0.04</v>
      </c>
      <c r="DT5" s="16" t="s">
        <v>473</v>
      </c>
      <c r="DU5" s="16" t="n">
        <v>0.01</v>
      </c>
      <c r="DV5" s="16" t="s">
        <v>473</v>
      </c>
      <c r="DW5" s="15" t="n">
        <v>0.00584846110904953</v>
      </c>
      <c r="DX5" s="16" t="n">
        <v>2.27</v>
      </c>
      <c r="DY5" s="16" t="n">
        <v>4.78</v>
      </c>
      <c r="DZ5" s="16" t="n">
        <v>0.135448307</v>
      </c>
    </row>
    <row r="6" customFormat="false" ht="15" hidden="false" customHeight="false" outlineLevel="0" collapsed="false">
      <c r="A6" s="13" t="n">
        <v>1993</v>
      </c>
      <c r="B6" s="16" t="n">
        <v>0.003024858</v>
      </c>
      <c r="C6" s="16" t="n">
        <v>0.000847</v>
      </c>
      <c r="D6" s="16" t="n">
        <v>0.15</v>
      </c>
      <c r="E6" s="16" t="n">
        <v>0.03</v>
      </c>
      <c r="F6" s="16" t="s">
        <v>473</v>
      </c>
      <c r="G6" s="16" t="n">
        <v>0.01</v>
      </c>
      <c r="H6" s="16"/>
      <c r="I6" s="16" t="s">
        <v>473</v>
      </c>
      <c r="J6" s="16" t="n">
        <v>0.37</v>
      </c>
      <c r="K6" s="109" t="n">
        <v>4.97622E-005</v>
      </c>
      <c r="L6" s="16" t="n">
        <v>0.06</v>
      </c>
      <c r="M6" s="16" t="s">
        <v>473</v>
      </c>
      <c r="N6" s="16"/>
      <c r="O6" s="16" t="n">
        <v>0.04</v>
      </c>
      <c r="P6" s="16" t="n">
        <v>0.19</v>
      </c>
      <c r="Q6" s="16"/>
      <c r="R6" s="16" t="n">
        <v>0.05</v>
      </c>
      <c r="S6" s="16" t="n">
        <v>4.36</v>
      </c>
      <c r="T6" s="16" t="n">
        <v>0.04</v>
      </c>
      <c r="U6" s="16"/>
      <c r="V6" s="16" t="n">
        <v>0.41</v>
      </c>
      <c r="W6" s="16" t="n">
        <v>0.47</v>
      </c>
      <c r="X6" s="16" t="n">
        <v>0.34</v>
      </c>
      <c r="Y6" s="16" t="n">
        <v>0.76</v>
      </c>
      <c r="Z6" s="16"/>
      <c r="AA6" s="16" t="n">
        <v>0.2</v>
      </c>
      <c r="AB6" s="16" t="n">
        <v>1.33</v>
      </c>
      <c r="AC6" s="16" t="n">
        <v>0.34</v>
      </c>
      <c r="AD6" s="16" t="n">
        <v>0.02</v>
      </c>
      <c r="AE6" s="16"/>
      <c r="AF6" s="15" t="n">
        <v>0.03</v>
      </c>
      <c r="AG6" s="16" t="n">
        <v>0.87</v>
      </c>
      <c r="AH6" s="16" t="n">
        <v>0.02</v>
      </c>
      <c r="AI6" s="16" t="s">
        <v>473</v>
      </c>
      <c r="AJ6" s="16" t="n">
        <v>0.79</v>
      </c>
      <c r="AK6" s="16" t="n">
        <v>0.21</v>
      </c>
      <c r="AL6" s="16"/>
      <c r="AM6" s="16" t="n">
        <v>0.31</v>
      </c>
      <c r="AN6" s="16" t="n">
        <v>0.3</v>
      </c>
      <c r="AO6" s="16" t="n">
        <v>0.04</v>
      </c>
      <c r="AP6" s="16"/>
      <c r="AQ6" s="16" t="n">
        <v>0.04</v>
      </c>
      <c r="AR6" s="16" t="n">
        <v>0.14</v>
      </c>
      <c r="AS6" s="16" t="n">
        <v>0.25</v>
      </c>
      <c r="AT6" s="16"/>
      <c r="AU6" s="16" t="n">
        <v>0.64</v>
      </c>
      <c r="AV6" s="16"/>
      <c r="AW6" s="16" t="n">
        <v>0.5</v>
      </c>
      <c r="AX6" s="16" t="n">
        <v>0.1</v>
      </c>
      <c r="AY6" s="16" t="s">
        <v>473</v>
      </c>
      <c r="AZ6" s="16" t="n">
        <v>0.41</v>
      </c>
      <c r="BA6" s="16" t="n">
        <v>0.01</v>
      </c>
      <c r="BB6" s="16" t="n">
        <v>0.02</v>
      </c>
      <c r="BC6" s="16" t="n">
        <v>0.3</v>
      </c>
      <c r="BD6" s="16" t="n">
        <v>0.11</v>
      </c>
      <c r="BE6" s="16" t="n">
        <v>0.77</v>
      </c>
      <c r="BF6" s="16" t="n">
        <v>0.19</v>
      </c>
      <c r="BG6" s="16" t="n">
        <v>0.04</v>
      </c>
      <c r="BH6" s="16" t="s">
        <v>473</v>
      </c>
      <c r="BI6" s="16" t="s">
        <v>473</v>
      </c>
      <c r="BJ6" s="16" t="n">
        <v>0.010544216</v>
      </c>
      <c r="BK6" s="15" t="s">
        <v>473</v>
      </c>
      <c r="BL6" s="16" t="n">
        <v>0.34</v>
      </c>
      <c r="BM6" s="16" t="s">
        <v>473</v>
      </c>
      <c r="BN6" s="16" t="n">
        <v>2.28</v>
      </c>
      <c r="BO6" s="16" t="s">
        <v>473</v>
      </c>
      <c r="BP6" s="16" t="n">
        <v>0.001057</v>
      </c>
      <c r="BQ6" s="16"/>
      <c r="BR6" s="16" t="n">
        <v>2.37</v>
      </c>
      <c r="BS6" s="16" t="n">
        <v>0.32</v>
      </c>
      <c r="BT6" s="16" t="n">
        <v>0.05</v>
      </c>
      <c r="BU6" s="16" t="n">
        <v>2.59</v>
      </c>
      <c r="BV6" s="16" t="n">
        <v>0.12</v>
      </c>
      <c r="BW6" s="16" t="n">
        <v>0.28</v>
      </c>
      <c r="BX6" s="16" t="n">
        <v>0.09</v>
      </c>
      <c r="BY6" s="16" t="n">
        <v>0.05</v>
      </c>
      <c r="BZ6" s="16" t="n">
        <v>0.05</v>
      </c>
      <c r="CA6" s="16"/>
      <c r="CB6" s="16"/>
      <c r="CC6" s="16" t="n">
        <v>0.71</v>
      </c>
      <c r="CD6" s="16" t="n">
        <v>0.07</v>
      </c>
      <c r="CE6" s="16" t="n">
        <v>1.86</v>
      </c>
      <c r="CF6" s="16" t="s">
        <v>473</v>
      </c>
      <c r="CG6" s="16"/>
      <c r="CH6" s="16" t="n">
        <v>0.004791</v>
      </c>
      <c r="CI6" s="16" t="n">
        <v>0.05</v>
      </c>
      <c r="CJ6" s="16" t="n">
        <v>0.14</v>
      </c>
      <c r="CK6" s="16" t="n">
        <v>0.47</v>
      </c>
      <c r="CL6" s="16"/>
      <c r="CM6" s="16" t="n">
        <v>0.13</v>
      </c>
      <c r="CN6" s="16" t="n">
        <v>0.07</v>
      </c>
      <c r="CO6" s="16" t="n">
        <v>0.03</v>
      </c>
      <c r="CP6" s="16" t="n">
        <v>0.04</v>
      </c>
      <c r="CQ6" s="16" t="n">
        <v>0.000650837</v>
      </c>
      <c r="CR6" s="16" t="n">
        <v>0.02</v>
      </c>
      <c r="CS6" s="16"/>
      <c r="CT6" s="16" t="n">
        <v>0.7</v>
      </c>
      <c r="CU6" s="16" t="n">
        <v>0.01874</v>
      </c>
      <c r="CV6" s="16" t="n">
        <v>0.06</v>
      </c>
      <c r="CW6" s="16" t="n">
        <v>0.04</v>
      </c>
      <c r="CX6" s="16" t="n">
        <v>0.07</v>
      </c>
      <c r="CY6" s="16" t="n">
        <v>1.58</v>
      </c>
      <c r="CZ6" s="16" t="n">
        <v>0.23</v>
      </c>
      <c r="DA6" s="16" t="n">
        <v>0.04</v>
      </c>
      <c r="DB6" s="16" t="n">
        <v>0.000571</v>
      </c>
      <c r="DC6" s="16" t="n">
        <v>0.01</v>
      </c>
      <c r="DD6" s="16" t="n">
        <v>0.09</v>
      </c>
      <c r="DE6" s="16" t="n">
        <v>3.7</v>
      </c>
      <c r="DF6" s="15" t="n">
        <v>0.0103247048186748</v>
      </c>
      <c r="DG6" s="16"/>
      <c r="DH6" s="16" t="n">
        <v>0.01</v>
      </c>
      <c r="DI6" s="16" t="n">
        <v>0.37</v>
      </c>
      <c r="DJ6" s="16"/>
      <c r="DK6" s="16" t="n">
        <v>0.59</v>
      </c>
      <c r="DL6" s="16" t="n">
        <v>0.11</v>
      </c>
      <c r="DM6" s="16" t="n">
        <f aca="false">0.002038/DM33</f>
        <v>0.003340983607</v>
      </c>
      <c r="DN6" s="16" t="n">
        <v>0.97</v>
      </c>
      <c r="DO6" s="16" t="n">
        <v>0.03</v>
      </c>
      <c r="DP6" s="16"/>
      <c r="DQ6" s="16" t="n">
        <v>1.21</v>
      </c>
      <c r="DR6" s="16"/>
      <c r="DS6" s="16" t="n">
        <v>0.03</v>
      </c>
      <c r="DT6" s="16" t="s">
        <v>473</v>
      </c>
      <c r="DU6" s="16" t="n">
        <v>0.03</v>
      </c>
      <c r="DV6" s="16" t="s">
        <v>473</v>
      </c>
      <c r="DW6" s="15" t="n">
        <v>0.00314438465976978</v>
      </c>
      <c r="DX6" s="16" t="n">
        <v>2.16</v>
      </c>
      <c r="DY6" s="16" t="n">
        <v>4.8</v>
      </c>
      <c r="DZ6" s="16" t="n">
        <v>0.145038603</v>
      </c>
    </row>
    <row r="7" customFormat="false" ht="15" hidden="false" customHeight="false" outlineLevel="0" collapsed="false">
      <c r="A7" s="13" t="n">
        <v>1994</v>
      </c>
      <c r="B7" s="16" t="n">
        <v>0.002945172</v>
      </c>
      <c r="C7" s="16" t="n">
        <v>0.000895</v>
      </c>
      <c r="D7" s="16" t="n">
        <v>0.17</v>
      </c>
      <c r="E7" s="16" t="n">
        <v>0.03</v>
      </c>
      <c r="F7" s="16" t="s">
        <v>473</v>
      </c>
      <c r="G7" s="16" t="n">
        <v>0.01</v>
      </c>
      <c r="H7" s="16"/>
      <c r="I7" s="16" t="s">
        <v>473</v>
      </c>
      <c r="J7" s="16" t="n">
        <v>0.36</v>
      </c>
      <c r="K7" s="109" t="n">
        <v>7.51208E-005</v>
      </c>
      <c r="L7" s="16" t="n">
        <v>0.07</v>
      </c>
      <c r="M7" s="16" t="s">
        <v>473</v>
      </c>
      <c r="N7" s="16"/>
      <c r="O7" s="16" t="n">
        <v>0.06</v>
      </c>
      <c r="P7" s="16" t="n">
        <v>0.22</v>
      </c>
      <c r="Q7" s="16"/>
      <c r="R7" s="16" t="n">
        <v>0.04</v>
      </c>
      <c r="S7" s="16" t="n">
        <v>4.73</v>
      </c>
      <c r="T7" s="16" t="n">
        <v>0.04</v>
      </c>
      <c r="U7" s="16"/>
      <c r="V7" s="16" t="n">
        <v>0.34</v>
      </c>
      <c r="W7" s="16" t="n">
        <v>0.5</v>
      </c>
      <c r="X7" s="16" t="n">
        <v>0.45</v>
      </c>
      <c r="Y7" s="16" t="n">
        <v>0.78</v>
      </c>
      <c r="Z7" s="16"/>
      <c r="AA7" s="16" t="n">
        <v>0.2</v>
      </c>
      <c r="AB7" s="16" t="n">
        <v>1.36</v>
      </c>
      <c r="AC7" s="16" t="n">
        <v>0.37</v>
      </c>
      <c r="AD7" s="16" t="n">
        <v>0.02</v>
      </c>
      <c r="AE7" s="16"/>
      <c r="AF7" s="15" t="n">
        <v>0.03</v>
      </c>
      <c r="AG7" s="16" t="n">
        <v>0.84</v>
      </c>
      <c r="AH7" s="16" t="n">
        <v>0.02</v>
      </c>
      <c r="AI7" s="16" t="s">
        <v>473</v>
      </c>
      <c r="AJ7" s="16" t="n">
        <v>0.81</v>
      </c>
      <c r="AK7" s="16" t="n">
        <v>0.22</v>
      </c>
      <c r="AL7" s="16"/>
      <c r="AM7" s="16" t="n">
        <v>0.39</v>
      </c>
      <c r="AN7" s="16" t="n">
        <v>0.32</v>
      </c>
      <c r="AO7" s="16" t="n">
        <v>0.04</v>
      </c>
      <c r="AP7" s="16"/>
      <c r="AQ7" s="16" t="n">
        <v>0.05</v>
      </c>
      <c r="AR7" s="16" t="n">
        <v>0.17</v>
      </c>
      <c r="AS7" s="16" t="n">
        <v>0.27</v>
      </c>
      <c r="AT7" s="16"/>
      <c r="AU7" s="16" t="n">
        <v>0.71</v>
      </c>
      <c r="AV7" s="16"/>
      <c r="AW7" s="16" t="n">
        <v>0.59</v>
      </c>
      <c r="AX7" s="16" t="n">
        <v>0.15</v>
      </c>
      <c r="AY7" s="16" t="s">
        <v>473</v>
      </c>
      <c r="AZ7" s="16" t="n">
        <v>0.41</v>
      </c>
      <c r="BA7" s="16" t="n">
        <v>0.01</v>
      </c>
      <c r="BB7" s="16" t="n">
        <v>0.02</v>
      </c>
      <c r="BC7" s="16" t="n">
        <v>0.31</v>
      </c>
      <c r="BD7" s="16" t="n">
        <v>0.12</v>
      </c>
      <c r="BE7" s="16" t="n">
        <v>0.8</v>
      </c>
      <c r="BF7" s="16" t="n">
        <v>0.15</v>
      </c>
      <c r="BG7" s="16" t="n">
        <v>0.05</v>
      </c>
      <c r="BH7" s="16" t="s">
        <v>473</v>
      </c>
      <c r="BI7" s="16" t="s">
        <v>473</v>
      </c>
      <c r="BJ7" s="16" t="n">
        <v>0.009067266</v>
      </c>
      <c r="BK7" s="15" t="s">
        <v>473</v>
      </c>
      <c r="BL7" s="16" t="n">
        <v>0.3</v>
      </c>
      <c r="BM7" s="16" t="s">
        <v>473</v>
      </c>
      <c r="BN7" s="16" t="n">
        <v>2.11</v>
      </c>
      <c r="BO7" s="16" t="s">
        <v>473</v>
      </c>
      <c r="BP7" s="16" t="n">
        <v>0.002007</v>
      </c>
      <c r="BQ7" s="16"/>
      <c r="BR7" s="16" t="n">
        <v>3.05</v>
      </c>
      <c r="BS7" s="16" t="n">
        <v>0.34</v>
      </c>
      <c r="BT7" s="16" t="n">
        <v>0.06</v>
      </c>
      <c r="BU7" s="16" t="n">
        <v>2.54</v>
      </c>
      <c r="BV7" s="16" t="n">
        <v>0.11</v>
      </c>
      <c r="BW7" s="16" t="n">
        <v>0.22</v>
      </c>
      <c r="BX7" s="16" t="n">
        <v>0.1</v>
      </c>
      <c r="BY7" s="16" t="n">
        <v>0.08</v>
      </c>
      <c r="BZ7" s="16" t="n">
        <v>0.04</v>
      </c>
      <c r="CA7" s="16"/>
      <c r="CB7" s="16"/>
      <c r="CC7" s="16" t="n">
        <v>0.83</v>
      </c>
      <c r="CD7" s="16" t="n">
        <v>0.08</v>
      </c>
      <c r="CE7" s="16" t="n">
        <v>2.5</v>
      </c>
      <c r="CF7" s="16" t="s">
        <v>473</v>
      </c>
      <c r="CG7" s="16"/>
      <c r="CH7" s="16" t="n">
        <f aca="false">0.004687/CH33</f>
        <v>0.005514117647</v>
      </c>
      <c r="CI7" s="16" t="n">
        <v>0.05</v>
      </c>
      <c r="CJ7" s="16" t="n">
        <v>0.15</v>
      </c>
      <c r="CK7" s="16" t="n">
        <v>0.52</v>
      </c>
      <c r="CL7" s="16"/>
      <c r="CM7" s="16" t="n">
        <v>0.1</v>
      </c>
      <c r="CN7" s="16" t="n">
        <v>0.08</v>
      </c>
      <c r="CO7" s="16" t="n">
        <v>0.04</v>
      </c>
      <c r="CP7" s="16" t="n">
        <v>0.04</v>
      </c>
      <c r="CQ7" s="16" t="n">
        <v>0.000774002</v>
      </c>
      <c r="CR7" s="16" t="n">
        <v>0.02</v>
      </c>
      <c r="CS7" s="16"/>
      <c r="CT7" s="16" t="n">
        <v>0.66</v>
      </c>
      <c r="CU7" s="16" t="n">
        <v>0.029793</v>
      </c>
      <c r="CV7" s="16" t="n">
        <v>0.07</v>
      </c>
      <c r="CW7" s="16" t="n">
        <v>0.06</v>
      </c>
      <c r="CX7" s="16" t="n">
        <v>0.08</v>
      </c>
      <c r="CY7" s="16" t="n">
        <v>2.14</v>
      </c>
      <c r="CZ7" s="16" t="n">
        <v>0.27</v>
      </c>
      <c r="DA7" s="16" t="n">
        <v>0.04</v>
      </c>
      <c r="DB7" s="16" t="n">
        <v>0.000685</v>
      </c>
      <c r="DC7" s="16" t="n">
        <v>0.01</v>
      </c>
      <c r="DD7" s="16" t="n">
        <v>0.12</v>
      </c>
      <c r="DE7" s="16" t="n">
        <v>4.31</v>
      </c>
      <c r="DF7" s="15" t="n">
        <v>0.00683861815382756</v>
      </c>
      <c r="DG7" s="16"/>
      <c r="DH7" s="16" t="n">
        <v>0.01</v>
      </c>
      <c r="DI7" s="16" t="n">
        <v>0.29</v>
      </c>
      <c r="DJ7" s="16"/>
      <c r="DK7" s="16" t="n">
        <v>0.65</v>
      </c>
      <c r="DL7" s="16" t="n">
        <v>0.12</v>
      </c>
      <c r="DM7" s="16" t="n">
        <f aca="false">0.002188/DM33</f>
        <v>0.003586885246</v>
      </c>
      <c r="DN7" s="16" t="n">
        <v>0.76</v>
      </c>
      <c r="DO7" s="16" t="n">
        <v>0.04</v>
      </c>
      <c r="DP7" s="16"/>
      <c r="DQ7" s="16" t="n">
        <v>1.12</v>
      </c>
      <c r="DR7" s="16"/>
      <c r="DS7" s="16" t="n">
        <v>0.03</v>
      </c>
      <c r="DT7" s="16" t="s">
        <v>473</v>
      </c>
      <c r="DU7" s="16" t="n">
        <v>0.05</v>
      </c>
      <c r="DV7" s="16" t="s">
        <v>473</v>
      </c>
      <c r="DW7" s="15" t="n">
        <v>0.00310280272828966</v>
      </c>
      <c r="DX7" s="16" t="n">
        <v>2.08</v>
      </c>
      <c r="DY7" s="16" t="n">
        <v>4.59</v>
      </c>
      <c r="DZ7" s="16" t="n">
        <v>0.151164018</v>
      </c>
    </row>
    <row r="8" customFormat="false" ht="15" hidden="false" customHeight="false" outlineLevel="0" collapsed="false">
      <c r="A8" s="13" t="n">
        <v>1995</v>
      </c>
      <c r="B8" s="16" t="n">
        <v>0.003031583</v>
      </c>
      <c r="C8" s="16" t="n">
        <v>0.000629</v>
      </c>
      <c r="D8" s="16" t="n">
        <v>0.19</v>
      </c>
      <c r="E8" s="16" t="n">
        <v>0.03</v>
      </c>
      <c r="F8" s="16" t="s">
        <v>473</v>
      </c>
      <c r="G8" s="16" t="n">
        <v>0.01</v>
      </c>
      <c r="H8" s="16"/>
      <c r="I8" s="16" t="s">
        <v>473</v>
      </c>
      <c r="J8" s="16" t="n">
        <v>0.36</v>
      </c>
      <c r="K8" s="109" t="n">
        <v>0.000100645</v>
      </c>
      <c r="L8" s="16" t="n">
        <v>0.07</v>
      </c>
      <c r="M8" s="16" t="s">
        <v>473</v>
      </c>
      <c r="N8" s="16"/>
      <c r="O8" s="16" t="n">
        <v>0.08</v>
      </c>
      <c r="P8" s="16" t="n">
        <v>0.23</v>
      </c>
      <c r="Q8" s="16"/>
      <c r="R8" s="16" t="n">
        <v>0.04</v>
      </c>
      <c r="S8" s="16" t="n">
        <v>4.85</v>
      </c>
      <c r="T8" s="16" t="n">
        <v>0.04</v>
      </c>
      <c r="U8" s="16"/>
      <c r="V8" s="16" t="n">
        <v>0.27</v>
      </c>
      <c r="W8" s="16" t="n">
        <v>0.53</v>
      </c>
      <c r="X8" s="16" t="n">
        <v>0.47</v>
      </c>
      <c r="Y8" s="16" t="n">
        <v>0.79</v>
      </c>
      <c r="Z8" s="16"/>
      <c r="AA8" s="16" t="n">
        <v>0.21</v>
      </c>
      <c r="AB8" s="16" t="n">
        <v>1.34</v>
      </c>
      <c r="AC8" s="16" t="n">
        <v>0.42</v>
      </c>
      <c r="AD8" s="16" t="n">
        <v>0.02</v>
      </c>
      <c r="AE8" s="16"/>
      <c r="AF8" s="15" t="n">
        <v>0.03</v>
      </c>
      <c r="AG8" s="16" t="n">
        <v>0.78</v>
      </c>
      <c r="AH8" s="16" t="n">
        <v>0.02</v>
      </c>
      <c r="AI8" s="16" t="s">
        <v>473</v>
      </c>
      <c r="AJ8" s="16" t="n">
        <v>0.79</v>
      </c>
      <c r="AK8" s="16" t="n">
        <v>0.23</v>
      </c>
      <c r="AL8" s="16"/>
      <c r="AM8" s="16" t="n">
        <v>0.44</v>
      </c>
      <c r="AN8" s="16" t="n">
        <v>0.32</v>
      </c>
      <c r="AO8" s="16" t="n">
        <v>0.05</v>
      </c>
      <c r="AP8" s="16"/>
      <c r="AQ8" s="16" t="n">
        <v>0.05</v>
      </c>
      <c r="AR8" s="16" t="n">
        <v>0.21</v>
      </c>
      <c r="AS8" s="16" t="n">
        <v>0.27</v>
      </c>
      <c r="AT8" s="16"/>
      <c r="AU8" s="16" t="n">
        <v>0.74</v>
      </c>
      <c r="AV8" s="16"/>
      <c r="AW8" s="16" t="n">
        <v>0.67</v>
      </c>
      <c r="AX8" s="16" t="n">
        <v>0.2</v>
      </c>
      <c r="AY8" s="16" t="s">
        <v>473</v>
      </c>
      <c r="AZ8" s="16" t="n">
        <v>0.41</v>
      </c>
      <c r="BA8" s="16" t="n">
        <v>0.01</v>
      </c>
      <c r="BB8" s="16" t="n">
        <v>0.03</v>
      </c>
      <c r="BC8" s="16" t="n">
        <v>0.3</v>
      </c>
      <c r="BD8" s="16" t="n">
        <v>0.15</v>
      </c>
      <c r="BE8" s="16" t="n">
        <v>0.79</v>
      </c>
      <c r="BF8" s="16" t="n">
        <v>0.12</v>
      </c>
      <c r="BG8" s="16" t="n">
        <v>0.05</v>
      </c>
      <c r="BH8" s="16" t="s">
        <v>473</v>
      </c>
      <c r="BI8" s="16" t="s">
        <v>473</v>
      </c>
      <c r="BJ8" s="16" t="n">
        <v>0.010640547</v>
      </c>
      <c r="BK8" s="15" t="s">
        <v>473</v>
      </c>
      <c r="BL8" s="16" t="n">
        <v>0.26</v>
      </c>
      <c r="BM8" s="16" t="s">
        <v>473</v>
      </c>
      <c r="BN8" s="16" t="n">
        <v>1.8</v>
      </c>
      <c r="BO8" s="16" t="s">
        <v>473</v>
      </c>
      <c r="BP8" s="16" t="n">
        <v>0.002858</v>
      </c>
      <c r="BQ8" s="16"/>
      <c r="BR8" s="16" t="n">
        <v>3.46</v>
      </c>
      <c r="BS8" s="16" t="n">
        <v>0.35</v>
      </c>
      <c r="BT8" s="16" t="n">
        <v>0.07</v>
      </c>
      <c r="BU8" s="16" t="n">
        <v>2.4</v>
      </c>
      <c r="BV8" s="16" t="n">
        <v>0.11</v>
      </c>
      <c r="BW8" s="16" t="n">
        <v>0.18</v>
      </c>
      <c r="BX8" s="16" t="n">
        <v>0.11</v>
      </c>
      <c r="BY8" s="16" t="n">
        <v>0.11</v>
      </c>
      <c r="BZ8" s="16" t="n">
        <v>0.03</v>
      </c>
      <c r="CA8" s="16"/>
      <c r="CB8" s="16"/>
      <c r="CC8" s="16" t="n">
        <v>0.95</v>
      </c>
      <c r="CD8" s="16" t="n">
        <v>0.08</v>
      </c>
      <c r="CE8" s="16" t="n">
        <v>3.01</v>
      </c>
      <c r="CF8" s="16" t="s">
        <v>473</v>
      </c>
      <c r="CG8" s="16"/>
      <c r="CH8" s="16" t="n">
        <f aca="false">0.004323/CH33</f>
        <v>0.005085882353</v>
      </c>
      <c r="CI8" s="16" t="n">
        <v>0.05</v>
      </c>
      <c r="CJ8" s="16" t="n">
        <v>0.17</v>
      </c>
      <c r="CK8" s="16" t="n">
        <v>0.56</v>
      </c>
      <c r="CL8" s="16"/>
      <c r="CM8" s="16" t="n">
        <v>0.07</v>
      </c>
      <c r="CN8" s="16" t="n">
        <v>0.1</v>
      </c>
      <c r="CO8" s="16" t="n">
        <v>0.04</v>
      </c>
      <c r="CP8" s="16" t="n">
        <v>0.04</v>
      </c>
      <c r="CQ8" s="16" t="n">
        <v>0.000921868</v>
      </c>
      <c r="CR8" s="16" t="n">
        <v>0.03</v>
      </c>
      <c r="CS8" s="16"/>
      <c r="CT8" s="16" t="n">
        <v>0.59</v>
      </c>
      <c r="CU8" s="16" t="n">
        <v>0.025119</v>
      </c>
      <c r="CV8" s="16" t="n">
        <v>0.08</v>
      </c>
      <c r="CW8" s="16" t="n">
        <v>0.08</v>
      </c>
      <c r="CX8" s="16" t="n">
        <v>0.09</v>
      </c>
      <c r="CY8" s="16" t="n">
        <v>2.7</v>
      </c>
      <c r="CZ8" s="16" t="n">
        <v>0.3</v>
      </c>
      <c r="DA8" s="16" t="n">
        <v>0.03</v>
      </c>
      <c r="DB8" s="16" t="n">
        <v>0.000743</v>
      </c>
      <c r="DC8" s="16" t="n">
        <v>0.01</v>
      </c>
      <c r="DD8" s="16" t="n">
        <v>0.13</v>
      </c>
      <c r="DE8" s="16" t="n">
        <v>4.66</v>
      </c>
      <c r="DF8" s="15" t="n">
        <v>0.00651369480404692</v>
      </c>
      <c r="DG8" s="16"/>
      <c r="DH8" s="16" t="n">
        <v>0.02</v>
      </c>
      <c r="DI8" s="16" t="n">
        <v>0.21</v>
      </c>
      <c r="DJ8" s="16"/>
      <c r="DK8" s="16" t="n">
        <v>0.71</v>
      </c>
      <c r="DL8" s="16" t="n">
        <v>0.12</v>
      </c>
      <c r="DM8" s="16" t="n">
        <f aca="false">0.001834/DM33</f>
        <v>0.003006557377</v>
      </c>
      <c r="DN8" s="16" t="n">
        <v>0.63</v>
      </c>
      <c r="DO8" s="16" t="n">
        <v>0.06</v>
      </c>
      <c r="DP8" s="16"/>
      <c r="DQ8" s="16" t="n">
        <v>1.03</v>
      </c>
      <c r="DR8" s="16"/>
      <c r="DS8" s="16" t="n">
        <v>0.04</v>
      </c>
      <c r="DT8" s="16" t="s">
        <v>473</v>
      </c>
      <c r="DU8" s="16" t="n">
        <v>0.06</v>
      </c>
      <c r="DV8" s="16" t="n">
        <v>0.02</v>
      </c>
      <c r="DW8" s="15" t="n">
        <v>0.00591256212056133</v>
      </c>
      <c r="DX8" s="16" t="n">
        <v>1.99</v>
      </c>
      <c r="DY8" s="16" t="n">
        <v>4.2</v>
      </c>
      <c r="DZ8" s="16" t="n">
        <v>0.151524972</v>
      </c>
    </row>
    <row r="9" customFormat="false" ht="15" hidden="false" customHeight="false" outlineLevel="0" collapsed="false">
      <c r="A9" s="13" t="n">
        <v>1996</v>
      </c>
      <c r="B9" s="16" t="n">
        <v>0.002960897</v>
      </c>
      <c r="C9" s="16" t="n">
        <v>0.001143</v>
      </c>
      <c r="D9" s="16" t="n">
        <v>0.2</v>
      </c>
      <c r="E9" s="16" t="n">
        <v>0.03</v>
      </c>
      <c r="F9" s="16" t="s">
        <v>473</v>
      </c>
      <c r="G9" s="16" t="n">
        <v>0.01</v>
      </c>
      <c r="H9" s="16"/>
      <c r="I9" s="16" t="s">
        <v>473</v>
      </c>
      <c r="J9" s="16" t="n">
        <v>0.34</v>
      </c>
      <c r="K9" s="16" t="n">
        <v>0.000138113</v>
      </c>
      <c r="L9" s="16" t="n">
        <v>0.07</v>
      </c>
      <c r="M9" s="16" t="s">
        <v>473</v>
      </c>
      <c r="N9" s="16"/>
      <c r="O9" s="16" t="n">
        <v>0.12</v>
      </c>
      <c r="P9" s="16" t="n">
        <v>0.24</v>
      </c>
      <c r="Q9" s="16"/>
      <c r="R9" s="16" t="n">
        <v>0.04</v>
      </c>
      <c r="S9" s="16" t="n">
        <v>4.68</v>
      </c>
      <c r="T9" s="16" t="n">
        <v>0.04</v>
      </c>
      <c r="U9" s="16"/>
      <c r="V9" s="16" t="n">
        <v>0.22</v>
      </c>
      <c r="W9" s="16" t="n">
        <v>0.51</v>
      </c>
      <c r="X9" s="16" t="n">
        <v>0.41</v>
      </c>
      <c r="Y9" s="16" t="n">
        <v>0.78</v>
      </c>
      <c r="Z9" s="16" t="n">
        <f aca="false">0.017203/Z33</f>
        <v>0.02177594937</v>
      </c>
      <c r="AA9" s="16" t="n">
        <v>0.21</v>
      </c>
      <c r="AB9" s="16" t="n">
        <v>1.28</v>
      </c>
      <c r="AC9" s="16" t="n">
        <v>0.43</v>
      </c>
      <c r="AD9" s="16" t="n">
        <v>0.02</v>
      </c>
      <c r="AE9" s="16"/>
      <c r="AF9" s="15" t="n">
        <v>0.03</v>
      </c>
      <c r="AG9" s="16" t="n">
        <v>0.7</v>
      </c>
      <c r="AH9" s="16" t="n">
        <v>0.02</v>
      </c>
      <c r="AI9" s="16" t="s">
        <v>473</v>
      </c>
      <c r="AJ9" s="16" t="n">
        <v>0.77</v>
      </c>
      <c r="AK9" s="16" t="n">
        <v>0.23</v>
      </c>
      <c r="AL9" s="16"/>
      <c r="AM9" s="16" t="n">
        <v>0.47</v>
      </c>
      <c r="AN9" s="16" t="n">
        <v>0.33</v>
      </c>
      <c r="AO9" s="16" t="n">
        <v>0.05</v>
      </c>
      <c r="AP9" s="16"/>
      <c r="AQ9" s="16" t="n">
        <v>0.05</v>
      </c>
      <c r="AR9" s="16" t="n">
        <v>0.26</v>
      </c>
      <c r="AS9" s="16" t="n">
        <v>0.27</v>
      </c>
      <c r="AT9" s="16"/>
      <c r="AU9" s="16" t="n">
        <v>0.72</v>
      </c>
      <c r="AV9" s="16"/>
      <c r="AW9" s="16" t="n">
        <v>0.73</v>
      </c>
      <c r="AX9" s="16" t="n">
        <v>0.25</v>
      </c>
      <c r="AY9" s="16" t="s">
        <v>473</v>
      </c>
      <c r="AZ9" s="16" t="n">
        <v>0.38</v>
      </c>
      <c r="BA9" s="16" t="n">
        <v>0.01</v>
      </c>
      <c r="BB9" s="16" t="n">
        <v>0.03</v>
      </c>
      <c r="BC9" s="16" t="n">
        <v>0.27</v>
      </c>
      <c r="BD9" s="16" t="n">
        <v>0.17</v>
      </c>
      <c r="BE9" s="16" t="n">
        <v>0.77</v>
      </c>
      <c r="BF9" s="16" t="n">
        <v>0.09</v>
      </c>
      <c r="BG9" s="16" t="n">
        <v>0.06</v>
      </c>
      <c r="BH9" s="16" t="s">
        <v>473</v>
      </c>
      <c r="BI9" s="16" t="s">
        <v>473</v>
      </c>
      <c r="BJ9" s="16" t="n">
        <v>0.010585011</v>
      </c>
      <c r="BK9" s="15" t="n">
        <v>0.03</v>
      </c>
      <c r="BL9" s="16" t="n">
        <v>0.25</v>
      </c>
      <c r="BM9" s="16" t="s">
        <v>473</v>
      </c>
      <c r="BN9" s="16" t="n">
        <v>1.43</v>
      </c>
      <c r="BO9" s="16" t="s">
        <v>473</v>
      </c>
      <c r="BP9" s="16" t="n">
        <v>0.004345</v>
      </c>
      <c r="BQ9" s="16"/>
      <c r="BR9" s="16" t="n">
        <v>3.53</v>
      </c>
      <c r="BS9" s="16" t="n">
        <v>0.39</v>
      </c>
      <c r="BT9" s="16" t="n">
        <v>0.09</v>
      </c>
      <c r="BU9" s="16" t="n">
        <v>2.3</v>
      </c>
      <c r="BV9" s="16" t="n">
        <v>0.11</v>
      </c>
      <c r="BW9" s="16" t="n">
        <v>0.15</v>
      </c>
      <c r="BX9" s="16" t="n">
        <v>0.11</v>
      </c>
      <c r="BY9" s="16" t="n">
        <v>0.14</v>
      </c>
      <c r="BZ9" s="16" t="n">
        <v>0.02</v>
      </c>
      <c r="CA9" s="16"/>
      <c r="CB9" s="16" t="n">
        <v>0.007871117</v>
      </c>
      <c r="CC9" s="16" t="n">
        <v>1.08</v>
      </c>
      <c r="CD9" s="16" t="n">
        <v>0.09</v>
      </c>
      <c r="CE9" s="16" t="n">
        <v>3.29</v>
      </c>
      <c r="CF9" s="16" t="n">
        <v>0.01</v>
      </c>
      <c r="CG9" s="16"/>
      <c r="CH9" s="16" t="n">
        <f aca="false">0.004747/CH33</f>
        <v>0.005584705882</v>
      </c>
      <c r="CI9" s="16" t="n">
        <v>0.05</v>
      </c>
      <c r="CJ9" s="16" t="n">
        <v>0.18</v>
      </c>
      <c r="CK9" s="16" t="n">
        <v>0.57</v>
      </c>
      <c r="CL9" s="16"/>
      <c r="CM9" s="16" t="n">
        <v>0.05</v>
      </c>
      <c r="CN9" s="16" t="n">
        <v>0.11</v>
      </c>
      <c r="CO9" s="16" t="n">
        <v>0.05</v>
      </c>
      <c r="CP9" s="16" t="n">
        <v>0.04</v>
      </c>
      <c r="CQ9" s="16" t="n">
        <v>0.001036912</v>
      </c>
      <c r="CR9" s="16" t="n">
        <v>0.04</v>
      </c>
      <c r="CS9" s="16"/>
      <c r="CT9" s="16" t="n">
        <v>0.61</v>
      </c>
      <c r="CU9" s="16" t="n">
        <v>0.03276</v>
      </c>
      <c r="CV9" s="16" t="n">
        <v>0.1</v>
      </c>
      <c r="CW9" s="16" t="n">
        <v>0.11</v>
      </c>
      <c r="CX9" s="16" t="n">
        <v>0.1</v>
      </c>
      <c r="CY9" s="16" t="n">
        <v>3.18</v>
      </c>
      <c r="CZ9" s="16" t="n">
        <v>0.35</v>
      </c>
      <c r="DA9" s="16" t="n">
        <v>0.02</v>
      </c>
      <c r="DB9" s="16" t="n">
        <v>0.000782</v>
      </c>
      <c r="DC9" s="16" t="n">
        <v>0.01</v>
      </c>
      <c r="DD9" s="16" t="n">
        <v>0.14</v>
      </c>
      <c r="DE9" s="16" t="n">
        <v>4.72</v>
      </c>
      <c r="DF9" s="15" t="n">
        <v>0.00584043481983652</v>
      </c>
      <c r="DG9" s="16"/>
      <c r="DH9" s="16" t="n">
        <v>0.02</v>
      </c>
      <c r="DI9" s="16" t="n">
        <v>0.16</v>
      </c>
      <c r="DJ9" s="16"/>
      <c r="DK9" s="16" t="n">
        <v>0.73</v>
      </c>
      <c r="DL9" s="16" t="n">
        <v>0.12</v>
      </c>
      <c r="DM9" s="16" t="n">
        <f aca="false">0.001612/DM33</f>
        <v>0.002642622951</v>
      </c>
      <c r="DN9" s="16" t="n">
        <v>0.53</v>
      </c>
      <c r="DO9" s="16" t="n">
        <v>0.08</v>
      </c>
      <c r="DP9" s="16"/>
      <c r="DQ9" s="16" t="n">
        <v>0.98</v>
      </c>
      <c r="DR9" s="16"/>
      <c r="DS9" s="16" t="n">
        <v>0.04</v>
      </c>
      <c r="DT9" s="16" t="n">
        <v>0.01</v>
      </c>
      <c r="DU9" s="16" t="n">
        <v>0.06</v>
      </c>
      <c r="DV9" s="16" t="n">
        <v>0.03</v>
      </c>
      <c r="DW9" s="15" t="n">
        <v>0.0104951855959875</v>
      </c>
      <c r="DX9" s="16" t="n">
        <v>1.92</v>
      </c>
      <c r="DY9" s="16" t="n">
        <v>3.74</v>
      </c>
      <c r="DZ9" s="16" t="n">
        <v>0.147853058</v>
      </c>
    </row>
    <row r="10" customFormat="false" ht="15" hidden="false" customHeight="false" outlineLevel="0" collapsed="false">
      <c r="A10" s="13" t="n">
        <v>1997</v>
      </c>
      <c r="B10" s="16" t="n">
        <v>0.003214407</v>
      </c>
      <c r="C10" s="16" t="n">
        <v>0.000996</v>
      </c>
      <c r="D10" s="16" t="n">
        <v>0.21</v>
      </c>
      <c r="E10" s="16" t="n">
        <v>0.03</v>
      </c>
      <c r="F10" s="16" t="s">
        <v>473</v>
      </c>
      <c r="G10" s="16" t="n">
        <v>0.01</v>
      </c>
      <c r="H10" s="16"/>
      <c r="I10" s="16" t="s">
        <v>473</v>
      </c>
      <c r="J10" s="16" t="n">
        <v>0.33</v>
      </c>
      <c r="K10" s="16" t="n">
        <v>0.000199436</v>
      </c>
      <c r="L10" s="16" t="n">
        <v>0.08</v>
      </c>
      <c r="M10" s="16" t="n">
        <v>0.01</v>
      </c>
      <c r="N10" s="16"/>
      <c r="O10" s="16" t="n">
        <v>0.16</v>
      </c>
      <c r="P10" s="16" t="n">
        <v>0.23</v>
      </c>
      <c r="Q10" s="16"/>
      <c r="R10" s="16" t="n">
        <v>0.03</v>
      </c>
      <c r="S10" s="16" t="n">
        <v>4.35</v>
      </c>
      <c r="T10" s="16" t="n">
        <v>0.04</v>
      </c>
      <c r="U10" s="16"/>
      <c r="V10" s="16" t="n">
        <v>0.16</v>
      </c>
      <c r="W10" s="16" t="n">
        <v>0.49</v>
      </c>
      <c r="X10" s="16" t="n">
        <v>0.32</v>
      </c>
      <c r="Y10" s="16" t="n">
        <v>0.75</v>
      </c>
      <c r="Z10" s="16" t="n">
        <f aca="false">0.015415/Z33</f>
        <v>0.01951265823</v>
      </c>
      <c r="AA10" s="16" t="n">
        <v>0.21</v>
      </c>
      <c r="AB10" s="16" t="n">
        <v>1.15</v>
      </c>
      <c r="AC10" s="16" t="n">
        <v>0.46</v>
      </c>
      <c r="AD10" s="16" t="n">
        <v>0.02</v>
      </c>
      <c r="AE10" s="16"/>
      <c r="AF10" s="15" t="n">
        <v>0.03</v>
      </c>
      <c r="AG10" s="16" t="n">
        <v>0.66</v>
      </c>
      <c r="AH10" s="16" t="n">
        <v>0.02</v>
      </c>
      <c r="AI10" s="16" t="s">
        <v>473</v>
      </c>
      <c r="AJ10" s="16" t="n">
        <v>0.72</v>
      </c>
      <c r="AK10" s="16" t="n">
        <v>0.23</v>
      </c>
      <c r="AL10" s="16"/>
      <c r="AM10" s="16" t="n">
        <v>0.48</v>
      </c>
      <c r="AN10" s="16" t="n">
        <v>0.32</v>
      </c>
      <c r="AO10" s="16" t="n">
        <v>0.04</v>
      </c>
      <c r="AP10" s="16"/>
      <c r="AQ10" s="16" t="n">
        <v>0.06</v>
      </c>
      <c r="AR10" s="16" t="n">
        <v>0.33</v>
      </c>
      <c r="AS10" s="16" t="n">
        <v>0.24</v>
      </c>
      <c r="AT10" s="16"/>
      <c r="AU10" s="16" t="n">
        <v>0.66</v>
      </c>
      <c r="AV10" s="16"/>
      <c r="AW10" s="16" t="n">
        <v>0.78</v>
      </c>
      <c r="AX10" s="16" t="n">
        <v>0.29</v>
      </c>
      <c r="AY10" s="16" t="s">
        <v>473</v>
      </c>
      <c r="AZ10" s="16" t="n">
        <v>0.35</v>
      </c>
      <c r="BA10" s="16" t="n">
        <v>0.01</v>
      </c>
      <c r="BB10" s="16" t="n">
        <v>0.04</v>
      </c>
      <c r="BC10" s="16" t="n">
        <v>0.24</v>
      </c>
      <c r="BD10" s="16" t="n">
        <v>0.15</v>
      </c>
      <c r="BE10" s="16" t="n">
        <v>0.73</v>
      </c>
      <c r="BF10" s="16" t="n">
        <v>0.07</v>
      </c>
      <c r="BG10" s="16" t="n">
        <v>0.06</v>
      </c>
      <c r="BH10" s="16" t="s">
        <v>473</v>
      </c>
      <c r="BI10" s="16" t="n">
        <v>0.01</v>
      </c>
      <c r="BJ10" s="16" t="n">
        <v>0.013319497</v>
      </c>
      <c r="BK10" s="15" t="n">
        <v>0.07</v>
      </c>
      <c r="BL10" s="16" t="n">
        <v>0.23</v>
      </c>
      <c r="BM10" s="16" t="s">
        <v>473</v>
      </c>
      <c r="BN10" s="16" t="n">
        <v>1.04</v>
      </c>
      <c r="BO10" s="16" t="s">
        <v>473</v>
      </c>
      <c r="BP10" s="16" t="n">
        <v>0.007188</v>
      </c>
      <c r="BQ10" s="16"/>
      <c r="BR10" s="16" t="n">
        <v>3.47</v>
      </c>
      <c r="BS10" s="16" t="n">
        <v>0.38</v>
      </c>
      <c r="BT10" s="16" t="n">
        <v>0.1</v>
      </c>
      <c r="BU10" s="16" t="n">
        <v>2.16</v>
      </c>
      <c r="BV10" s="16" t="n">
        <v>0.1</v>
      </c>
      <c r="BW10" s="16" t="n">
        <v>0.13</v>
      </c>
      <c r="BX10" s="16" t="n">
        <v>0.12</v>
      </c>
      <c r="BY10" s="16" t="n">
        <v>0.17</v>
      </c>
      <c r="BZ10" s="16" t="n">
        <v>0.02</v>
      </c>
      <c r="CA10" s="16"/>
      <c r="CB10" s="16" t="n">
        <v>0.009051</v>
      </c>
      <c r="CC10" s="16" t="n">
        <v>1.19</v>
      </c>
      <c r="CD10" s="16" t="n">
        <v>0.11</v>
      </c>
      <c r="CE10" s="16" t="n">
        <v>3.23</v>
      </c>
      <c r="CF10" s="16" t="n">
        <v>0.03</v>
      </c>
      <c r="CG10" s="16"/>
      <c r="CH10" s="16" t="n">
        <f aca="false">0.003232/CH33</f>
        <v>0.003802352941</v>
      </c>
      <c r="CI10" s="16" t="n">
        <v>0.05</v>
      </c>
      <c r="CJ10" s="16" t="n">
        <v>0.18</v>
      </c>
      <c r="CK10" s="16" t="n">
        <v>0.56</v>
      </c>
      <c r="CL10" s="16"/>
      <c r="CM10" s="16" t="n">
        <v>0.05</v>
      </c>
      <c r="CN10" s="16" t="n">
        <v>0.12</v>
      </c>
      <c r="CO10" s="16" t="n">
        <v>0.05</v>
      </c>
      <c r="CP10" s="16" t="n">
        <v>0.04</v>
      </c>
      <c r="CQ10" s="16" t="n">
        <v>0.001162477</v>
      </c>
      <c r="CR10" s="16" t="n">
        <v>0.04</v>
      </c>
      <c r="CS10" s="110" t="n">
        <f aca="false">CR10/0.49</f>
        <v>0.0816326530612245</v>
      </c>
      <c r="CT10" s="16" t="n">
        <v>0.52</v>
      </c>
      <c r="CU10" s="16" t="n">
        <v>0.05063</v>
      </c>
      <c r="CV10" s="16" t="n">
        <v>0.11</v>
      </c>
      <c r="CW10" s="16" t="n">
        <v>0.14</v>
      </c>
      <c r="CX10" s="16" t="n">
        <v>0.1</v>
      </c>
      <c r="CY10" s="16" t="n">
        <v>3.5</v>
      </c>
      <c r="CZ10" s="16" t="n">
        <v>0.39</v>
      </c>
      <c r="DA10" s="16" t="n">
        <v>0.02</v>
      </c>
      <c r="DB10" s="16" t="n">
        <v>0.000878</v>
      </c>
      <c r="DC10" s="16" t="n">
        <v>0.01</v>
      </c>
      <c r="DD10" s="16" t="n">
        <v>0.17</v>
      </c>
      <c r="DE10" s="16" t="n">
        <v>4.62</v>
      </c>
      <c r="DF10" s="15" t="n">
        <v>0.00640028984401197</v>
      </c>
      <c r="DG10" s="16"/>
      <c r="DH10" s="16" t="n">
        <v>0.03</v>
      </c>
      <c r="DI10" s="16" t="n">
        <v>0.13</v>
      </c>
      <c r="DJ10" s="16"/>
      <c r="DK10" s="16" t="n">
        <v>0.74</v>
      </c>
      <c r="DL10" s="16" t="n">
        <v>0.12</v>
      </c>
      <c r="DM10" s="16" t="n">
        <f aca="false">0.002043/DM33</f>
        <v>0.003349180328</v>
      </c>
      <c r="DN10" s="16" t="n">
        <v>0.49</v>
      </c>
      <c r="DO10" s="16" t="n">
        <v>0.1</v>
      </c>
      <c r="DP10" s="16"/>
      <c r="DQ10" s="16" t="n">
        <v>0.88</v>
      </c>
      <c r="DR10" s="16"/>
      <c r="DS10" s="16" t="n">
        <v>0.05</v>
      </c>
      <c r="DT10" s="16" t="n">
        <v>0.02</v>
      </c>
      <c r="DU10" s="16" t="n">
        <v>0.06</v>
      </c>
      <c r="DV10" s="16" t="n">
        <v>0.04</v>
      </c>
      <c r="DW10" s="15" t="n">
        <v>0.0214647142194262</v>
      </c>
      <c r="DX10" s="16" t="n">
        <v>1.83</v>
      </c>
      <c r="DY10" s="16" t="n">
        <v>3.21</v>
      </c>
      <c r="DZ10" s="16" t="n">
        <v>0.144294388</v>
      </c>
    </row>
    <row r="11" customFormat="false" ht="15" hidden="false" customHeight="false" outlineLevel="0" collapsed="false">
      <c r="A11" s="13" t="n">
        <v>1998</v>
      </c>
      <c r="B11" s="16" t="n">
        <v>0.003268517</v>
      </c>
      <c r="C11" s="16" t="n">
        <v>0.000751</v>
      </c>
      <c r="D11" s="16" t="n">
        <v>0.23</v>
      </c>
      <c r="E11" s="16" t="n">
        <v>0.03</v>
      </c>
      <c r="F11" s="16" t="n">
        <v>0.01</v>
      </c>
      <c r="G11" s="16" t="n">
        <v>0.01</v>
      </c>
      <c r="H11" s="16"/>
      <c r="I11" s="16" t="s">
        <v>473</v>
      </c>
      <c r="J11" s="16" t="n">
        <v>0.32</v>
      </c>
      <c r="K11" s="16" t="n">
        <v>0.000272879</v>
      </c>
      <c r="L11" s="16" t="n">
        <v>0.08</v>
      </c>
      <c r="M11" s="16" t="n">
        <v>0.02</v>
      </c>
      <c r="N11" s="16"/>
      <c r="O11" s="16" t="n">
        <v>0.21</v>
      </c>
      <c r="P11" s="16" t="n">
        <v>0.22</v>
      </c>
      <c r="Q11" s="16"/>
      <c r="R11" s="16" t="n">
        <v>0.03</v>
      </c>
      <c r="S11" s="16" t="n">
        <v>3.85</v>
      </c>
      <c r="T11" s="16" t="n">
        <v>0.04</v>
      </c>
      <c r="U11" s="16"/>
      <c r="V11" s="16" t="n">
        <v>0.13</v>
      </c>
      <c r="W11" s="16" t="n">
        <v>0.45</v>
      </c>
      <c r="X11" s="16" t="n">
        <v>0.23</v>
      </c>
      <c r="Y11" s="16" t="n">
        <v>0.71</v>
      </c>
      <c r="Z11" s="16" t="n">
        <f aca="false">0.014292/Z33</f>
        <v>0.01809113924</v>
      </c>
      <c r="AA11" s="16" t="n">
        <v>0.2</v>
      </c>
      <c r="AB11" s="16" t="n">
        <v>1.03</v>
      </c>
      <c r="AC11" s="16" t="n">
        <v>0.47</v>
      </c>
      <c r="AD11" s="16" t="n">
        <v>0.02</v>
      </c>
      <c r="AE11" s="16"/>
      <c r="AF11" s="15" t="n">
        <v>0.03</v>
      </c>
      <c r="AG11" s="16" t="n">
        <v>0.61</v>
      </c>
      <c r="AH11" s="16" t="n">
        <v>0.02</v>
      </c>
      <c r="AI11" s="16" t="s">
        <v>473</v>
      </c>
      <c r="AJ11" s="16" t="n">
        <v>0.66</v>
      </c>
      <c r="AK11" s="16" t="n">
        <v>0.22</v>
      </c>
      <c r="AL11" s="16"/>
      <c r="AM11" s="16" t="n">
        <v>0.45</v>
      </c>
      <c r="AN11" s="16" t="n">
        <v>0.29</v>
      </c>
      <c r="AO11" s="16" t="n">
        <v>0.03</v>
      </c>
      <c r="AP11" s="16"/>
      <c r="AQ11" s="16" t="n">
        <v>0.06</v>
      </c>
      <c r="AR11" s="16" t="n">
        <v>0.41</v>
      </c>
      <c r="AS11" s="16" t="n">
        <v>0.21</v>
      </c>
      <c r="AT11" s="16"/>
      <c r="AU11" s="16" t="n">
        <v>0.57</v>
      </c>
      <c r="AV11" s="16"/>
      <c r="AW11" s="16" t="n">
        <v>0.8</v>
      </c>
      <c r="AX11" s="16" t="n">
        <v>0.32</v>
      </c>
      <c r="AY11" s="16" t="n">
        <v>0.01</v>
      </c>
      <c r="AZ11" s="16" t="n">
        <v>0.34</v>
      </c>
      <c r="BA11" s="16" t="n">
        <v>0.01</v>
      </c>
      <c r="BB11" s="16" t="n">
        <v>0.05</v>
      </c>
      <c r="BC11" s="16" t="n">
        <v>0.21</v>
      </c>
      <c r="BD11" s="16" t="n">
        <v>0.15</v>
      </c>
      <c r="BE11" s="16" t="n">
        <v>0.67</v>
      </c>
      <c r="BF11" s="16" t="n">
        <v>0.06</v>
      </c>
      <c r="BG11" s="16" t="n">
        <v>0.05</v>
      </c>
      <c r="BH11" s="16" t="s">
        <v>473</v>
      </c>
      <c r="BI11" s="16" t="n">
        <v>0.01</v>
      </c>
      <c r="BJ11" s="16" t="n">
        <v>0.020786837</v>
      </c>
      <c r="BK11" s="15" t="n">
        <v>0.07</v>
      </c>
      <c r="BL11" s="16" t="n">
        <v>0.23</v>
      </c>
      <c r="BM11" s="16" t="s">
        <v>473</v>
      </c>
      <c r="BN11" s="16" t="n">
        <v>0.72</v>
      </c>
      <c r="BO11" s="16" t="s">
        <v>473</v>
      </c>
      <c r="BP11" s="16" t="n">
        <v>0.012341</v>
      </c>
      <c r="BQ11" s="16"/>
      <c r="BR11" s="16" t="n">
        <v>3.47</v>
      </c>
      <c r="BS11" s="16" t="n">
        <v>0.34</v>
      </c>
      <c r="BT11" s="16" t="n">
        <v>0.1</v>
      </c>
      <c r="BU11" s="16" t="n">
        <v>2.03</v>
      </c>
      <c r="BV11" s="16" t="n">
        <v>0.1</v>
      </c>
      <c r="BW11" s="16" t="n">
        <v>0.12</v>
      </c>
      <c r="BX11" s="16" t="n">
        <v>0.12</v>
      </c>
      <c r="BY11" s="16" t="n">
        <v>0.18</v>
      </c>
      <c r="BZ11" s="16" t="n">
        <v>0.02</v>
      </c>
      <c r="CA11" s="16"/>
      <c r="CB11" s="16" t="n">
        <v>0.010164</v>
      </c>
      <c r="CC11" s="16" t="n">
        <v>1.32</v>
      </c>
      <c r="CD11" s="16" t="n">
        <v>0.12</v>
      </c>
      <c r="CE11" s="16" t="n">
        <v>2.99</v>
      </c>
      <c r="CF11" s="16" t="n">
        <v>0.04</v>
      </c>
      <c r="CG11" s="16"/>
      <c r="CH11" s="16" t="n">
        <f aca="false">0.005379/CH33</f>
        <v>0.006328235294</v>
      </c>
      <c r="CI11" s="16" t="n">
        <v>0.04</v>
      </c>
      <c r="CJ11" s="16" t="n">
        <v>0.17</v>
      </c>
      <c r="CK11" s="16" t="n">
        <v>0.54</v>
      </c>
      <c r="CL11" s="16" t="n">
        <v>0.001808</v>
      </c>
      <c r="CM11" s="16" t="n">
        <v>0.05</v>
      </c>
      <c r="CN11" s="16" t="n">
        <v>0.13</v>
      </c>
      <c r="CO11" s="16" t="n">
        <v>0.05</v>
      </c>
      <c r="CP11" s="16" t="n">
        <v>0.04</v>
      </c>
      <c r="CQ11" s="16" t="n">
        <v>0.001329448</v>
      </c>
      <c r="CR11" s="16" t="n">
        <v>0.05</v>
      </c>
      <c r="CS11" s="110" t="n">
        <f aca="false">CR11/0.49</f>
        <v>0.102040816326531</v>
      </c>
      <c r="CT11" s="16" t="n">
        <v>0.46</v>
      </c>
      <c r="CU11" s="16" t="n">
        <v>0.049363</v>
      </c>
      <c r="CV11" s="16" t="n">
        <v>0.12</v>
      </c>
      <c r="CW11" s="16" t="n">
        <v>0.18</v>
      </c>
      <c r="CX11" s="16" t="n">
        <v>0.09</v>
      </c>
      <c r="CY11" s="16" t="n">
        <v>3.54</v>
      </c>
      <c r="CZ11" s="16" t="n">
        <v>0.42</v>
      </c>
      <c r="DA11" s="16" t="n">
        <v>0.02</v>
      </c>
      <c r="DB11" s="16" t="n">
        <v>0.000972</v>
      </c>
      <c r="DC11" s="16" t="n">
        <v>0.02</v>
      </c>
      <c r="DD11" s="16" t="n">
        <v>0.19</v>
      </c>
      <c r="DE11" s="16" t="n">
        <v>4.36</v>
      </c>
      <c r="DF11" s="15" t="n">
        <v>0.0067719451204831</v>
      </c>
      <c r="DG11" s="16"/>
      <c r="DH11" s="16" t="n">
        <v>0.03</v>
      </c>
      <c r="DI11" s="16" t="n">
        <v>0.11</v>
      </c>
      <c r="DJ11" s="16"/>
      <c r="DK11" s="16" t="n">
        <v>0.72</v>
      </c>
      <c r="DL11" s="16" t="n">
        <v>0.12</v>
      </c>
      <c r="DM11" s="16" t="n">
        <f aca="false">0.001609/DM33</f>
        <v>0.002637704918</v>
      </c>
      <c r="DN11" s="16" t="n">
        <v>0.48</v>
      </c>
      <c r="DO11" s="16" t="n">
        <v>0.12</v>
      </c>
      <c r="DP11" s="16"/>
      <c r="DQ11" s="16" t="n">
        <v>0.81</v>
      </c>
      <c r="DR11" s="16"/>
      <c r="DS11" s="16" t="n">
        <v>0.05</v>
      </c>
      <c r="DT11" s="16" t="n">
        <v>0.03</v>
      </c>
      <c r="DU11" s="16" t="n">
        <v>0.06</v>
      </c>
      <c r="DV11" s="16" t="n">
        <v>0.05</v>
      </c>
      <c r="DW11" s="15" t="n">
        <v>0.0191519977732611</v>
      </c>
      <c r="DX11" s="16" t="n">
        <v>1.76</v>
      </c>
      <c r="DY11" s="16" t="n">
        <v>2.71</v>
      </c>
      <c r="DZ11" s="16" t="n">
        <v>0.135199339</v>
      </c>
    </row>
    <row r="12" customFormat="false" ht="15" hidden="false" customHeight="false" outlineLevel="0" collapsed="false">
      <c r="A12" s="13" t="n">
        <v>1999</v>
      </c>
      <c r="B12" s="16" t="n">
        <v>0.003466509</v>
      </c>
      <c r="C12" s="16" t="n">
        <v>0.000898</v>
      </c>
      <c r="D12" s="16" t="n">
        <v>0.23</v>
      </c>
      <c r="E12" s="16" t="n">
        <v>0.03</v>
      </c>
      <c r="F12" s="16" t="n">
        <v>0.02</v>
      </c>
      <c r="G12" s="16" t="n">
        <v>0.01</v>
      </c>
      <c r="H12" s="16"/>
      <c r="I12" s="16" t="s">
        <v>473</v>
      </c>
      <c r="J12" s="16" t="n">
        <v>0.3</v>
      </c>
      <c r="K12" s="16" t="n">
        <v>0.000383355</v>
      </c>
      <c r="L12" s="16" t="n">
        <v>0.09</v>
      </c>
      <c r="M12" s="16" t="n">
        <v>0.02</v>
      </c>
      <c r="N12" s="16"/>
      <c r="O12" s="16" t="n">
        <v>0.28</v>
      </c>
      <c r="P12" s="16" t="n">
        <v>0.2</v>
      </c>
      <c r="Q12" s="16"/>
      <c r="R12" s="16" t="n">
        <v>0.03</v>
      </c>
      <c r="S12" s="16" t="n">
        <v>3.4</v>
      </c>
      <c r="T12" s="16" t="n">
        <v>0.04</v>
      </c>
      <c r="U12" s="16"/>
      <c r="V12" s="16" t="n">
        <v>0.1</v>
      </c>
      <c r="W12" s="16" t="n">
        <v>0.4</v>
      </c>
      <c r="X12" s="16" t="n">
        <v>0.18</v>
      </c>
      <c r="Y12" s="16" t="n">
        <v>0.67</v>
      </c>
      <c r="Z12" s="16" t="n">
        <f aca="false">0.013584/Z33</f>
        <v>0.01719493671</v>
      </c>
      <c r="AA12" s="16" t="n">
        <v>0.19</v>
      </c>
      <c r="AB12" s="16" t="n">
        <v>0.88</v>
      </c>
      <c r="AC12" s="16" t="n">
        <v>0.48</v>
      </c>
      <c r="AD12" s="16" t="n">
        <v>0.02</v>
      </c>
      <c r="AE12" s="16"/>
      <c r="AF12" s="15" t="n">
        <v>0.03</v>
      </c>
      <c r="AG12" s="16" t="n">
        <v>0.53</v>
      </c>
      <c r="AH12" s="16" t="n">
        <v>0.02</v>
      </c>
      <c r="AI12" s="16" t="s">
        <v>473</v>
      </c>
      <c r="AJ12" s="16" t="n">
        <v>0.6</v>
      </c>
      <c r="AK12" s="16" t="n">
        <v>0.22</v>
      </c>
      <c r="AL12" s="16"/>
      <c r="AM12" s="16" t="n">
        <v>0.4</v>
      </c>
      <c r="AN12" s="16" t="n">
        <v>0.26</v>
      </c>
      <c r="AO12" s="16" t="n">
        <v>0.03</v>
      </c>
      <c r="AP12" s="16"/>
      <c r="AQ12" s="16" t="n">
        <v>0.06</v>
      </c>
      <c r="AR12" s="16" t="n">
        <v>0.5</v>
      </c>
      <c r="AS12" s="16" t="n">
        <v>0.18</v>
      </c>
      <c r="AT12" s="16"/>
      <c r="AU12" s="16" t="n">
        <v>0.46</v>
      </c>
      <c r="AV12" s="16"/>
      <c r="AW12" s="16" t="n">
        <v>0.79</v>
      </c>
      <c r="AX12" s="16" t="n">
        <v>0.33</v>
      </c>
      <c r="AY12" s="16" t="n">
        <v>0.01</v>
      </c>
      <c r="AZ12" s="16" t="n">
        <v>0.29</v>
      </c>
      <c r="BA12" s="16" t="n">
        <v>0.01</v>
      </c>
      <c r="BB12" s="16" t="n">
        <v>0.06</v>
      </c>
      <c r="BC12" s="16" t="n">
        <v>0.18</v>
      </c>
      <c r="BD12" s="16" t="n">
        <v>0.14</v>
      </c>
      <c r="BE12" s="16" t="n">
        <v>0.62</v>
      </c>
      <c r="BF12" s="16" t="n">
        <v>0.05</v>
      </c>
      <c r="BG12" s="16" t="n">
        <v>0.05</v>
      </c>
      <c r="BH12" s="16" t="s">
        <v>473</v>
      </c>
      <c r="BI12" s="16" t="n">
        <v>0.01</v>
      </c>
      <c r="BJ12" s="16" t="n">
        <v>0.015178078</v>
      </c>
      <c r="BK12" s="15" t="n">
        <v>0.05</v>
      </c>
      <c r="BL12" s="16" t="n">
        <v>0.21</v>
      </c>
      <c r="BM12" s="16" t="s">
        <v>473</v>
      </c>
      <c r="BN12" s="16" t="n">
        <v>0.48</v>
      </c>
      <c r="BO12" s="16" t="s">
        <v>473</v>
      </c>
      <c r="BP12" s="16" t="n">
        <v>0.02001</v>
      </c>
      <c r="BQ12" s="16"/>
      <c r="BR12" s="16" t="n">
        <v>3.44</v>
      </c>
      <c r="BS12" s="16" t="n">
        <v>0.3</v>
      </c>
      <c r="BT12" s="16" t="n">
        <v>0.09</v>
      </c>
      <c r="BU12" s="16" t="n">
        <v>1.87</v>
      </c>
      <c r="BV12" s="16" t="n">
        <v>0.1</v>
      </c>
      <c r="BW12" s="16" t="n">
        <v>0.12</v>
      </c>
      <c r="BX12" s="16" t="n">
        <v>0.12</v>
      </c>
      <c r="BY12" s="16" t="n">
        <v>0.19</v>
      </c>
      <c r="BZ12" s="16" t="n">
        <v>0.02</v>
      </c>
      <c r="CA12" s="16"/>
      <c r="CB12" s="16" t="n">
        <v>0.0119</v>
      </c>
      <c r="CC12" s="16" t="n">
        <v>1.41</v>
      </c>
      <c r="CD12" s="16" t="n">
        <v>0.14</v>
      </c>
      <c r="CE12" s="16" t="n">
        <v>2.62</v>
      </c>
      <c r="CF12" s="16" t="n">
        <v>0.06</v>
      </c>
      <c r="CG12" s="16"/>
      <c r="CH12" s="16" t="n">
        <f aca="false">0.003642/CH33</f>
        <v>0.004284705882</v>
      </c>
      <c r="CI12" s="16" t="n">
        <v>0.04</v>
      </c>
      <c r="CJ12" s="16" t="n">
        <v>0.16</v>
      </c>
      <c r="CK12" s="16" t="n">
        <v>0.5</v>
      </c>
      <c r="CL12" s="16" t="n">
        <v>0.002071</v>
      </c>
      <c r="CM12" s="16" t="n">
        <v>0.05</v>
      </c>
      <c r="CN12" s="16" t="n">
        <v>0.13</v>
      </c>
      <c r="CO12" s="16" t="n">
        <v>0.05</v>
      </c>
      <c r="CP12" s="16" t="n">
        <v>0.04</v>
      </c>
      <c r="CQ12" s="16" t="n">
        <v>0.001282044</v>
      </c>
      <c r="CR12" s="16" t="n">
        <v>0.05</v>
      </c>
      <c r="CS12" s="110" t="n">
        <f aca="false">CR12/0.49</f>
        <v>0.102040816326531</v>
      </c>
      <c r="CT12" s="16" t="n">
        <v>0.39</v>
      </c>
      <c r="CU12" s="16" t="n">
        <v>0.041798</v>
      </c>
      <c r="CV12" s="16" t="n">
        <v>0.13</v>
      </c>
      <c r="CW12" s="16" t="n">
        <v>0.21</v>
      </c>
      <c r="CX12" s="16" t="n">
        <v>0.09</v>
      </c>
      <c r="CY12" s="16" t="n">
        <v>3.5</v>
      </c>
      <c r="CZ12" s="16" t="n">
        <v>0.44</v>
      </c>
      <c r="DA12" s="16" t="n">
        <v>0.01</v>
      </c>
      <c r="DB12" s="16" t="n">
        <v>0.001061</v>
      </c>
      <c r="DC12" s="16" t="n">
        <v>0.02</v>
      </c>
      <c r="DD12" s="16" t="n">
        <v>0.19</v>
      </c>
      <c r="DE12" s="16" t="n">
        <v>4.03</v>
      </c>
      <c r="DF12" s="15" t="n">
        <v>0.00585371046875118</v>
      </c>
      <c r="DG12" s="16"/>
      <c r="DH12" s="16" t="n">
        <v>0.03</v>
      </c>
      <c r="DI12" s="16" t="n">
        <v>0.09</v>
      </c>
      <c r="DJ12" s="16"/>
      <c r="DK12" s="16" t="n">
        <v>0.69</v>
      </c>
      <c r="DL12" s="16" t="n">
        <v>0.12</v>
      </c>
      <c r="DM12" s="16" t="n">
        <f aca="false">0.001764/DM33</f>
        <v>0.002891803279</v>
      </c>
      <c r="DN12" s="16" t="n">
        <v>0.51</v>
      </c>
      <c r="DO12" s="16" t="n">
        <v>0.14</v>
      </c>
      <c r="DP12" s="16"/>
      <c r="DQ12" s="16" t="n">
        <v>0.75</v>
      </c>
      <c r="DR12" s="16"/>
      <c r="DS12" s="16" t="n">
        <v>0.05</v>
      </c>
      <c r="DT12" s="16" t="n">
        <v>0.04</v>
      </c>
      <c r="DU12" s="16" t="n">
        <v>0.06</v>
      </c>
      <c r="DV12" s="16" t="n">
        <v>0.06</v>
      </c>
      <c r="DW12" s="15" t="n">
        <v>0.0108355501632478</v>
      </c>
      <c r="DX12" s="16" t="n">
        <v>1.69</v>
      </c>
      <c r="DY12" s="16" t="n">
        <v>2.3</v>
      </c>
      <c r="DZ12" s="16" t="n">
        <v>0.12445824</v>
      </c>
    </row>
    <row r="13" customFormat="false" ht="15" hidden="false" customHeight="false" outlineLevel="0" collapsed="false">
      <c r="A13" s="13" t="n">
        <v>2000</v>
      </c>
      <c r="B13" s="16" t="n">
        <v>0.003663335</v>
      </c>
      <c r="C13" s="16" t="n">
        <v>0.001321</v>
      </c>
      <c r="D13" s="16" t="n">
        <v>0.24</v>
      </c>
      <c r="E13" s="16" t="n">
        <v>0.03</v>
      </c>
      <c r="F13" s="16" t="n">
        <v>0.02</v>
      </c>
      <c r="G13" s="16" t="n">
        <v>0.01</v>
      </c>
      <c r="H13" s="16"/>
      <c r="I13" s="16" t="s">
        <v>473</v>
      </c>
      <c r="J13" s="16" t="n">
        <v>0.29</v>
      </c>
      <c r="K13" s="16" t="n">
        <v>0.000530412</v>
      </c>
      <c r="L13" s="16" t="n">
        <v>0.09</v>
      </c>
      <c r="M13" s="16" t="n">
        <v>0.03</v>
      </c>
      <c r="N13" s="16"/>
      <c r="O13" s="16" t="n">
        <v>0.34</v>
      </c>
      <c r="P13" s="16" t="n">
        <v>0.18</v>
      </c>
      <c r="Q13" s="111" t="n">
        <f aca="false">0.002870392/Q33</f>
        <v>0.007122560794</v>
      </c>
      <c r="R13" s="16" t="n">
        <v>0.02</v>
      </c>
      <c r="S13" s="16" t="n">
        <v>3.02</v>
      </c>
      <c r="T13" s="16" t="n">
        <v>0.04</v>
      </c>
      <c r="U13" s="16"/>
      <c r="V13" s="16" t="n">
        <v>0.08</v>
      </c>
      <c r="W13" s="16" t="n">
        <v>0.33</v>
      </c>
      <c r="X13" s="16" t="n">
        <v>0.14</v>
      </c>
      <c r="Y13" s="16" t="n">
        <v>0.63</v>
      </c>
      <c r="Z13" s="16" t="n">
        <f aca="false">0.012964/Z33</f>
        <v>0.01641012658</v>
      </c>
      <c r="AA13" s="16" t="n">
        <v>0.17</v>
      </c>
      <c r="AB13" s="16" t="n">
        <v>0.73</v>
      </c>
      <c r="AC13" s="16" t="n">
        <v>0.48</v>
      </c>
      <c r="AD13" s="16" t="n">
        <v>0.02</v>
      </c>
      <c r="AE13" s="16"/>
      <c r="AF13" s="15" t="n">
        <v>0.03</v>
      </c>
      <c r="AG13" s="16" t="n">
        <v>0.48</v>
      </c>
      <c r="AH13" s="16" t="n">
        <v>0.02</v>
      </c>
      <c r="AI13" s="16" t="s">
        <v>473</v>
      </c>
      <c r="AJ13" s="16" t="n">
        <v>0.53</v>
      </c>
      <c r="AK13" s="16" t="n">
        <v>0.21</v>
      </c>
      <c r="AL13" s="16"/>
      <c r="AM13" s="16" t="n">
        <v>0.36</v>
      </c>
      <c r="AN13" s="16" t="n">
        <v>0.22</v>
      </c>
      <c r="AO13" s="16" t="n">
        <v>0.03</v>
      </c>
      <c r="AP13" s="16"/>
      <c r="AQ13" s="112" t="n">
        <v>0.07</v>
      </c>
      <c r="AR13" s="112" t="n">
        <v>0.6</v>
      </c>
      <c r="AS13" s="112" t="n">
        <v>0.13</v>
      </c>
      <c r="AT13" s="112" t="n">
        <v>0.091536</v>
      </c>
      <c r="AU13" s="16" t="n">
        <v>0.35</v>
      </c>
      <c r="AV13" s="16"/>
      <c r="AW13" s="16" t="n">
        <v>0.76</v>
      </c>
      <c r="AX13" s="16" t="n">
        <v>0.33</v>
      </c>
      <c r="AY13" s="16" t="n">
        <v>0.01</v>
      </c>
      <c r="AZ13" s="16" t="n">
        <v>0.27</v>
      </c>
      <c r="BA13" s="16" t="n">
        <v>0.01</v>
      </c>
      <c r="BB13" s="16" t="n">
        <v>0.07</v>
      </c>
      <c r="BC13" s="16" t="n">
        <v>0.17</v>
      </c>
      <c r="BD13" s="16" t="n">
        <v>0.13</v>
      </c>
      <c r="BE13" s="16" t="n">
        <v>0.53</v>
      </c>
      <c r="BF13" s="16" t="n">
        <v>0.04</v>
      </c>
      <c r="BG13" s="16" t="n">
        <v>0.04</v>
      </c>
      <c r="BH13" s="16" t="n">
        <v>0.01</v>
      </c>
      <c r="BI13" s="16" t="n">
        <v>0.01</v>
      </c>
      <c r="BJ13" s="16" t="n">
        <v>0.015813845</v>
      </c>
      <c r="BK13" s="15" t="n">
        <v>0.03</v>
      </c>
      <c r="BL13" s="16" t="n">
        <v>0.2</v>
      </c>
      <c r="BM13" s="16" t="n">
        <v>0.01</v>
      </c>
      <c r="BN13" s="16" t="n">
        <v>0.33</v>
      </c>
      <c r="BO13" s="16" t="s">
        <v>473</v>
      </c>
      <c r="BP13" s="16" t="n">
        <v>0.029203</v>
      </c>
      <c r="BQ13" s="16"/>
      <c r="BR13" s="16" t="n">
        <v>3.39</v>
      </c>
      <c r="BS13" s="16" t="n">
        <v>0.25</v>
      </c>
      <c r="BT13" s="16" t="n">
        <v>0.08</v>
      </c>
      <c r="BU13" s="16" t="n">
        <v>1.72</v>
      </c>
      <c r="BV13" s="16" t="n">
        <v>0.09</v>
      </c>
      <c r="BW13" s="16" t="n">
        <v>0.12</v>
      </c>
      <c r="BX13" s="16" t="n">
        <v>0.11</v>
      </c>
      <c r="BY13" s="16" t="n">
        <v>0.17</v>
      </c>
      <c r="BZ13" s="16" t="n">
        <v>0.02</v>
      </c>
      <c r="CA13" s="16"/>
      <c r="CB13" s="16" t="n">
        <v>0.013591</v>
      </c>
      <c r="CC13" s="16" t="n">
        <v>1.46</v>
      </c>
      <c r="CD13" s="16" t="n">
        <v>0.15</v>
      </c>
      <c r="CE13" s="16" t="n">
        <v>2.31</v>
      </c>
      <c r="CF13" s="16" t="n">
        <v>0.06</v>
      </c>
      <c r="CG13" s="16"/>
      <c r="CH13" s="16" t="n">
        <f aca="false">0.004513/CH33</f>
        <v>0.005309411765</v>
      </c>
      <c r="CI13" s="16" t="n">
        <v>0.04</v>
      </c>
      <c r="CJ13" s="16" t="n">
        <v>0.15</v>
      </c>
      <c r="CK13" s="16" t="n">
        <v>0.46</v>
      </c>
      <c r="CL13" s="16" t="n">
        <v>0.002312</v>
      </c>
      <c r="CM13" s="16" t="n">
        <v>0.05</v>
      </c>
      <c r="CN13" s="16" t="n">
        <v>0.14</v>
      </c>
      <c r="CO13" s="16" t="n">
        <v>0.06</v>
      </c>
      <c r="CP13" s="16" t="n">
        <v>0.04</v>
      </c>
      <c r="CQ13" s="16" t="n">
        <v>0.001297505</v>
      </c>
      <c r="CR13" s="16" t="n">
        <v>0.05</v>
      </c>
      <c r="CS13" s="110" t="n">
        <f aca="false">CR13/0.49</f>
        <v>0.102040816326531</v>
      </c>
      <c r="CT13" s="16" t="n">
        <v>0.33</v>
      </c>
      <c r="CU13" s="16" t="n">
        <v>0.029666</v>
      </c>
      <c r="CV13" s="16" t="n">
        <v>0.13</v>
      </c>
      <c r="CW13" s="16" t="n">
        <v>0.24</v>
      </c>
      <c r="CX13" s="16" t="n">
        <v>0.08</v>
      </c>
      <c r="CY13" s="16" t="n">
        <v>3.24</v>
      </c>
      <c r="CZ13" s="16" t="n">
        <v>0.43</v>
      </c>
      <c r="DA13" s="16" t="n">
        <v>0.01</v>
      </c>
      <c r="DB13" s="16" t="n">
        <v>0.001173</v>
      </c>
      <c r="DC13" s="16" t="n">
        <v>0.02</v>
      </c>
      <c r="DD13" s="16" t="n">
        <v>0.18</v>
      </c>
      <c r="DE13" s="16" t="n">
        <v>3.7</v>
      </c>
      <c r="DF13" s="15" t="n">
        <v>0.00661712335800614</v>
      </c>
      <c r="DG13" s="16"/>
      <c r="DH13" s="16" t="n">
        <v>0.03</v>
      </c>
      <c r="DI13" s="16" t="n">
        <v>0.08</v>
      </c>
      <c r="DJ13" s="16"/>
      <c r="DK13" s="16" t="n">
        <v>0.63</v>
      </c>
      <c r="DL13" s="16" t="n">
        <v>0.12</v>
      </c>
      <c r="DM13" s="16" t="n">
        <f aca="false">0.00257/DM33</f>
        <v>0.004213114754</v>
      </c>
      <c r="DN13" s="16" t="n">
        <v>0.53</v>
      </c>
      <c r="DO13" s="16" t="n">
        <v>0.14</v>
      </c>
      <c r="DP13" s="16"/>
      <c r="DQ13" s="16" t="n">
        <v>0.72</v>
      </c>
      <c r="DR13" s="16"/>
      <c r="DS13" s="16" t="n">
        <v>0.05</v>
      </c>
      <c r="DT13" s="16" t="n">
        <v>0.06</v>
      </c>
      <c r="DU13" s="16" t="n">
        <v>0.05</v>
      </c>
      <c r="DV13" s="16" t="n">
        <v>0.06</v>
      </c>
      <c r="DW13" s="15" t="n">
        <v>0.0103413584656673</v>
      </c>
      <c r="DX13" s="16" t="n">
        <v>1.6</v>
      </c>
      <c r="DY13" s="16" t="n">
        <v>1.98</v>
      </c>
      <c r="DZ13" s="16" t="n">
        <v>0.113853635</v>
      </c>
    </row>
    <row r="14" customFormat="false" ht="15" hidden="false" customHeight="false" outlineLevel="0" collapsed="false">
      <c r="A14" s="13" t="n">
        <v>2001</v>
      </c>
      <c r="B14" s="16" t="n">
        <v>0.003946054</v>
      </c>
      <c r="C14" s="16" t="n">
        <v>0.001015</v>
      </c>
      <c r="D14" s="16" t="n">
        <v>0.25</v>
      </c>
      <c r="E14" s="16" t="n">
        <v>0.03</v>
      </c>
      <c r="F14" s="16" t="n">
        <v>0.03</v>
      </c>
      <c r="G14" s="16" t="n">
        <v>0.01</v>
      </c>
      <c r="H14" s="16"/>
      <c r="I14" s="16" t="s">
        <v>473</v>
      </c>
      <c r="J14" s="16" t="n">
        <v>0.28</v>
      </c>
      <c r="K14" s="16" t="n">
        <v>0.0007131</v>
      </c>
      <c r="L14" s="16" t="n">
        <v>0.1</v>
      </c>
      <c r="M14" s="16" t="n">
        <v>0.03</v>
      </c>
      <c r="N14" s="16"/>
      <c r="O14" s="16" t="n">
        <v>0.39</v>
      </c>
      <c r="P14" s="16" t="n">
        <v>0.17</v>
      </c>
      <c r="Q14" s="111" t="n">
        <f aca="false">0.002121624/Q33</f>
        <v>0.005264575682</v>
      </c>
      <c r="R14" s="16" t="n">
        <v>0.02</v>
      </c>
      <c r="S14" s="16" t="n">
        <v>2.69</v>
      </c>
      <c r="T14" s="16" t="n">
        <v>0.04</v>
      </c>
      <c r="U14" s="16"/>
      <c r="V14" s="16" t="n">
        <v>0.06</v>
      </c>
      <c r="W14" s="16" t="n">
        <v>0.23</v>
      </c>
      <c r="X14" s="16" t="n">
        <v>0.11</v>
      </c>
      <c r="Y14" s="16" t="n">
        <v>0.59</v>
      </c>
      <c r="Z14" s="16" t="n">
        <f aca="false">0.013653/Z33</f>
        <v>0.01728227848</v>
      </c>
      <c r="AA14" s="16" t="n">
        <v>0.15</v>
      </c>
      <c r="AB14" s="16" t="n">
        <v>0.61</v>
      </c>
      <c r="AC14" s="16" t="n">
        <v>0.46</v>
      </c>
      <c r="AD14" s="16" t="n">
        <v>0.02</v>
      </c>
      <c r="AE14" s="16"/>
      <c r="AF14" s="15" t="n">
        <v>0.03</v>
      </c>
      <c r="AG14" s="16" t="n">
        <v>0.44</v>
      </c>
      <c r="AH14" s="16" t="n">
        <v>0.02</v>
      </c>
      <c r="AI14" s="16" t="s">
        <v>473</v>
      </c>
      <c r="AJ14" s="16" t="n">
        <v>0.47</v>
      </c>
      <c r="AK14" s="16" t="n">
        <v>0.19</v>
      </c>
      <c r="AL14" s="16"/>
      <c r="AM14" s="16" t="n">
        <v>0.29</v>
      </c>
      <c r="AN14" s="16" t="n">
        <v>0.18</v>
      </c>
      <c r="AO14" s="16" t="n">
        <v>0.03</v>
      </c>
      <c r="AP14" s="16"/>
      <c r="AQ14" s="112" t="n">
        <v>0.07</v>
      </c>
      <c r="AR14" s="112" t="n">
        <v>0.7</v>
      </c>
      <c r="AS14" s="112" t="n">
        <v>0.1</v>
      </c>
      <c r="AT14" s="112" t="n">
        <v>0.099594</v>
      </c>
      <c r="AU14" s="16" t="n">
        <v>0.26</v>
      </c>
      <c r="AV14" s="16"/>
      <c r="AW14" s="16" t="n">
        <v>0.71</v>
      </c>
      <c r="AX14" s="16" t="n">
        <v>0.32</v>
      </c>
      <c r="AY14" s="16" t="n">
        <v>0.01</v>
      </c>
      <c r="AZ14" s="16" t="n">
        <v>0.24</v>
      </c>
      <c r="BA14" s="16" t="n">
        <v>0.02</v>
      </c>
      <c r="BB14" s="16" t="n">
        <v>0.07</v>
      </c>
      <c r="BC14" s="16" t="n">
        <v>0.16</v>
      </c>
      <c r="BD14" s="16" t="n">
        <v>0.13</v>
      </c>
      <c r="BE14" s="16" t="n">
        <v>0.46</v>
      </c>
      <c r="BF14" s="16" t="n">
        <v>0.03</v>
      </c>
      <c r="BG14" s="16" t="n">
        <v>0.04</v>
      </c>
      <c r="BH14" s="16" t="n">
        <v>0.02</v>
      </c>
      <c r="BI14" s="16" t="n">
        <v>0.01</v>
      </c>
      <c r="BJ14" s="16" t="n">
        <v>0.019319006</v>
      </c>
      <c r="BK14" s="15" t="n">
        <v>0.02</v>
      </c>
      <c r="BL14" s="16" t="n">
        <v>0.18</v>
      </c>
      <c r="BM14" s="16" t="n">
        <v>0.01</v>
      </c>
      <c r="BN14" s="16" t="n">
        <v>0.28</v>
      </c>
      <c r="BO14" s="16" t="n">
        <v>0.01</v>
      </c>
      <c r="BP14" s="16" t="n">
        <v>0.035122</v>
      </c>
      <c r="BQ14" s="16"/>
      <c r="BR14" s="16" t="n">
        <v>3.35</v>
      </c>
      <c r="BS14" s="16" t="n">
        <v>0.23</v>
      </c>
      <c r="BT14" s="16" t="n">
        <v>0.07</v>
      </c>
      <c r="BU14" s="16" t="n">
        <v>1.58</v>
      </c>
      <c r="BV14" s="16" t="n">
        <v>0.09</v>
      </c>
      <c r="BW14" s="16" t="n">
        <v>0.11</v>
      </c>
      <c r="BX14" s="16" t="n">
        <v>0.11</v>
      </c>
      <c r="BY14" s="16" t="n">
        <v>0.16</v>
      </c>
      <c r="BZ14" s="16" t="n">
        <v>0.02</v>
      </c>
      <c r="CA14" s="109" t="n">
        <f aca="false">0.0000740276/CA32</f>
        <v>0.000180555122</v>
      </c>
      <c r="CB14" s="16" t="n">
        <v>0.01398</v>
      </c>
      <c r="CC14" s="16" t="n">
        <v>1.5</v>
      </c>
      <c r="CD14" s="16" t="n">
        <v>0.14</v>
      </c>
      <c r="CE14" s="16" t="n">
        <v>2.01</v>
      </c>
      <c r="CF14" s="16" t="n">
        <v>0.06</v>
      </c>
      <c r="CG14" s="16"/>
      <c r="CH14" s="16" t="n">
        <f aca="false">0.005364/CH33</f>
        <v>0.006310588235</v>
      </c>
      <c r="CI14" s="16" t="n">
        <v>0.03</v>
      </c>
      <c r="CJ14" s="16" t="n">
        <v>0.13</v>
      </c>
      <c r="CK14" s="16" t="n">
        <v>0.43</v>
      </c>
      <c r="CL14" s="16" t="n">
        <v>0.002837</v>
      </c>
      <c r="CM14" s="16" t="n">
        <v>0.05</v>
      </c>
      <c r="CN14" s="16" t="n">
        <v>0.13</v>
      </c>
      <c r="CO14" s="16" t="n">
        <v>0.05</v>
      </c>
      <c r="CP14" s="16" t="n">
        <v>0.03</v>
      </c>
      <c r="CQ14" s="16" t="n">
        <v>0.001407085</v>
      </c>
      <c r="CR14" s="16" t="n">
        <v>0.05</v>
      </c>
      <c r="CS14" s="110" t="n">
        <f aca="false">CR14/0.49</f>
        <v>0.102040816326531</v>
      </c>
      <c r="CT14" s="16" t="n">
        <v>0.27</v>
      </c>
      <c r="CU14" s="16" t="n">
        <v>0.051872</v>
      </c>
      <c r="CV14" s="16" t="n">
        <v>0.13</v>
      </c>
      <c r="CW14" s="16" t="n">
        <v>0.25</v>
      </c>
      <c r="CX14" s="16" t="n">
        <v>0.07</v>
      </c>
      <c r="CY14" s="16" t="n">
        <v>2.93</v>
      </c>
      <c r="CZ14" s="16" t="n">
        <v>0.43</v>
      </c>
      <c r="DA14" s="16" t="n">
        <v>0.01</v>
      </c>
      <c r="DB14" s="16" t="n">
        <v>0.001038</v>
      </c>
      <c r="DC14" s="16" t="n">
        <v>0.02</v>
      </c>
      <c r="DD14" s="16" t="n">
        <v>0.16</v>
      </c>
      <c r="DE14" s="16" t="n">
        <v>3.43</v>
      </c>
      <c r="DF14" s="15" t="n">
        <v>0.00756012186916453</v>
      </c>
      <c r="DG14" s="16"/>
      <c r="DH14" s="16" t="n">
        <v>0.03</v>
      </c>
      <c r="DI14" s="16" t="n">
        <v>0.08</v>
      </c>
      <c r="DJ14" s="16"/>
      <c r="DK14" s="16" t="n">
        <v>0.56</v>
      </c>
      <c r="DL14" s="16" t="n">
        <v>0.11</v>
      </c>
      <c r="DM14" s="16" t="n">
        <f aca="false">0.004401/DM33</f>
        <v>0.007214754098</v>
      </c>
      <c r="DN14" s="16" t="n">
        <v>0.57</v>
      </c>
      <c r="DO14" s="16" t="n">
        <v>0.13</v>
      </c>
      <c r="DP14" s="16"/>
      <c r="DQ14" s="16" t="n">
        <v>0.7</v>
      </c>
      <c r="DR14" s="16"/>
      <c r="DS14" s="16" t="n">
        <v>0.05</v>
      </c>
      <c r="DT14" s="16" t="n">
        <v>0.07</v>
      </c>
      <c r="DU14" s="16" t="n">
        <v>0.05</v>
      </c>
      <c r="DV14" s="16" t="n">
        <v>0.06</v>
      </c>
      <c r="DW14" s="15" t="n">
        <v>0.00966778299141336</v>
      </c>
      <c r="DX14" s="16" t="n">
        <v>1.62</v>
      </c>
      <c r="DY14" s="16" t="n">
        <v>1.74</v>
      </c>
      <c r="DZ14" s="16" t="n">
        <v>0.105715008</v>
      </c>
    </row>
    <row r="15" customFormat="false" ht="15" hidden="false" customHeight="false" outlineLevel="0" collapsed="false">
      <c r="A15" s="13" t="n">
        <v>2002</v>
      </c>
      <c r="B15" s="16" t="n">
        <v>0.004096458</v>
      </c>
      <c r="C15" s="16" t="n">
        <v>0.00095</v>
      </c>
      <c r="D15" s="16" t="n">
        <v>0.25</v>
      </c>
      <c r="E15" s="16" t="n">
        <v>0.03</v>
      </c>
      <c r="F15" s="16" t="n">
        <v>0.03</v>
      </c>
      <c r="G15" s="16" t="n">
        <v>0.01</v>
      </c>
      <c r="H15" s="16"/>
      <c r="I15" s="16" t="s">
        <v>473</v>
      </c>
      <c r="J15" s="16" t="n">
        <v>0.27</v>
      </c>
      <c r="K15" s="16" t="n">
        <v>0.000944476</v>
      </c>
      <c r="L15" s="16" t="n">
        <v>0.1</v>
      </c>
      <c r="M15" s="16" t="n">
        <v>0.04</v>
      </c>
      <c r="N15" s="16"/>
      <c r="O15" s="16" t="n">
        <v>0.38</v>
      </c>
      <c r="P15" s="16" t="n">
        <v>0.15</v>
      </c>
      <c r="Q15" s="111" t="n">
        <f aca="false">0.004312241/Q33</f>
        <v>0.01070034988</v>
      </c>
      <c r="R15" s="16" t="n">
        <v>0.02</v>
      </c>
      <c r="S15" s="16" t="n">
        <v>2.41</v>
      </c>
      <c r="T15" s="16" t="n">
        <v>0.04</v>
      </c>
      <c r="U15" s="16"/>
      <c r="V15" s="16" t="n">
        <v>0.06</v>
      </c>
      <c r="W15" s="16" t="n">
        <v>0.18</v>
      </c>
      <c r="X15" s="16" t="n">
        <v>0.09</v>
      </c>
      <c r="Y15" s="16" t="n">
        <v>0.56</v>
      </c>
      <c r="Z15" s="16" t="n">
        <f aca="false">0.015096/Z33</f>
        <v>0.01910886076</v>
      </c>
      <c r="AA15" s="16" t="n">
        <v>0.13</v>
      </c>
      <c r="AB15" s="16" t="n">
        <v>0.51</v>
      </c>
      <c r="AC15" s="16" t="n">
        <v>0.43</v>
      </c>
      <c r="AD15" s="16" t="n">
        <v>0.02</v>
      </c>
      <c r="AE15" s="16"/>
      <c r="AF15" s="15" t="n">
        <v>0.04</v>
      </c>
      <c r="AG15" s="16" t="n">
        <v>0.4</v>
      </c>
      <c r="AH15" s="16" t="n">
        <v>0.02</v>
      </c>
      <c r="AI15" s="16" t="s">
        <v>473</v>
      </c>
      <c r="AJ15" s="16" t="n">
        <v>0.42</v>
      </c>
      <c r="AK15" s="16" t="n">
        <v>0.18</v>
      </c>
      <c r="AL15" s="16"/>
      <c r="AM15" s="16" t="n">
        <v>0.23</v>
      </c>
      <c r="AN15" s="16" t="n">
        <v>0.15</v>
      </c>
      <c r="AO15" s="16" t="n">
        <v>0.03</v>
      </c>
      <c r="AP15" s="16"/>
      <c r="AQ15" s="112" t="n">
        <v>0.07</v>
      </c>
      <c r="AR15" s="112" t="n">
        <v>0.8</v>
      </c>
      <c r="AS15" s="112" t="n">
        <v>0.08</v>
      </c>
      <c r="AT15" s="112" t="n">
        <v>0.095471</v>
      </c>
      <c r="AU15" s="16" t="n">
        <v>0.18</v>
      </c>
      <c r="AV15" s="16"/>
      <c r="AW15" s="16" t="n">
        <v>0.65</v>
      </c>
      <c r="AX15" s="16" t="n">
        <v>0.31</v>
      </c>
      <c r="AY15" s="16" t="n">
        <v>0.02</v>
      </c>
      <c r="AZ15" s="16" t="n">
        <v>0.22</v>
      </c>
      <c r="BA15" s="16" t="n">
        <v>0.02</v>
      </c>
      <c r="BB15" s="16" t="n">
        <v>0.07</v>
      </c>
      <c r="BC15" s="16" t="n">
        <v>0.16</v>
      </c>
      <c r="BD15" s="16" t="n">
        <v>0.14</v>
      </c>
      <c r="BE15" s="16" t="n">
        <v>0.38</v>
      </c>
      <c r="BF15" s="16" t="n">
        <v>0.03</v>
      </c>
      <c r="BG15" s="16" t="n">
        <v>0.03</v>
      </c>
      <c r="BH15" s="16" t="n">
        <v>0.03</v>
      </c>
      <c r="BI15" s="16" t="n">
        <v>0.01</v>
      </c>
      <c r="BJ15" s="16" t="n">
        <v>0.017450143</v>
      </c>
      <c r="BK15" s="15" t="n">
        <v>0.02</v>
      </c>
      <c r="BL15" s="16" t="n">
        <v>0.17</v>
      </c>
      <c r="BM15" s="16" t="n">
        <v>0.01</v>
      </c>
      <c r="BN15" s="16" t="n">
        <v>0.25</v>
      </c>
      <c r="BO15" s="16" t="n">
        <v>0.01</v>
      </c>
      <c r="BP15" s="16" t="n">
        <v>0.03583</v>
      </c>
      <c r="BQ15" s="16"/>
      <c r="BR15" s="16" t="n">
        <v>3.25</v>
      </c>
      <c r="BS15" s="16" t="n">
        <v>0.19</v>
      </c>
      <c r="BT15" s="16" t="n">
        <v>0.05</v>
      </c>
      <c r="BU15" s="16" t="n">
        <v>1.46</v>
      </c>
      <c r="BV15" s="16" t="n">
        <v>0.09</v>
      </c>
      <c r="BW15" s="16" t="n">
        <v>0.11</v>
      </c>
      <c r="BX15" s="16" t="n">
        <v>0.1</v>
      </c>
      <c r="BY15" s="16" t="n">
        <v>0.13</v>
      </c>
      <c r="BZ15" s="16" t="n">
        <v>0.02</v>
      </c>
      <c r="CA15" s="109" t="n">
        <f aca="false">0.0000696659/CA32</f>
        <v>0.0001699168293</v>
      </c>
      <c r="CB15" s="16" t="n">
        <v>0.013775</v>
      </c>
      <c r="CC15" s="16" t="n">
        <v>1.52</v>
      </c>
      <c r="CD15" s="16" t="n">
        <v>0.12</v>
      </c>
      <c r="CE15" s="16" t="n">
        <v>1.74</v>
      </c>
      <c r="CF15" s="16" t="n">
        <v>0.06</v>
      </c>
      <c r="CG15" s="16"/>
      <c r="CH15" s="16" t="n">
        <f aca="false">0.006838/CH33</f>
        <v>0.008044705882</v>
      </c>
      <c r="CI15" s="16" t="n">
        <v>0.02</v>
      </c>
      <c r="CJ15" s="16" t="n">
        <v>0.11</v>
      </c>
      <c r="CK15" s="16" t="n">
        <v>0.39</v>
      </c>
      <c r="CL15" s="16" t="n">
        <v>0.003177</v>
      </c>
      <c r="CM15" s="16" t="n">
        <v>0.05</v>
      </c>
      <c r="CN15" s="16" t="n">
        <v>0.12</v>
      </c>
      <c r="CO15" s="16" t="n">
        <v>0.05</v>
      </c>
      <c r="CP15" s="16" t="n">
        <v>0.03</v>
      </c>
      <c r="CQ15" s="16" t="n">
        <v>0.001560609</v>
      </c>
      <c r="CR15" s="16" t="n">
        <v>0.05</v>
      </c>
      <c r="CS15" s="110" t="n">
        <f aca="false">CR15/0.49</f>
        <v>0.102040816326531</v>
      </c>
      <c r="CT15" s="16" t="n">
        <v>0.25</v>
      </c>
      <c r="CU15" s="16" t="n">
        <v>0.051868</v>
      </c>
      <c r="CV15" s="16" t="n">
        <v>0.12</v>
      </c>
      <c r="CW15" s="16" t="n">
        <v>0.26</v>
      </c>
      <c r="CX15" s="16" t="n">
        <v>0.07</v>
      </c>
      <c r="CY15" s="16" t="n">
        <v>2.57</v>
      </c>
      <c r="CZ15" s="16" t="n">
        <v>0.41</v>
      </c>
      <c r="DA15" s="16" t="n">
        <v>0.01</v>
      </c>
      <c r="DB15" s="16" t="n">
        <v>0.001149</v>
      </c>
      <c r="DC15" s="16" t="n">
        <v>0.02</v>
      </c>
      <c r="DD15" s="16" t="n">
        <v>0.14</v>
      </c>
      <c r="DE15" s="16" t="n">
        <v>3.2</v>
      </c>
      <c r="DF15" s="15" t="n">
        <v>0.00770484919438015</v>
      </c>
      <c r="DG15" s="16"/>
      <c r="DH15" s="16" t="n">
        <v>0.03</v>
      </c>
      <c r="DI15" s="16" t="n">
        <v>0.07</v>
      </c>
      <c r="DJ15" s="16"/>
      <c r="DK15" s="16" t="n">
        <v>0.48</v>
      </c>
      <c r="DL15" s="16" t="n">
        <v>0.11</v>
      </c>
      <c r="DM15" s="16" t="n">
        <f aca="false">0.003342/DM33</f>
        <v>0.005478688525</v>
      </c>
      <c r="DN15" s="16" t="n">
        <v>0.6</v>
      </c>
      <c r="DO15" s="16" t="n">
        <v>0.13</v>
      </c>
      <c r="DP15" s="16"/>
      <c r="DQ15" s="16" t="n">
        <v>0.64</v>
      </c>
      <c r="DR15" s="16"/>
      <c r="DS15" s="16" t="n">
        <v>0.05</v>
      </c>
      <c r="DT15" s="16" t="n">
        <v>0.08</v>
      </c>
      <c r="DU15" s="16" t="n">
        <v>0.05</v>
      </c>
      <c r="DV15" s="16" t="n">
        <v>0.06</v>
      </c>
      <c r="DW15" s="15" t="n">
        <v>0.0131293618283264</v>
      </c>
      <c r="DX15" s="16" t="n">
        <v>1.53</v>
      </c>
      <c r="DY15" s="16" t="n">
        <v>1.56</v>
      </c>
      <c r="DZ15" s="16" t="n">
        <v>0.097609847</v>
      </c>
    </row>
    <row r="16" customFormat="false" ht="15" hidden="false" customHeight="false" outlineLevel="0" collapsed="false">
      <c r="A16" s="13" t="n">
        <v>2003</v>
      </c>
      <c r="B16" s="16" t="n">
        <v>0.004316067</v>
      </c>
      <c r="C16" s="16" t="n">
        <v>0.001174</v>
      </c>
      <c r="D16" s="16" t="n">
        <v>0.25</v>
      </c>
      <c r="E16" s="16" t="n">
        <v>0.03</v>
      </c>
      <c r="F16" s="16" t="n">
        <v>0.03</v>
      </c>
      <c r="G16" s="16" t="n">
        <v>0.01</v>
      </c>
      <c r="H16" s="16"/>
      <c r="I16" s="16" t="s">
        <v>473</v>
      </c>
      <c r="J16" s="16" t="n">
        <v>0.26</v>
      </c>
      <c r="K16" s="16" t="n">
        <v>0.001101474</v>
      </c>
      <c r="L16" s="16" t="n">
        <v>0.11</v>
      </c>
      <c r="M16" s="16" t="n">
        <v>0.04</v>
      </c>
      <c r="N16" s="16"/>
      <c r="O16" s="16" t="n">
        <v>0.3</v>
      </c>
      <c r="P16" s="16" t="n">
        <v>0.13</v>
      </c>
      <c r="Q16" s="111" t="n">
        <f aca="false">0.001364312/Q33</f>
        <v>0.003385389578</v>
      </c>
      <c r="R16" s="16" t="n">
        <v>0.02</v>
      </c>
      <c r="S16" s="16" t="n">
        <v>2.16</v>
      </c>
      <c r="T16" s="16" t="n">
        <v>0.04</v>
      </c>
      <c r="U16" s="16"/>
      <c r="V16" s="16" t="n">
        <v>0.05</v>
      </c>
      <c r="W16" s="16" t="n">
        <v>0.13</v>
      </c>
      <c r="X16" s="16" t="n">
        <v>0.07</v>
      </c>
      <c r="Y16" s="16" t="n">
        <v>0.53</v>
      </c>
      <c r="Z16" s="16" t="n">
        <f aca="false">0.015034/Z33</f>
        <v>0.01903037975</v>
      </c>
      <c r="AA16" s="16" t="n">
        <v>0.11</v>
      </c>
      <c r="AB16" s="16" t="n">
        <v>0.42</v>
      </c>
      <c r="AC16" s="16" t="n">
        <v>0.39</v>
      </c>
      <c r="AD16" s="16" t="n">
        <v>0.02</v>
      </c>
      <c r="AE16" s="16"/>
      <c r="AF16" s="15" t="n">
        <v>0.04</v>
      </c>
      <c r="AG16" s="16" t="n">
        <v>0.35</v>
      </c>
      <c r="AH16" s="16" t="n">
        <v>0.02</v>
      </c>
      <c r="AI16" s="16" t="s">
        <v>473</v>
      </c>
      <c r="AJ16" s="16" t="n">
        <v>0.37</v>
      </c>
      <c r="AK16" s="16" t="n">
        <v>0.16</v>
      </c>
      <c r="AL16" s="16"/>
      <c r="AM16" s="16" t="n">
        <v>0.17</v>
      </c>
      <c r="AN16" s="16" t="n">
        <v>0.11</v>
      </c>
      <c r="AO16" s="16" t="n">
        <v>0.03</v>
      </c>
      <c r="AP16" s="16"/>
      <c r="AQ16" s="112" t="n">
        <v>0.06</v>
      </c>
      <c r="AR16" s="112" t="n">
        <v>0.89</v>
      </c>
      <c r="AS16" s="112" t="n">
        <v>0.06</v>
      </c>
      <c r="AT16" s="112" t="n">
        <v>0.083122</v>
      </c>
      <c r="AU16" s="16" t="n">
        <v>0.11</v>
      </c>
      <c r="AV16" s="16"/>
      <c r="AW16" s="16" t="n">
        <v>0.58</v>
      </c>
      <c r="AX16" s="16" t="n">
        <v>0.28</v>
      </c>
      <c r="AY16" s="16" t="n">
        <v>0.02</v>
      </c>
      <c r="AZ16" s="16" t="n">
        <v>0.2</v>
      </c>
      <c r="BA16" s="16" t="n">
        <v>0.02</v>
      </c>
      <c r="BB16" s="16" t="n">
        <v>0.07</v>
      </c>
      <c r="BC16" s="16" t="n">
        <v>0.16</v>
      </c>
      <c r="BD16" s="16" t="n">
        <v>0.15</v>
      </c>
      <c r="BE16" s="16" t="n">
        <v>0.3</v>
      </c>
      <c r="BF16" s="16" t="n">
        <v>0.02</v>
      </c>
      <c r="BG16" s="16" t="n">
        <v>0.03</v>
      </c>
      <c r="BH16" s="16" t="n">
        <v>0.04</v>
      </c>
      <c r="BI16" s="16" t="n">
        <v>0.01</v>
      </c>
      <c r="BJ16" s="16" t="n">
        <v>0.015564922</v>
      </c>
      <c r="BK16" s="15" t="n">
        <v>0.02</v>
      </c>
      <c r="BL16" s="16" t="n">
        <v>0.16</v>
      </c>
      <c r="BM16" s="16" t="n">
        <v>0.01</v>
      </c>
      <c r="BN16" s="16" t="n">
        <v>0.26</v>
      </c>
      <c r="BO16" s="16" t="n">
        <v>0.01</v>
      </c>
      <c r="BP16" s="16" t="n">
        <v>0.037048</v>
      </c>
      <c r="BQ16" s="16"/>
      <c r="BR16" s="16" t="n">
        <v>3.11</v>
      </c>
      <c r="BS16" s="16" t="n">
        <v>0.15</v>
      </c>
      <c r="BT16" s="16" t="n">
        <v>0.04</v>
      </c>
      <c r="BU16" s="16" t="n">
        <v>1.33</v>
      </c>
      <c r="BV16" s="16" t="n">
        <v>0.08</v>
      </c>
      <c r="BW16" s="16" t="n">
        <v>0.11</v>
      </c>
      <c r="BX16" s="16" t="n">
        <v>0.09</v>
      </c>
      <c r="BY16" s="16" t="n">
        <v>0.13</v>
      </c>
      <c r="BZ16" s="16" t="n">
        <v>0.02</v>
      </c>
      <c r="CA16" s="109" t="n">
        <f aca="false">0.0000696659/CA32</f>
        <v>0.0001699168293</v>
      </c>
      <c r="CB16" s="16" t="n">
        <v>0.013608</v>
      </c>
      <c r="CC16" s="16" t="n">
        <v>1.5</v>
      </c>
      <c r="CD16" s="16" t="n">
        <v>0.11</v>
      </c>
      <c r="CE16" s="16" t="n">
        <v>1.54</v>
      </c>
      <c r="CF16" s="16" t="n">
        <v>0.06</v>
      </c>
      <c r="CG16" s="16"/>
      <c r="CH16" s="16" t="n">
        <f aca="false">0.009279/CH33</f>
        <v>0.01091647059</v>
      </c>
      <c r="CI16" s="16" t="n">
        <v>0.02</v>
      </c>
      <c r="CJ16" s="16" t="n">
        <v>0.09</v>
      </c>
      <c r="CK16" s="16" t="n">
        <v>0.37</v>
      </c>
      <c r="CL16" s="16" t="n">
        <v>0.00363</v>
      </c>
      <c r="CM16" s="16" t="n">
        <v>0.05</v>
      </c>
      <c r="CN16" s="16" t="n">
        <v>0.1</v>
      </c>
      <c r="CO16" s="16" t="n">
        <v>0.05</v>
      </c>
      <c r="CP16" s="16" t="n">
        <v>0.03</v>
      </c>
      <c r="CQ16" s="16" t="n">
        <v>0.001831429</v>
      </c>
      <c r="CR16" s="16" t="n">
        <v>0.05</v>
      </c>
      <c r="CS16" s="110" t="n">
        <f aca="false">CR16/0.49</f>
        <v>0.102040816326531</v>
      </c>
      <c r="CT16" s="16" t="n">
        <v>0.23</v>
      </c>
      <c r="CU16" s="16" t="n">
        <v>0.054172</v>
      </c>
      <c r="CV16" s="16" t="n">
        <v>0.11</v>
      </c>
      <c r="CW16" s="16" t="n">
        <v>0.26</v>
      </c>
      <c r="CX16" s="16" t="n">
        <v>0.07</v>
      </c>
      <c r="CY16" s="16" t="n">
        <v>2.24</v>
      </c>
      <c r="CZ16" s="16" t="n">
        <v>0.31</v>
      </c>
      <c r="DA16" s="16" t="n">
        <v>0.01</v>
      </c>
      <c r="DB16" s="16" t="n">
        <v>0.001425</v>
      </c>
      <c r="DC16" s="16" t="n">
        <v>0.03</v>
      </c>
      <c r="DD16" s="16" t="n">
        <v>0.11</v>
      </c>
      <c r="DE16" s="16" t="n">
        <v>3.08</v>
      </c>
      <c r="DF16" s="15" t="n">
        <v>0.0102935752160119</v>
      </c>
      <c r="DG16" s="16"/>
      <c r="DH16" s="16" t="n">
        <v>0.03</v>
      </c>
      <c r="DI16" s="16" t="n">
        <v>0.06</v>
      </c>
      <c r="DJ16" s="16" t="n">
        <f aca="false">0.000262/DJ33</f>
        <v>0.0005988571429</v>
      </c>
      <c r="DK16" s="16" t="n">
        <v>0.4</v>
      </c>
      <c r="DL16" s="16" t="n">
        <v>0.1</v>
      </c>
      <c r="DM16" s="16" t="n">
        <f aca="false">0.003034/DM33</f>
        <v>0.004973770492</v>
      </c>
      <c r="DN16" s="16" t="n">
        <v>0.63</v>
      </c>
      <c r="DO16" s="16" t="n">
        <v>0.11</v>
      </c>
      <c r="DP16" s="16"/>
      <c r="DQ16" s="16" t="n">
        <v>0.61</v>
      </c>
      <c r="DR16" s="16"/>
      <c r="DS16" s="16" t="n">
        <v>0.05</v>
      </c>
      <c r="DT16" s="16" t="n">
        <v>0.07</v>
      </c>
      <c r="DU16" s="16" t="n">
        <v>0.05</v>
      </c>
      <c r="DV16" s="16" t="n">
        <v>0.06</v>
      </c>
      <c r="DW16" s="15" t="n">
        <v>0.0206690087861362</v>
      </c>
      <c r="DX16" s="16" t="n">
        <v>1.44</v>
      </c>
      <c r="DY16" s="16" t="n">
        <v>1.44</v>
      </c>
      <c r="DZ16" s="16" t="n">
        <v>0.090448213</v>
      </c>
    </row>
    <row r="17" customFormat="false" ht="15" hidden="false" customHeight="false" outlineLevel="0" collapsed="false">
      <c r="A17" s="13" t="n">
        <v>2004</v>
      </c>
      <c r="B17" s="16" t="n">
        <v>0.004389652</v>
      </c>
      <c r="C17" s="16" t="n">
        <v>0.001629</v>
      </c>
      <c r="D17" s="16" t="n">
        <v>0.25</v>
      </c>
      <c r="E17" s="16" t="n">
        <v>0.03</v>
      </c>
      <c r="F17" s="16" t="n">
        <v>0.02</v>
      </c>
      <c r="G17" s="16" t="n">
        <v>0.01</v>
      </c>
      <c r="H17" s="16"/>
      <c r="I17" s="16" t="s">
        <v>473</v>
      </c>
      <c r="J17" s="16" t="n">
        <v>0.26</v>
      </c>
      <c r="K17" s="16" t="n">
        <v>0.001235294</v>
      </c>
      <c r="L17" s="16" t="n">
        <v>0.11</v>
      </c>
      <c r="M17" s="16" t="n">
        <v>0.04</v>
      </c>
      <c r="N17" s="16"/>
      <c r="O17" s="16" t="n">
        <v>0.2</v>
      </c>
      <c r="P17" s="16" t="n">
        <v>0.12</v>
      </c>
      <c r="Q17" s="111" t="n">
        <f aca="false">0.00597505/Q33</f>
        <v>0.0148264268</v>
      </c>
      <c r="R17" s="16" t="n">
        <v>0.02</v>
      </c>
      <c r="S17" s="16" t="n">
        <v>1.95</v>
      </c>
      <c r="T17" s="16" t="n">
        <v>0.04</v>
      </c>
      <c r="U17" s="16"/>
      <c r="V17" s="16" t="n">
        <v>0.05</v>
      </c>
      <c r="W17" s="16" t="n">
        <v>0.1</v>
      </c>
      <c r="X17" s="16" t="n">
        <v>0.06</v>
      </c>
      <c r="Y17" s="16" t="n">
        <v>0.5</v>
      </c>
      <c r="Z17" s="16" t="n">
        <f aca="false">0.01533/Z33</f>
        <v>0.01940506329</v>
      </c>
      <c r="AA17" s="16" t="n">
        <v>0.09</v>
      </c>
      <c r="AB17" s="16" t="n">
        <v>0.36</v>
      </c>
      <c r="AC17" s="16" t="n">
        <v>0.35</v>
      </c>
      <c r="AD17" s="16" t="n">
        <v>0.02</v>
      </c>
      <c r="AE17" s="16"/>
      <c r="AF17" s="15" t="n">
        <v>0.04</v>
      </c>
      <c r="AG17" s="16" t="n">
        <v>0.32</v>
      </c>
      <c r="AH17" s="16" t="n">
        <v>0.02</v>
      </c>
      <c r="AI17" s="16" t="n">
        <v>0.01</v>
      </c>
      <c r="AJ17" s="16" t="n">
        <v>0.33</v>
      </c>
      <c r="AK17" s="16" t="n">
        <v>0.14</v>
      </c>
      <c r="AL17" s="16"/>
      <c r="AM17" s="16" t="n">
        <v>0.15</v>
      </c>
      <c r="AN17" s="16" t="n">
        <v>0.09</v>
      </c>
      <c r="AO17" s="16" t="n">
        <v>0.03</v>
      </c>
      <c r="AP17" s="16"/>
      <c r="AQ17" s="112" t="n">
        <v>0.06</v>
      </c>
      <c r="AR17" s="112" t="n">
        <v>0.96</v>
      </c>
      <c r="AS17" s="112" t="n">
        <v>0.04</v>
      </c>
      <c r="AT17" s="112" t="n">
        <v>0.063423</v>
      </c>
      <c r="AU17" s="16" t="n">
        <v>0.07</v>
      </c>
      <c r="AV17" s="16"/>
      <c r="AW17" s="16" t="n">
        <v>0.52</v>
      </c>
      <c r="AX17" s="16" t="n">
        <v>0.26</v>
      </c>
      <c r="AY17" s="16" t="n">
        <v>0.02</v>
      </c>
      <c r="AZ17" s="16" t="n">
        <v>0.18</v>
      </c>
      <c r="BA17" s="16" t="n">
        <v>0.02</v>
      </c>
      <c r="BB17" s="16" t="n">
        <v>0.07</v>
      </c>
      <c r="BC17" s="16" t="n">
        <v>0.16</v>
      </c>
      <c r="BD17" s="16" t="n">
        <v>0.16</v>
      </c>
      <c r="BE17" s="16" t="n">
        <v>0.23</v>
      </c>
      <c r="BF17" s="16" t="n">
        <v>0.02</v>
      </c>
      <c r="BG17" s="16" t="n">
        <v>0.03</v>
      </c>
      <c r="BH17" s="16" t="n">
        <v>0.04</v>
      </c>
      <c r="BI17" s="16" t="n">
        <v>0.01</v>
      </c>
      <c r="BJ17" s="16" t="n">
        <v>0.015928037</v>
      </c>
      <c r="BK17" s="15" t="n">
        <v>0.02</v>
      </c>
      <c r="BL17" s="16" t="n">
        <v>0.15</v>
      </c>
      <c r="BM17" s="16" t="n">
        <v>0.01</v>
      </c>
      <c r="BN17" s="16" t="n">
        <v>0.29</v>
      </c>
      <c r="BO17" s="16" t="n">
        <v>0.02</v>
      </c>
      <c r="BP17" s="16" t="n">
        <v>0.039017</v>
      </c>
      <c r="BQ17" s="16"/>
      <c r="BR17" s="16" t="n">
        <v>3.01</v>
      </c>
      <c r="BS17" s="16" t="n">
        <v>0.12</v>
      </c>
      <c r="BT17" s="16" t="n">
        <v>0.02</v>
      </c>
      <c r="BU17" s="16" t="n">
        <v>1.22</v>
      </c>
      <c r="BV17" s="16" t="n">
        <v>0.08</v>
      </c>
      <c r="BW17" s="16" t="n">
        <v>0.12</v>
      </c>
      <c r="BX17" s="16" t="n">
        <v>0.08</v>
      </c>
      <c r="BY17" s="16" t="n">
        <v>0.12</v>
      </c>
      <c r="BZ17" s="16" t="n">
        <v>0.02</v>
      </c>
      <c r="CA17" s="109" t="n">
        <f aca="false">0.0000676963/CA32</f>
        <v>0.0001651129268</v>
      </c>
      <c r="CB17" s="16" t="n">
        <v>0.012848</v>
      </c>
      <c r="CC17" s="16" t="n">
        <v>1.46</v>
      </c>
      <c r="CD17" s="16" t="n">
        <v>0.1</v>
      </c>
      <c r="CE17" s="16" t="n">
        <v>1.39</v>
      </c>
      <c r="CF17" s="16" t="n">
        <v>0.05</v>
      </c>
      <c r="CG17" s="16"/>
      <c r="CH17" s="16" t="n">
        <f aca="false">0.009006/CH33</f>
        <v>0.01059529412</v>
      </c>
      <c r="CI17" s="16" t="n">
        <v>0.02</v>
      </c>
      <c r="CJ17" s="16" t="n">
        <v>0.07</v>
      </c>
      <c r="CK17" s="16" t="n">
        <v>0.35</v>
      </c>
      <c r="CL17" s="16" t="n">
        <v>0.004189</v>
      </c>
      <c r="CM17" s="16" t="n">
        <v>0.05</v>
      </c>
      <c r="CN17" s="16" t="n">
        <v>0.08</v>
      </c>
      <c r="CO17" s="16" t="n">
        <v>0.05</v>
      </c>
      <c r="CP17" s="16" t="n">
        <v>0.03</v>
      </c>
      <c r="CQ17" s="16" t="n">
        <v>0.002152504</v>
      </c>
      <c r="CR17" s="16" t="n">
        <v>0.05</v>
      </c>
      <c r="CS17" s="110" t="n">
        <f aca="false">CR17/0.49</f>
        <v>0.102040816326531</v>
      </c>
      <c r="CT17" s="16" t="n">
        <v>0.21</v>
      </c>
      <c r="CU17" s="16" t="n">
        <v>0.043952</v>
      </c>
      <c r="CV17" s="16" t="n">
        <v>0.09</v>
      </c>
      <c r="CW17" s="16" t="n">
        <v>0.24</v>
      </c>
      <c r="CX17" s="16" t="n">
        <v>0.06</v>
      </c>
      <c r="CY17" s="16" t="n">
        <v>1.95</v>
      </c>
      <c r="CZ17" s="16" t="n">
        <v>0.3</v>
      </c>
      <c r="DA17" s="16" t="n">
        <v>0.01</v>
      </c>
      <c r="DB17" s="16" t="n">
        <v>0.001735</v>
      </c>
      <c r="DC17" s="16" t="n">
        <v>0.03</v>
      </c>
      <c r="DD17" s="16" t="n">
        <v>0.09</v>
      </c>
      <c r="DE17" s="16" t="n">
        <v>3.09</v>
      </c>
      <c r="DF17" s="15" t="n">
        <v>0.0116279135953322</v>
      </c>
      <c r="DG17" s="16"/>
      <c r="DH17" s="16" t="n">
        <v>0.03</v>
      </c>
      <c r="DI17" s="16" t="n">
        <v>0.05</v>
      </c>
      <c r="DJ17" s="16" t="n">
        <f aca="false">0.000753/DJ33</f>
        <v>0.001721142857</v>
      </c>
      <c r="DK17" s="16" t="n">
        <v>0.32</v>
      </c>
      <c r="DL17" s="16" t="n">
        <v>0.1</v>
      </c>
      <c r="DM17" s="16" t="n">
        <f aca="false">0.002811/DM33</f>
        <v>0.004608196721</v>
      </c>
      <c r="DN17" s="16" t="n">
        <v>0.67</v>
      </c>
      <c r="DO17" s="16" t="n">
        <v>0.1</v>
      </c>
      <c r="DP17" s="16" t="n">
        <v>0.024003</v>
      </c>
      <c r="DQ17" s="16" t="n">
        <v>0.55</v>
      </c>
      <c r="DR17" s="16"/>
      <c r="DS17" s="16" t="n">
        <v>0.05</v>
      </c>
      <c r="DT17" s="16" t="n">
        <v>0.06</v>
      </c>
      <c r="DU17" s="16" t="n">
        <v>0.05</v>
      </c>
      <c r="DV17" s="16" t="n">
        <v>0.06</v>
      </c>
      <c r="DW17" s="15" t="n">
        <v>0.0172104094475433</v>
      </c>
      <c r="DX17" s="16" t="n">
        <v>1.37</v>
      </c>
      <c r="DY17" s="16" t="n">
        <v>1.37</v>
      </c>
      <c r="DZ17" s="16" t="n">
        <v>0.085191487</v>
      </c>
    </row>
    <row r="18" customFormat="false" ht="15" hidden="false" customHeight="false" outlineLevel="0" collapsed="false">
      <c r="A18" s="13" t="n">
        <v>2005</v>
      </c>
      <c r="B18" s="16" t="n">
        <v>0.00448729</v>
      </c>
      <c r="C18" s="16" t="n">
        <v>0.001328</v>
      </c>
      <c r="D18" s="16" t="n">
        <v>0.25</v>
      </c>
      <c r="E18" s="16" t="n">
        <v>0.03</v>
      </c>
      <c r="F18" s="16" t="n">
        <v>0.02</v>
      </c>
      <c r="G18" s="16" t="n">
        <v>0.01</v>
      </c>
      <c r="H18" s="16"/>
      <c r="I18" s="16" t="n">
        <v>0.01</v>
      </c>
      <c r="J18" s="16" t="n">
        <v>0.25</v>
      </c>
      <c r="K18" s="16" t="n">
        <v>0.001368384</v>
      </c>
      <c r="L18" s="16" t="n">
        <v>0.11</v>
      </c>
      <c r="M18" s="16" t="n">
        <v>0.04</v>
      </c>
      <c r="N18" s="16" t="n">
        <v>0.0266718621127545</v>
      </c>
      <c r="O18" s="16" t="n">
        <v>0.13</v>
      </c>
      <c r="P18" s="16" t="n">
        <v>0.1</v>
      </c>
      <c r="Q18" s="111" t="n">
        <f aca="false">0.002235392/Q33</f>
        <v>0.005546878412</v>
      </c>
      <c r="R18" s="16" t="n">
        <v>0.03</v>
      </c>
      <c r="S18" s="16" t="n">
        <v>1.76</v>
      </c>
      <c r="T18" s="16" t="n">
        <v>0.04</v>
      </c>
      <c r="U18" s="15" t="n">
        <f aca="false">0.00221005008293013/U33</f>
        <v>0.0101170062</v>
      </c>
      <c r="V18" s="16" t="n">
        <v>0.05</v>
      </c>
      <c r="W18" s="16" t="n">
        <v>0.08</v>
      </c>
      <c r="X18" s="16" t="n">
        <v>0.05</v>
      </c>
      <c r="Y18" s="16" t="n">
        <v>0.47</v>
      </c>
      <c r="Z18" s="16" t="n">
        <f aca="false">0.015027/Z33</f>
        <v>0.01902151899</v>
      </c>
      <c r="AA18" s="16" t="n">
        <v>0.08</v>
      </c>
      <c r="AB18" s="16" t="n">
        <v>0.32</v>
      </c>
      <c r="AC18" s="16" t="n">
        <v>0.3</v>
      </c>
      <c r="AD18" s="16" t="n">
        <v>0.02</v>
      </c>
      <c r="AE18" s="16" t="n">
        <v>0.00741419</v>
      </c>
      <c r="AF18" s="15" t="n">
        <v>0.04</v>
      </c>
      <c r="AG18" s="16" t="n">
        <v>0.29</v>
      </c>
      <c r="AH18" s="16" t="n">
        <v>0.02</v>
      </c>
      <c r="AI18" s="16" t="n">
        <v>0.01</v>
      </c>
      <c r="AJ18" s="16" t="n">
        <v>0.29</v>
      </c>
      <c r="AK18" s="16" t="n">
        <v>0.12</v>
      </c>
      <c r="AL18" s="16" t="n">
        <f aca="false">0.002550559/AL33</f>
        <v>0.003000657647</v>
      </c>
      <c r="AM18" s="16" t="n">
        <v>0.13</v>
      </c>
      <c r="AN18" s="16" t="n">
        <v>0.08</v>
      </c>
      <c r="AO18" s="16" t="n">
        <v>0.03</v>
      </c>
      <c r="AP18" s="16"/>
      <c r="AQ18" s="112" t="n">
        <v>0.06</v>
      </c>
      <c r="AR18" s="112" t="n">
        <v>0.98</v>
      </c>
      <c r="AS18" s="112" t="n">
        <v>0.03</v>
      </c>
      <c r="AT18" s="112" t="n">
        <v>0.058781</v>
      </c>
      <c r="AU18" s="16" t="n">
        <v>0.05</v>
      </c>
      <c r="AV18" s="16" t="n">
        <v>0.0249422205970961</v>
      </c>
      <c r="AW18" s="16" t="n">
        <v>0.44</v>
      </c>
      <c r="AX18" s="16" t="n">
        <v>0.25</v>
      </c>
      <c r="AY18" s="16" t="n">
        <v>0.02</v>
      </c>
      <c r="AZ18" s="16" t="n">
        <v>0.18</v>
      </c>
      <c r="BA18" s="16" t="n">
        <v>0.02</v>
      </c>
      <c r="BB18" s="16" t="n">
        <v>0.07</v>
      </c>
      <c r="BC18" s="16" t="n">
        <v>0.16</v>
      </c>
      <c r="BD18" s="16" t="n">
        <v>0.16</v>
      </c>
      <c r="BE18" s="16" t="n">
        <v>0.17</v>
      </c>
      <c r="BF18" s="16" t="n">
        <v>0.02</v>
      </c>
      <c r="BG18" s="16" t="n">
        <v>0.02</v>
      </c>
      <c r="BH18" s="16" t="n">
        <v>0.05</v>
      </c>
      <c r="BI18" s="16" t="n">
        <v>0.01</v>
      </c>
      <c r="BJ18" s="16" t="n">
        <v>0.017465249</v>
      </c>
      <c r="BK18" s="15" t="n">
        <v>0.02</v>
      </c>
      <c r="BL18" s="16" t="n">
        <v>0.14</v>
      </c>
      <c r="BM18" s="16" t="n">
        <v>0.01</v>
      </c>
      <c r="BN18" s="16" t="n">
        <v>0.32</v>
      </c>
      <c r="BO18" s="16" t="n">
        <v>0.02</v>
      </c>
      <c r="BP18" s="16" t="n">
        <v>0.041795</v>
      </c>
      <c r="BQ18" s="16"/>
      <c r="BR18" s="16" t="n">
        <v>2.92</v>
      </c>
      <c r="BS18" s="16" t="n">
        <v>0.1</v>
      </c>
      <c r="BT18" s="16" t="n">
        <v>0.02</v>
      </c>
      <c r="BU18" s="16" t="n">
        <v>1.11</v>
      </c>
      <c r="BV18" s="16" t="n">
        <v>0.07</v>
      </c>
      <c r="BW18" s="16" t="n">
        <v>0.11</v>
      </c>
      <c r="BX18" s="16" t="n">
        <v>0.06</v>
      </c>
      <c r="BY18" s="16" t="n">
        <v>0.11</v>
      </c>
      <c r="BZ18" s="16" t="n">
        <v>0.02</v>
      </c>
      <c r="CA18" s="16" t="n">
        <f aca="false">0.000726226/CA32</f>
        <v>0.001771282927</v>
      </c>
      <c r="CB18" s="16" t="n">
        <v>0.012109</v>
      </c>
      <c r="CC18" s="16" t="n">
        <v>1.42</v>
      </c>
      <c r="CD18" s="16" t="n">
        <v>0.09</v>
      </c>
      <c r="CE18" s="16" t="n">
        <v>1.25</v>
      </c>
      <c r="CF18" s="16" t="n">
        <v>0.04</v>
      </c>
      <c r="CG18" s="16" t="n">
        <f aca="false">0.01548/CG32</f>
        <v>0.02120547945</v>
      </c>
      <c r="CH18" s="16" t="n">
        <f aca="false">0.01051/CH33</f>
        <v>0.01236470588</v>
      </c>
      <c r="CI18" s="16" t="n">
        <v>0.02</v>
      </c>
      <c r="CJ18" s="16" t="n">
        <v>0.05</v>
      </c>
      <c r="CK18" s="16" t="n">
        <v>0.33</v>
      </c>
      <c r="CL18" s="16" t="n">
        <v>0.004979</v>
      </c>
      <c r="CM18" s="16" t="n">
        <v>0.05</v>
      </c>
      <c r="CN18" s="16" t="n">
        <v>0.07</v>
      </c>
      <c r="CO18" s="16" t="n">
        <v>0.04</v>
      </c>
      <c r="CP18" s="16" t="n">
        <v>0.03</v>
      </c>
      <c r="CQ18" s="16" t="n">
        <v>0.002558754</v>
      </c>
      <c r="CR18" s="16" t="n">
        <v>0.05</v>
      </c>
      <c r="CS18" s="110" t="n">
        <f aca="false">CR18/0.49</f>
        <v>0.102040816326531</v>
      </c>
      <c r="CT18" s="16" t="n">
        <v>0.21</v>
      </c>
      <c r="CU18" s="16" t="n">
        <v>0.059492</v>
      </c>
      <c r="CV18" s="16" t="n">
        <v>0.07</v>
      </c>
      <c r="CW18" s="16" t="n">
        <v>0.22</v>
      </c>
      <c r="CX18" s="16" t="n">
        <v>0.06</v>
      </c>
      <c r="CY18" s="16" t="n">
        <v>1.72</v>
      </c>
      <c r="CZ18" s="16" t="n">
        <v>0.29</v>
      </c>
      <c r="DA18" s="16" t="n">
        <v>0.01</v>
      </c>
      <c r="DB18" s="16" t="n">
        <v>0.00217</v>
      </c>
      <c r="DC18" s="16" t="n">
        <v>0.03</v>
      </c>
      <c r="DD18" s="16" t="n">
        <v>0.08</v>
      </c>
      <c r="DE18" s="16" t="n">
        <v>3.08</v>
      </c>
      <c r="DF18" s="15" t="n">
        <v>0.0106700448675387</v>
      </c>
      <c r="DG18" s="11" t="n">
        <v>0.0294113392355418</v>
      </c>
      <c r="DH18" s="16" t="n">
        <v>0.03</v>
      </c>
      <c r="DI18" s="16" t="n">
        <v>0.05</v>
      </c>
      <c r="DJ18" s="16" t="n">
        <f aca="false">0.001706/DJ33</f>
        <v>0.003899428571</v>
      </c>
      <c r="DK18" s="16" t="n">
        <v>0.26</v>
      </c>
      <c r="DL18" s="16" t="n">
        <v>0.09</v>
      </c>
      <c r="DM18" s="16" t="n">
        <f aca="false">0.002703/DM33</f>
        <v>0.004431147541</v>
      </c>
      <c r="DN18" s="16" t="n">
        <v>0.72</v>
      </c>
      <c r="DO18" s="16" t="n">
        <v>0.08</v>
      </c>
      <c r="DP18" s="16" t="n">
        <v>0.024189</v>
      </c>
      <c r="DQ18" s="16" t="n">
        <v>0.52</v>
      </c>
      <c r="DR18" s="16"/>
      <c r="DS18" s="16" t="n">
        <v>0.05</v>
      </c>
      <c r="DT18" s="16" t="n">
        <v>0.04</v>
      </c>
      <c r="DU18" s="16" t="n">
        <v>0.04</v>
      </c>
      <c r="DV18" s="16" t="n">
        <v>0.05</v>
      </c>
      <c r="DW18" s="15" t="n">
        <v>0.0175925695159196</v>
      </c>
      <c r="DX18" s="16" t="n">
        <v>1.28</v>
      </c>
      <c r="DY18" s="16" t="n">
        <v>1.36</v>
      </c>
      <c r="DZ18" s="16" t="n">
        <v>0.083109933</v>
      </c>
    </row>
    <row r="19" customFormat="false" ht="15" hidden="false" customHeight="false" outlineLevel="0" collapsed="false">
      <c r="A19" s="13" t="n">
        <v>2006</v>
      </c>
      <c r="B19" s="16" t="n">
        <v>0.004611488</v>
      </c>
      <c r="C19" s="16" t="n">
        <v>0.001663</v>
      </c>
      <c r="D19" s="16" t="n">
        <v>0.25</v>
      </c>
      <c r="E19" s="16" t="n">
        <v>0.03</v>
      </c>
      <c r="F19" s="16" t="n">
        <v>0.02</v>
      </c>
      <c r="G19" s="16" t="n">
        <v>0.01</v>
      </c>
      <c r="H19" s="15" t="n">
        <f aca="false">0.0105178760370384/H33</f>
        <v>0.01314734505</v>
      </c>
      <c r="I19" s="16" t="n">
        <v>0.01</v>
      </c>
      <c r="J19" s="16" t="n">
        <v>0.25</v>
      </c>
      <c r="K19" s="16" t="n">
        <v>0.001396098</v>
      </c>
      <c r="L19" s="16" t="n">
        <v>0.11</v>
      </c>
      <c r="M19" s="16" t="n">
        <v>0.04</v>
      </c>
      <c r="N19" s="16" t="n">
        <v>0.0253224508152436</v>
      </c>
      <c r="O19" s="16" t="n">
        <v>0.1</v>
      </c>
      <c r="P19" s="16" t="n">
        <v>0.09</v>
      </c>
      <c r="Q19" s="111" t="n">
        <f aca="false">0.006701499/Q33</f>
        <v>0.01662902978</v>
      </c>
      <c r="R19" s="16" t="n">
        <v>0.03</v>
      </c>
      <c r="S19" s="16" t="n">
        <v>1.62</v>
      </c>
      <c r="T19" s="16" t="n">
        <v>0.04</v>
      </c>
      <c r="U19" s="15" t="n">
        <f aca="false">0.00244661604770417/U33</f>
        <v>0.01119994063</v>
      </c>
      <c r="V19" s="16" t="n">
        <v>0.05</v>
      </c>
      <c r="W19" s="16" t="n">
        <v>0.06</v>
      </c>
      <c r="X19" s="16" t="n">
        <v>0.04</v>
      </c>
      <c r="Y19" s="16" t="n">
        <v>0.45</v>
      </c>
      <c r="Z19" s="16" t="n">
        <f aca="false">0.015341/Z33</f>
        <v>0.01941898734</v>
      </c>
      <c r="AA19" s="16" t="n">
        <v>0.07</v>
      </c>
      <c r="AB19" s="16" t="n">
        <v>0.3</v>
      </c>
      <c r="AC19" s="16" t="n">
        <v>0.25</v>
      </c>
      <c r="AD19" s="16" t="n">
        <v>0.02</v>
      </c>
      <c r="AE19" s="16"/>
      <c r="AF19" s="15" t="n">
        <v>0.04</v>
      </c>
      <c r="AG19" s="16" t="n">
        <v>0.27</v>
      </c>
      <c r="AH19" s="16" t="n">
        <v>0.02</v>
      </c>
      <c r="AI19" s="16" t="n">
        <v>0.01</v>
      </c>
      <c r="AJ19" s="16" t="n">
        <v>0.29</v>
      </c>
      <c r="AK19" s="16" t="n">
        <v>0.1</v>
      </c>
      <c r="AL19" s="16" t="n">
        <f aca="false">0.009758122/AL33</f>
        <v>0.01148014353</v>
      </c>
      <c r="AM19" s="16" t="n">
        <v>0.11</v>
      </c>
      <c r="AN19" s="16" t="n">
        <v>0.06</v>
      </c>
      <c r="AO19" s="16" t="n">
        <v>0.03</v>
      </c>
      <c r="AP19" s="16"/>
      <c r="AQ19" s="112" t="n">
        <v>0.05</v>
      </c>
      <c r="AR19" s="112" t="n">
        <v>0.97</v>
      </c>
      <c r="AS19" s="112" t="n">
        <v>0.02</v>
      </c>
      <c r="AT19" s="112" t="n">
        <v>0.058094</v>
      </c>
      <c r="AU19" s="16" t="n">
        <v>0.02</v>
      </c>
      <c r="AV19" s="16" t="n">
        <v>0.0237170565147425</v>
      </c>
      <c r="AW19" s="16" t="n">
        <v>0.37</v>
      </c>
      <c r="AX19" s="16" t="n">
        <v>0.23</v>
      </c>
      <c r="AY19" s="16" t="n">
        <v>0.03</v>
      </c>
      <c r="AZ19" s="16" t="n">
        <v>0.16</v>
      </c>
      <c r="BA19" s="16" t="n">
        <v>0.02</v>
      </c>
      <c r="BB19" s="16" t="n">
        <v>0.06</v>
      </c>
      <c r="BC19" s="16" t="n">
        <v>0.16</v>
      </c>
      <c r="BD19" s="16" t="n">
        <v>0.15</v>
      </c>
      <c r="BE19" s="16" t="n">
        <v>0.12</v>
      </c>
      <c r="BF19" s="16" t="n">
        <v>0.02</v>
      </c>
      <c r="BG19" s="16" t="n">
        <v>0.02</v>
      </c>
      <c r="BH19" s="16" t="n">
        <v>0.05</v>
      </c>
      <c r="BI19" s="16" t="n">
        <v>0.01</v>
      </c>
      <c r="BJ19" s="16" t="n">
        <v>0.016243</v>
      </c>
      <c r="BK19" s="15" t="n">
        <v>0.02</v>
      </c>
      <c r="BL19" s="16" t="n">
        <v>0.13</v>
      </c>
      <c r="BM19" s="16" t="n">
        <v>0.01</v>
      </c>
      <c r="BN19" s="16" t="n">
        <v>0.35</v>
      </c>
      <c r="BO19" s="16" t="n">
        <v>0.02</v>
      </c>
      <c r="BP19" s="16" t="n">
        <v>0.041165</v>
      </c>
      <c r="BQ19" s="16"/>
      <c r="BR19" s="16" t="n">
        <v>2.77</v>
      </c>
      <c r="BS19" s="16" t="n">
        <v>0.08</v>
      </c>
      <c r="BT19" s="16" t="n">
        <v>0.02</v>
      </c>
      <c r="BU19" s="16" t="n">
        <v>0.99</v>
      </c>
      <c r="BV19" s="16" t="n">
        <v>0.07</v>
      </c>
      <c r="BW19" s="16" t="n">
        <v>0.11</v>
      </c>
      <c r="BX19" s="16" t="n">
        <v>0.06</v>
      </c>
      <c r="BY19" s="16" t="n">
        <v>0.1</v>
      </c>
      <c r="BZ19" s="16" t="n">
        <v>0.02</v>
      </c>
      <c r="CA19" s="16" t="n">
        <f aca="false">0.000581668/CA32</f>
        <v>0.001418702439</v>
      </c>
      <c r="CB19" s="16" t="n">
        <v>0.011356</v>
      </c>
      <c r="CC19" s="16" t="n">
        <v>1.35</v>
      </c>
      <c r="CD19" s="16" t="n">
        <v>0.08</v>
      </c>
      <c r="CE19" s="16" t="n">
        <v>1.14</v>
      </c>
      <c r="CF19" s="16" t="n">
        <v>0.03</v>
      </c>
      <c r="CG19" s="16" t="n">
        <f aca="false">0.01449/CG32</f>
        <v>0.01984931507</v>
      </c>
      <c r="CH19" s="16" t="n">
        <f aca="false">0.009764/CH33</f>
        <v>0.01148705882</v>
      </c>
      <c r="CI19" s="16" t="n">
        <v>0.02</v>
      </c>
      <c r="CJ19" s="16" t="n">
        <v>0.03</v>
      </c>
      <c r="CK19" s="16" t="n">
        <v>0.31</v>
      </c>
      <c r="CL19" s="16" t="n">
        <v>0.005978</v>
      </c>
      <c r="CM19" s="16" t="n">
        <v>0.05</v>
      </c>
      <c r="CN19" s="16" t="n">
        <v>0.06</v>
      </c>
      <c r="CO19" s="16" t="n">
        <v>0.04</v>
      </c>
      <c r="CP19" s="16" t="n">
        <v>0.03</v>
      </c>
      <c r="CQ19" s="16" t="n">
        <v>0.002935791</v>
      </c>
      <c r="CR19" s="16" t="n">
        <v>0.06</v>
      </c>
      <c r="CS19" s="110" t="n">
        <f aca="false">CR19/0.49</f>
        <v>0.122448979591837</v>
      </c>
      <c r="CT19" s="16" t="n">
        <v>0.18</v>
      </c>
      <c r="CU19" s="16" t="n">
        <v>0.060838</v>
      </c>
      <c r="CV19" s="16" t="n">
        <v>0.05</v>
      </c>
      <c r="CW19" s="16" t="n">
        <v>0.19</v>
      </c>
      <c r="CX19" s="16" t="n">
        <v>0.06</v>
      </c>
      <c r="CY19" s="16" t="n">
        <v>1.51</v>
      </c>
      <c r="CZ19" s="16" t="n">
        <v>0.3</v>
      </c>
      <c r="DA19" s="16" t="n">
        <v>0.01</v>
      </c>
      <c r="DB19" s="16" t="n">
        <v>0.002709</v>
      </c>
      <c r="DC19" s="16" t="n">
        <v>0.03</v>
      </c>
      <c r="DD19" s="16" t="n">
        <v>0.07</v>
      </c>
      <c r="DE19" s="16" t="n">
        <v>3.09</v>
      </c>
      <c r="DF19" s="15" t="n">
        <v>0.0106228429708608</v>
      </c>
      <c r="DG19" s="11" t="n">
        <v>0.0306909016240624</v>
      </c>
      <c r="DH19" s="16" t="n">
        <v>0.03</v>
      </c>
      <c r="DI19" s="16" t="n">
        <v>0.05</v>
      </c>
      <c r="DJ19" s="16" t="n">
        <f aca="false">0.005151/DJ33</f>
        <v>0.01177371429</v>
      </c>
      <c r="DK19" s="16" t="n">
        <v>0.19</v>
      </c>
      <c r="DL19" s="16" t="n">
        <v>0.09</v>
      </c>
      <c r="DM19" s="16" t="n">
        <f aca="false">0.002755/DM33</f>
        <v>0.004516393443</v>
      </c>
      <c r="DN19" s="16" t="n">
        <v>0.75</v>
      </c>
      <c r="DO19" s="16" t="n">
        <v>0.06</v>
      </c>
      <c r="DP19" s="16" t="n">
        <v>0.02272</v>
      </c>
      <c r="DQ19" s="16" t="n">
        <v>0.52</v>
      </c>
      <c r="DR19" s="16"/>
      <c r="DS19" s="16" t="n">
        <v>0.04</v>
      </c>
      <c r="DT19" s="16" t="n">
        <v>0.03</v>
      </c>
      <c r="DU19" s="16" t="n">
        <v>0.04</v>
      </c>
      <c r="DV19" s="16" t="n">
        <v>0.05</v>
      </c>
      <c r="DW19" s="15" t="n">
        <v>0.0188158765877618</v>
      </c>
      <c r="DX19" s="16" t="n">
        <v>1.22</v>
      </c>
      <c r="DY19" s="16" t="n">
        <v>1.34</v>
      </c>
      <c r="DZ19" s="16" t="n">
        <v>0.078111012</v>
      </c>
    </row>
    <row r="20" customFormat="false" ht="15" hidden="false" customHeight="false" outlineLevel="0" collapsed="false">
      <c r="A20" s="13" t="n">
        <v>2007</v>
      </c>
      <c r="B20" s="16" t="n">
        <v>0.004832536</v>
      </c>
      <c r="C20" s="16" t="n">
        <v>0.004227</v>
      </c>
      <c r="D20" s="16" t="n">
        <v>0.24</v>
      </c>
      <c r="E20" s="16" t="n">
        <v>0.03</v>
      </c>
      <c r="F20" s="16" t="n">
        <v>0.01</v>
      </c>
      <c r="G20" s="16" t="n">
        <v>0.01</v>
      </c>
      <c r="H20" s="15" t="n">
        <f aca="false">0.012453869296279/H33</f>
        <v>0.01556733662</v>
      </c>
      <c r="I20" s="16" t="n">
        <v>0.01</v>
      </c>
      <c r="J20" s="16" t="n">
        <v>0.24</v>
      </c>
      <c r="K20" s="16" t="n">
        <v>0.001472403</v>
      </c>
      <c r="L20" s="16" t="n">
        <v>0.11</v>
      </c>
      <c r="M20" s="16" t="n">
        <v>0.04</v>
      </c>
      <c r="N20" s="16" t="n">
        <v>0.0265940714670024</v>
      </c>
      <c r="O20" s="16" t="n">
        <v>0.08</v>
      </c>
      <c r="P20" s="16" t="n">
        <v>0.09</v>
      </c>
      <c r="Q20" s="111" t="n">
        <f aca="false">0.008101796/Q33</f>
        <v>0.02010371216</v>
      </c>
      <c r="R20" s="16" t="n">
        <v>0.03</v>
      </c>
      <c r="S20" s="16" t="n">
        <v>1.52</v>
      </c>
      <c r="T20" s="16" t="n">
        <v>0.04</v>
      </c>
      <c r="U20" s="15" t="n">
        <f aca="false">0.00347775300722131/U33</f>
        <v>0.01592020425</v>
      </c>
      <c r="V20" s="16" t="n">
        <v>0.05</v>
      </c>
      <c r="W20" s="16" t="n">
        <v>0.05</v>
      </c>
      <c r="X20" s="16" t="n">
        <v>0.03</v>
      </c>
      <c r="Y20" s="16" t="n">
        <v>0.43</v>
      </c>
      <c r="Z20" s="16" t="n">
        <f aca="false">0.014711/Z33</f>
        <v>0.01862151899</v>
      </c>
      <c r="AA20" s="16" t="n">
        <v>0.06</v>
      </c>
      <c r="AB20" s="16" t="n">
        <v>0.29</v>
      </c>
      <c r="AC20" s="16" t="n">
        <v>0.21</v>
      </c>
      <c r="AD20" s="16" t="n">
        <v>0.02</v>
      </c>
      <c r="AE20" s="16" t="n">
        <v>0.00516281</v>
      </c>
      <c r="AF20" s="15" t="n">
        <v>0.04</v>
      </c>
      <c r="AG20" s="16" t="n">
        <v>0.25</v>
      </c>
      <c r="AH20" s="16" t="n">
        <v>0.03</v>
      </c>
      <c r="AI20" s="16" t="n">
        <v>0.02</v>
      </c>
      <c r="AJ20" s="16" t="n">
        <v>0.28</v>
      </c>
      <c r="AK20" s="16" t="n">
        <v>0.09</v>
      </c>
      <c r="AL20" s="16" t="n">
        <f aca="false">0.012157127/AL33</f>
        <v>0.01430250235</v>
      </c>
      <c r="AM20" s="16" t="n">
        <v>0.11</v>
      </c>
      <c r="AN20" s="16" t="n">
        <v>0.05</v>
      </c>
      <c r="AO20" s="16" t="n">
        <v>0.02</v>
      </c>
      <c r="AP20" s="16"/>
      <c r="AQ20" s="112" t="n">
        <v>0.05</v>
      </c>
      <c r="AR20" s="112" t="n">
        <v>0.91</v>
      </c>
      <c r="AS20" s="112" t="n">
        <v>0.02</v>
      </c>
      <c r="AT20" s="112" t="n">
        <v>0.050835</v>
      </c>
      <c r="AU20" s="16" t="n">
        <v>0.02</v>
      </c>
      <c r="AV20" s="16" t="n">
        <v>0.0236739141409639</v>
      </c>
      <c r="AW20" s="16" t="n">
        <v>0.3</v>
      </c>
      <c r="AX20" s="16" t="n">
        <v>0.21</v>
      </c>
      <c r="AY20" s="16" t="n">
        <v>0.03</v>
      </c>
      <c r="AZ20" s="16" t="n">
        <v>0.15</v>
      </c>
      <c r="BA20" s="16" t="n">
        <v>0.02</v>
      </c>
      <c r="BB20" s="16" t="n">
        <v>0.05</v>
      </c>
      <c r="BC20" s="16" t="n">
        <v>0.15</v>
      </c>
      <c r="BD20" s="16" t="n">
        <v>0.13</v>
      </c>
      <c r="BE20" s="16" t="n">
        <v>0.09</v>
      </c>
      <c r="BF20" s="16" t="n">
        <v>0.02</v>
      </c>
      <c r="BG20" s="16" t="n">
        <v>0.02</v>
      </c>
      <c r="BH20" s="16" t="n">
        <v>0.05</v>
      </c>
      <c r="BI20" s="16" t="n">
        <v>0.01</v>
      </c>
      <c r="BJ20" s="16" t="n">
        <v>0.017403611</v>
      </c>
      <c r="BK20" s="15" t="n">
        <v>0.02</v>
      </c>
      <c r="BL20" s="16" t="n">
        <v>0.12</v>
      </c>
      <c r="BM20" s="16" t="n">
        <v>0.01</v>
      </c>
      <c r="BN20" s="16" t="n">
        <v>0.41</v>
      </c>
      <c r="BO20" s="16" t="n">
        <v>0.03</v>
      </c>
      <c r="BP20" s="16" t="n">
        <v>0.040439</v>
      </c>
      <c r="BQ20" s="16"/>
      <c r="BR20" s="16" t="n">
        <v>2.71</v>
      </c>
      <c r="BS20" s="16" t="n">
        <v>0.07</v>
      </c>
      <c r="BT20" s="16" t="n">
        <v>0.02</v>
      </c>
      <c r="BU20" s="16" t="n">
        <v>0.9</v>
      </c>
      <c r="BV20" s="16" t="n">
        <v>0.06</v>
      </c>
      <c r="BW20" s="16" t="n">
        <v>0.11</v>
      </c>
      <c r="BX20" s="16" t="n">
        <v>0.05</v>
      </c>
      <c r="BY20" s="16" t="n">
        <v>0.09</v>
      </c>
      <c r="BZ20" s="16" t="n">
        <v>0.02</v>
      </c>
      <c r="CA20" s="16" t="n">
        <f aca="false">0.000698426/CA32</f>
        <v>0.001703478049</v>
      </c>
      <c r="CB20" s="16" t="n">
        <v>0.011221</v>
      </c>
      <c r="CC20" s="16" t="n">
        <v>1.29</v>
      </c>
      <c r="CD20" s="16" t="n">
        <v>0.07</v>
      </c>
      <c r="CE20" s="16" t="n">
        <v>1.09</v>
      </c>
      <c r="CF20" s="16" t="n">
        <v>0.03</v>
      </c>
      <c r="CG20" s="16" t="n">
        <f aca="false">0.015778/CG32</f>
        <v>0.02161369863</v>
      </c>
      <c r="CH20" s="16" t="n">
        <f aca="false">0.009297/CH33</f>
        <v>0.01093764706</v>
      </c>
      <c r="CI20" s="16" t="n">
        <v>0.02</v>
      </c>
      <c r="CJ20" s="16" t="n">
        <v>0.02</v>
      </c>
      <c r="CK20" s="16" t="n">
        <v>0.31</v>
      </c>
      <c r="CL20" s="16" t="n">
        <v>0.00656</v>
      </c>
      <c r="CM20" s="16" t="n">
        <v>0.05</v>
      </c>
      <c r="CN20" s="16" t="n">
        <v>0.06</v>
      </c>
      <c r="CO20" s="16" t="n">
        <v>0.04</v>
      </c>
      <c r="CP20" s="16" t="n">
        <v>0.02</v>
      </c>
      <c r="CQ20" s="16" t="n">
        <v>0.003561781</v>
      </c>
      <c r="CR20" s="16" t="n">
        <v>0.06</v>
      </c>
      <c r="CS20" s="110" t="n">
        <f aca="false">CR20/0.49</f>
        <v>0.122448979591837</v>
      </c>
      <c r="CT20" s="16" t="n">
        <v>0.17</v>
      </c>
      <c r="CU20" s="16" t="n">
        <v>0.057903</v>
      </c>
      <c r="CV20" s="16" t="n">
        <v>0.04</v>
      </c>
      <c r="CW20" s="16" t="n">
        <v>0.16</v>
      </c>
      <c r="CX20" s="16" t="n">
        <v>0.05</v>
      </c>
      <c r="CY20" s="16" t="n">
        <v>1.41</v>
      </c>
      <c r="CZ20" s="16" t="n">
        <v>0.28</v>
      </c>
      <c r="DA20" s="16" t="n">
        <v>0.01</v>
      </c>
      <c r="DB20" s="16" t="n">
        <v>0.002979</v>
      </c>
      <c r="DC20" s="16" t="n">
        <v>0.03</v>
      </c>
      <c r="DD20" s="16" t="n">
        <v>0.06</v>
      </c>
      <c r="DE20" s="16" t="n">
        <v>3.07</v>
      </c>
      <c r="DF20" s="15" t="n">
        <v>0.012914090100601</v>
      </c>
      <c r="DG20" s="11" t="n">
        <v>0.0303260927496746</v>
      </c>
      <c r="DH20" s="16" t="n">
        <v>0.03</v>
      </c>
      <c r="DI20" s="16" t="n">
        <v>0.04</v>
      </c>
      <c r="DJ20" s="16" t="n">
        <f aca="false">0.004952/DJ33</f>
        <v>0.01131885714</v>
      </c>
      <c r="DK20" s="16" t="n">
        <v>0.15</v>
      </c>
      <c r="DL20" s="16" t="n">
        <v>0.08</v>
      </c>
      <c r="DM20" s="16" t="n">
        <f aca="false">0.003036/DM33</f>
        <v>0.00497704918</v>
      </c>
      <c r="DN20" s="16" t="n">
        <v>0.76</v>
      </c>
      <c r="DO20" s="16" t="n">
        <v>0.05</v>
      </c>
      <c r="DP20" s="16" t="n">
        <v>0.022006</v>
      </c>
      <c r="DQ20" s="16" t="n">
        <v>0.5</v>
      </c>
      <c r="DR20" s="16" t="n">
        <v>0.02824286</v>
      </c>
      <c r="DS20" s="16" t="n">
        <v>0.04</v>
      </c>
      <c r="DT20" s="16" t="n">
        <v>0.02</v>
      </c>
      <c r="DU20" s="16" t="n">
        <v>0.04</v>
      </c>
      <c r="DV20" s="16" t="n">
        <v>0.04</v>
      </c>
      <c r="DW20" s="15" t="n">
        <v>0.0176102969110261</v>
      </c>
      <c r="DX20" s="16" t="n">
        <v>1.17</v>
      </c>
      <c r="DY20" s="16" t="n">
        <v>1.35</v>
      </c>
      <c r="DZ20" s="16" t="n">
        <v>0.077521531</v>
      </c>
    </row>
    <row r="21" customFormat="false" ht="15" hidden="false" customHeight="false" outlineLevel="0" collapsed="false">
      <c r="A21" s="13" t="n">
        <v>2008</v>
      </c>
      <c r="B21" s="16" t="n">
        <v>0.005003598</v>
      </c>
      <c r="C21" s="16" t="n">
        <v>0.003258</v>
      </c>
      <c r="D21" s="16" t="n">
        <v>0.24</v>
      </c>
      <c r="E21" s="16" t="n">
        <v>0.03</v>
      </c>
      <c r="F21" s="16" t="n">
        <v>0.01</v>
      </c>
      <c r="G21" s="16" t="n">
        <v>0.01</v>
      </c>
      <c r="H21" s="15" t="n">
        <f aca="false">0.0122249004033733/H33</f>
        <v>0.0152811255</v>
      </c>
      <c r="I21" s="16" t="n">
        <v>0.02</v>
      </c>
      <c r="J21" s="16" t="n">
        <v>0.24</v>
      </c>
      <c r="K21" s="16" t="n">
        <v>0.001535225</v>
      </c>
      <c r="L21" s="16" t="n">
        <v>0.12</v>
      </c>
      <c r="M21" s="16" t="n">
        <v>0.04</v>
      </c>
      <c r="N21" s="16" t="n">
        <v>0.0270110893879069</v>
      </c>
      <c r="O21" s="16" t="n">
        <v>0.08</v>
      </c>
      <c r="P21" s="16" t="n">
        <v>0.09</v>
      </c>
      <c r="Q21" s="111" t="n">
        <f aca="false">0.005838616/Q33</f>
        <v>0.01448788089</v>
      </c>
      <c r="R21" s="16" t="n">
        <v>0.03</v>
      </c>
      <c r="S21" s="16" t="n">
        <v>1.45</v>
      </c>
      <c r="T21" s="16" t="n">
        <v>0.04</v>
      </c>
      <c r="U21" s="15" t="n">
        <f aca="false">0.00344533472267156/U33</f>
        <v>0.01577180219</v>
      </c>
      <c r="V21" s="16" t="n">
        <v>0.05</v>
      </c>
      <c r="W21" s="16" t="n">
        <v>0.04</v>
      </c>
      <c r="X21" s="16" t="n">
        <v>0.03</v>
      </c>
      <c r="Y21" s="16" t="n">
        <v>0.42</v>
      </c>
      <c r="Z21" s="16" t="n">
        <f aca="false">0.015731/Z33</f>
        <v>0.01991265823</v>
      </c>
      <c r="AA21" s="16" t="n">
        <v>0.06</v>
      </c>
      <c r="AB21" s="16" t="n">
        <v>0.29</v>
      </c>
      <c r="AC21" s="16" t="n">
        <v>0.18</v>
      </c>
      <c r="AD21" s="16" t="n">
        <v>0.02</v>
      </c>
      <c r="AE21" s="16"/>
      <c r="AF21" s="15" t="n">
        <v>0.04</v>
      </c>
      <c r="AG21" s="16" t="n">
        <v>0.23</v>
      </c>
      <c r="AH21" s="16" t="n">
        <v>0.03</v>
      </c>
      <c r="AI21" s="16" t="n">
        <v>0.02</v>
      </c>
      <c r="AJ21" s="16" t="n">
        <v>0.26</v>
      </c>
      <c r="AK21" s="16" t="n">
        <v>0.07</v>
      </c>
      <c r="AL21" s="16" t="n">
        <f aca="false">0.011274466/AL33</f>
        <v>0.01326407765</v>
      </c>
      <c r="AM21" s="16" t="n">
        <v>0.1</v>
      </c>
      <c r="AN21" s="16" t="n">
        <v>0.05</v>
      </c>
      <c r="AO21" s="16" t="n">
        <v>0.02</v>
      </c>
      <c r="AP21" s="16"/>
      <c r="AQ21" s="112" t="n">
        <v>0.04</v>
      </c>
      <c r="AR21" s="112" t="n">
        <v>0.79</v>
      </c>
      <c r="AS21" s="112" t="n">
        <v>0.01</v>
      </c>
      <c r="AT21" s="112" t="n">
        <v>0.053381</v>
      </c>
      <c r="AU21" s="16" t="n">
        <v>0.02</v>
      </c>
      <c r="AV21" s="16" t="n">
        <v>0.0240911719749126</v>
      </c>
      <c r="AW21" s="16" t="n">
        <v>0.27</v>
      </c>
      <c r="AX21" s="16" t="n">
        <v>0.19</v>
      </c>
      <c r="AY21" s="16" t="n">
        <v>0.03</v>
      </c>
      <c r="AZ21" s="16" t="n">
        <v>0.14</v>
      </c>
      <c r="BA21" s="16" t="n">
        <v>0.02</v>
      </c>
      <c r="BB21" s="16" t="n">
        <v>0.05</v>
      </c>
      <c r="BC21" s="16" t="n">
        <v>0.15</v>
      </c>
      <c r="BD21" s="16" t="n">
        <v>0.12</v>
      </c>
      <c r="BE21" s="16" t="n">
        <v>0.07</v>
      </c>
      <c r="BF21" s="16" t="n">
        <v>0.02</v>
      </c>
      <c r="BG21" s="16" t="n">
        <v>0.02</v>
      </c>
      <c r="BH21" s="16" t="n">
        <v>0.05</v>
      </c>
      <c r="BI21" s="16" t="n">
        <v>0.01</v>
      </c>
      <c r="BJ21" s="16" t="n">
        <v>0.018527455</v>
      </c>
      <c r="BK21" s="15" t="n">
        <v>0.02</v>
      </c>
      <c r="BL21" s="16" t="n">
        <v>0.11</v>
      </c>
      <c r="BM21" s="16" t="n">
        <v>0.02</v>
      </c>
      <c r="BN21" s="16" t="n">
        <v>0.42</v>
      </c>
      <c r="BO21" s="16" t="n">
        <v>0.03</v>
      </c>
      <c r="BP21" s="16" t="n">
        <v>0.036839</v>
      </c>
      <c r="BQ21" s="16"/>
      <c r="BR21" s="16" t="n">
        <v>2.57</v>
      </c>
      <c r="BS21" s="16" t="n">
        <v>0.06</v>
      </c>
      <c r="BT21" s="16" t="n">
        <v>0.02</v>
      </c>
      <c r="BU21" s="16" t="n">
        <v>0.82</v>
      </c>
      <c r="BV21" s="16" t="n">
        <v>0.06</v>
      </c>
      <c r="BW21" s="16" t="n">
        <v>0.12</v>
      </c>
      <c r="BX21" s="16" t="n">
        <v>0.05</v>
      </c>
      <c r="BY21" s="16" t="n">
        <v>0.08</v>
      </c>
      <c r="BZ21" s="16" t="n">
        <v>0.02</v>
      </c>
      <c r="CA21" s="16" t="n">
        <f aca="false">0.000813407/CA32</f>
        <v>0.001983919512</v>
      </c>
      <c r="CB21" s="16" t="n">
        <v>0.010513</v>
      </c>
      <c r="CC21" s="16" t="n">
        <v>1.22</v>
      </c>
      <c r="CD21" s="16" t="n">
        <v>0.07</v>
      </c>
      <c r="CE21" s="16" t="n">
        <v>0.96</v>
      </c>
      <c r="CF21" s="16" t="n">
        <v>0.02</v>
      </c>
      <c r="CG21" s="16" t="n">
        <f aca="false">0.016909/CG32</f>
        <v>0.0231630137</v>
      </c>
      <c r="CH21" s="16" t="n">
        <f aca="false">0.010791/CH33</f>
        <v>0.01269529412</v>
      </c>
      <c r="CI21" s="16" t="n">
        <v>0.02</v>
      </c>
      <c r="CJ21" s="16" t="n">
        <v>0.02</v>
      </c>
      <c r="CK21" s="16" t="n">
        <v>0.3</v>
      </c>
      <c r="CL21" s="16" t="n">
        <v>0.0076</v>
      </c>
      <c r="CM21" s="16" t="n">
        <v>0.05</v>
      </c>
      <c r="CN21" s="16" t="n">
        <v>0.05</v>
      </c>
      <c r="CO21" s="16" t="n">
        <v>0.04</v>
      </c>
      <c r="CP21" s="16" t="n">
        <v>0.02</v>
      </c>
      <c r="CQ21" s="16" t="n">
        <v>0.00471391</v>
      </c>
      <c r="CR21" s="16" t="n">
        <v>0.06</v>
      </c>
      <c r="CS21" s="12"/>
      <c r="CT21" s="16" t="n">
        <v>0.17</v>
      </c>
      <c r="CU21" s="16" t="n">
        <v>0.054052</v>
      </c>
      <c r="CV21" s="16" t="n">
        <v>0.03</v>
      </c>
      <c r="CW21" s="16" t="n">
        <v>0.13</v>
      </c>
      <c r="CX21" s="16" t="n">
        <v>0.05</v>
      </c>
      <c r="CY21" s="16" t="n">
        <v>1.33</v>
      </c>
      <c r="CZ21" s="16" t="n">
        <v>0.28</v>
      </c>
      <c r="DA21" s="16" t="n">
        <v>0.01</v>
      </c>
      <c r="DB21" s="16" t="n">
        <v>0.003141</v>
      </c>
      <c r="DC21" s="16" t="n">
        <v>0.03</v>
      </c>
      <c r="DD21" s="16" t="n">
        <v>0.06</v>
      </c>
      <c r="DE21" s="16" t="n">
        <v>3.01</v>
      </c>
      <c r="DF21" s="15" t="n">
        <v>0.0111367858467451</v>
      </c>
      <c r="DG21" s="11" t="n">
        <v>0.0302379505571543</v>
      </c>
      <c r="DH21" s="16" t="n">
        <v>0.04</v>
      </c>
      <c r="DI21" s="16" t="n">
        <v>0.04</v>
      </c>
      <c r="DJ21" s="16" t="n">
        <f aca="false">0.005639/DJ33</f>
        <v>0.01288914286</v>
      </c>
      <c r="DK21" s="16" t="n">
        <v>0.12</v>
      </c>
      <c r="DL21" s="16" t="n">
        <v>0.08</v>
      </c>
      <c r="DM21" s="16" t="n">
        <f aca="false">0.003399/DM33</f>
        <v>0.005572131148</v>
      </c>
      <c r="DN21" s="16" t="n">
        <v>0.8</v>
      </c>
      <c r="DO21" s="16" t="n">
        <v>0.04</v>
      </c>
      <c r="DP21" s="16" t="n">
        <v>0.021207</v>
      </c>
      <c r="DQ21" s="16" t="n">
        <v>0.46</v>
      </c>
      <c r="DR21" s="16" t="n">
        <v>0.0279143</v>
      </c>
      <c r="DS21" s="16" t="n">
        <v>0.04</v>
      </c>
      <c r="DT21" s="16" t="s">
        <v>473</v>
      </c>
      <c r="DU21" s="16" t="n">
        <v>0.04</v>
      </c>
      <c r="DV21" s="16" t="n">
        <v>0.04</v>
      </c>
      <c r="DW21" s="15" t="n">
        <v>0.0163990105449448</v>
      </c>
      <c r="DX21" s="16" t="n">
        <v>1.13</v>
      </c>
      <c r="DY21" s="16" t="n">
        <v>1.34</v>
      </c>
      <c r="DZ21" s="16" t="n">
        <v>0.072127802</v>
      </c>
    </row>
    <row r="22" customFormat="false" ht="15" hidden="false" customHeight="false" outlineLevel="0" collapsed="false">
      <c r="A22" s="13" t="n">
        <v>2009</v>
      </c>
      <c r="B22" s="16" t="n">
        <v>0.005176671</v>
      </c>
      <c r="C22" s="16" t="n">
        <v>0.004025</v>
      </c>
      <c r="D22" s="16" t="n">
        <v>0.24</v>
      </c>
      <c r="E22" s="16" t="n">
        <v>0.03</v>
      </c>
      <c r="F22" s="16" t="n">
        <v>0.01</v>
      </c>
      <c r="G22" s="16" t="n">
        <v>0.01</v>
      </c>
      <c r="H22" s="15" t="n">
        <f aca="false">0.0123102324254436/H33</f>
        <v>0.01538779053</v>
      </c>
      <c r="I22" s="16" t="n">
        <v>0.02</v>
      </c>
      <c r="J22" s="16" t="n">
        <v>0.23</v>
      </c>
      <c r="K22" s="16" t="n">
        <v>0.001505773</v>
      </c>
      <c r="L22" s="16" t="n">
        <v>0.12</v>
      </c>
      <c r="M22" s="16" t="n">
        <v>0.04</v>
      </c>
      <c r="N22" s="16" t="n">
        <v>0.027931262643091</v>
      </c>
      <c r="O22" s="16" t="n">
        <v>0.08</v>
      </c>
      <c r="P22" s="16" t="n">
        <v>0.09</v>
      </c>
      <c r="Q22" s="111" t="n">
        <f aca="false">0.005892353/Q33</f>
        <v>0.01462122333</v>
      </c>
      <c r="R22" s="16" t="n">
        <v>0.03</v>
      </c>
      <c r="S22" s="16" t="n">
        <v>1.35</v>
      </c>
      <c r="T22" s="16" t="n">
        <v>0.04</v>
      </c>
      <c r="U22" s="15" t="n">
        <f aca="false">0.00486220344824057/U33</f>
        <v>0.02225784058</v>
      </c>
      <c r="V22" s="16" t="n">
        <v>0.05</v>
      </c>
      <c r="W22" s="16" t="n">
        <v>0.04</v>
      </c>
      <c r="X22" s="16" t="n">
        <v>0.02</v>
      </c>
      <c r="Y22" s="16" t="n">
        <v>0.41</v>
      </c>
      <c r="Z22" s="16" t="n">
        <f aca="false">0.014337/Z33</f>
        <v>0.01814810127</v>
      </c>
      <c r="AA22" s="16" t="n">
        <v>0.05</v>
      </c>
      <c r="AB22" s="16" t="n">
        <v>0.28</v>
      </c>
      <c r="AC22" s="16" t="n">
        <v>0.16</v>
      </c>
      <c r="AD22" s="16" t="n">
        <v>0.02</v>
      </c>
      <c r="AE22" s="16" t="n">
        <v>0.004858786</v>
      </c>
      <c r="AF22" s="15" t="n">
        <v>0.04</v>
      </c>
      <c r="AG22" s="16" t="n">
        <v>0.2</v>
      </c>
      <c r="AH22" s="16" t="n">
        <v>0.03</v>
      </c>
      <c r="AI22" s="16" t="n">
        <v>0.02</v>
      </c>
      <c r="AJ22" s="16" t="n">
        <v>0.28</v>
      </c>
      <c r="AK22" s="16" t="n">
        <v>0.06</v>
      </c>
      <c r="AL22" s="16" t="n">
        <f aca="false">0.009302322/AL33</f>
        <v>0.01094390824</v>
      </c>
      <c r="AM22" s="16" t="n">
        <v>0.1</v>
      </c>
      <c r="AN22" s="16" t="n">
        <v>0.04</v>
      </c>
      <c r="AO22" s="16" t="n">
        <v>0.02</v>
      </c>
      <c r="AP22" s="16"/>
      <c r="AQ22" s="112" t="n">
        <v>0.04</v>
      </c>
      <c r="AR22" s="112" t="n">
        <v>0.65</v>
      </c>
      <c r="AS22" s="112" t="n">
        <v>0.01</v>
      </c>
      <c r="AT22" s="112" t="n">
        <v>0.04862</v>
      </c>
      <c r="AU22" s="16" t="n">
        <v>0.02</v>
      </c>
      <c r="AV22" s="16" t="n">
        <v>0.022868422157197</v>
      </c>
      <c r="AW22" s="16" t="n">
        <v>0.24</v>
      </c>
      <c r="AX22" s="16" t="n">
        <v>0.18</v>
      </c>
      <c r="AY22" s="16" t="n">
        <v>0.03</v>
      </c>
      <c r="AZ22" s="16" t="n">
        <v>0.13</v>
      </c>
      <c r="BA22" s="16" t="n">
        <v>0.02</v>
      </c>
      <c r="BB22" s="16" t="n">
        <v>0.05</v>
      </c>
      <c r="BC22" s="16" t="n">
        <v>0.14</v>
      </c>
      <c r="BD22" s="16" t="n">
        <v>0.12</v>
      </c>
      <c r="BE22" s="16" t="n">
        <v>0.05</v>
      </c>
      <c r="BF22" s="16" t="n">
        <v>0.02</v>
      </c>
      <c r="BG22" s="16" t="n">
        <v>0.01</v>
      </c>
      <c r="BH22" s="16" t="n">
        <v>0.05</v>
      </c>
      <c r="BI22" s="16" t="n">
        <v>0.01</v>
      </c>
      <c r="BJ22" s="16" t="n">
        <v>0.017825501</v>
      </c>
      <c r="BK22" s="15" t="n">
        <v>0.02</v>
      </c>
      <c r="BL22" s="16" t="n">
        <v>0.11</v>
      </c>
      <c r="BM22" s="16" t="n">
        <v>0.02</v>
      </c>
      <c r="BN22" s="16" t="n">
        <v>0.43</v>
      </c>
      <c r="BO22" s="16" t="n">
        <v>0.03</v>
      </c>
      <c r="BP22" s="16" t="n">
        <v>0.033602</v>
      </c>
      <c r="BQ22" s="16"/>
      <c r="BR22" s="16" t="n">
        <v>2.3</v>
      </c>
      <c r="BS22" s="16" t="n">
        <v>0.06</v>
      </c>
      <c r="BT22" s="16" t="n">
        <v>0.02</v>
      </c>
      <c r="BU22" s="16" t="n">
        <v>0.74</v>
      </c>
      <c r="BV22" s="16" t="n">
        <v>0.05</v>
      </c>
      <c r="BW22" s="16" t="n">
        <v>0.12</v>
      </c>
      <c r="BX22" s="16" t="n">
        <v>0.04</v>
      </c>
      <c r="BY22" s="16" t="n">
        <v>0.08</v>
      </c>
      <c r="BZ22" s="16" t="n">
        <v>0.02</v>
      </c>
      <c r="CA22" s="16" t="n">
        <f aca="false">0.000803272/CA32</f>
        <v>0.0019592</v>
      </c>
      <c r="CB22" s="16" t="n">
        <v>0.009826</v>
      </c>
      <c r="CC22" s="16" t="n">
        <v>1.16</v>
      </c>
      <c r="CD22" s="16" t="n">
        <v>0.06</v>
      </c>
      <c r="CE22" s="16" t="n">
        <v>0.94</v>
      </c>
      <c r="CF22" s="16" t="n">
        <v>0.02</v>
      </c>
      <c r="CG22" s="16" t="n">
        <f aca="false">0.015507/CG32</f>
        <v>0.02124246575</v>
      </c>
      <c r="CH22" s="16" t="n">
        <f aca="false">0.00942/CH33</f>
        <v>0.01108235294</v>
      </c>
      <c r="CI22" s="16" t="n">
        <v>0.02</v>
      </c>
      <c r="CJ22" s="16" t="n">
        <v>0.02</v>
      </c>
      <c r="CK22" s="16" t="n">
        <v>0.29</v>
      </c>
      <c r="CL22" s="16" t="n">
        <v>0.010823</v>
      </c>
      <c r="CM22" s="16" t="n">
        <v>0.05</v>
      </c>
      <c r="CN22" s="16" t="n">
        <v>0.05</v>
      </c>
      <c r="CO22" s="16" t="n">
        <v>0.04</v>
      </c>
      <c r="CP22" s="16" t="n">
        <v>0.02</v>
      </c>
      <c r="CQ22" s="16" t="n">
        <v>0.00655452</v>
      </c>
      <c r="CR22" s="16" t="n">
        <v>0.07</v>
      </c>
      <c r="CS22" s="12"/>
      <c r="CT22" s="16" t="n">
        <v>0.16</v>
      </c>
      <c r="CU22" s="16" t="n">
        <v>0.035718</v>
      </c>
      <c r="CV22" s="16" t="n">
        <v>0.02</v>
      </c>
      <c r="CW22" s="16" t="n">
        <v>0.11</v>
      </c>
      <c r="CX22" s="16" t="n">
        <v>0.05</v>
      </c>
      <c r="CY22" s="16" t="n">
        <v>1.3</v>
      </c>
      <c r="CZ22" s="16" t="n">
        <v>0.26</v>
      </c>
      <c r="DA22" s="16" t="n">
        <v>0.01</v>
      </c>
      <c r="DB22" s="16" t="n">
        <v>0.002853</v>
      </c>
      <c r="DC22" s="16" t="n">
        <v>0.03</v>
      </c>
      <c r="DD22" s="16" t="n">
        <v>0.06</v>
      </c>
      <c r="DE22" s="16" t="n">
        <v>2.99</v>
      </c>
      <c r="DF22" s="15" t="n">
        <v>0.011140629903105</v>
      </c>
      <c r="DG22" s="11" t="n">
        <v>0.0256807703232139</v>
      </c>
      <c r="DH22" s="16" t="n">
        <v>0.04</v>
      </c>
      <c r="DI22" s="16" t="n">
        <v>0.03</v>
      </c>
      <c r="DJ22" s="16" t="n">
        <f aca="false">0.010496/DJ33</f>
        <v>0.02399085714</v>
      </c>
      <c r="DK22" s="16" t="n">
        <v>0.11</v>
      </c>
      <c r="DL22" s="16" t="n">
        <v>0.07</v>
      </c>
      <c r="DM22" s="16" t="n">
        <f aca="false">0.00376/DM33</f>
        <v>0.006163934426</v>
      </c>
      <c r="DN22" s="16" t="n">
        <v>0.82</v>
      </c>
      <c r="DO22" s="16" t="n">
        <v>0.04</v>
      </c>
      <c r="DP22" s="16" t="n">
        <v>0.018969</v>
      </c>
      <c r="DQ22" s="16" t="n">
        <v>0.39</v>
      </c>
      <c r="DR22" s="16" t="n">
        <v>0.0267143</v>
      </c>
      <c r="DS22" s="16" t="n">
        <v>0.03</v>
      </c>
      <c r="DT22" s="16" t="s">
        <v>473</v>
      </c>
      <c r="DU22" s="16" t="n">
        <v>0.04</v>
      </c>
      <c r="DV22" s="16" t="n">
        <v>0.04</v>
      </c>
      <c r="DW22" s="15" t="n">
        <v>0.0207623563801539</v>
      </c>
      <c r="DX22" s="16" t="n">
        <v>1.06</v>
      </c>
      <c r="DY22" s="16" t="n">
        <v>1.34</v>
      </c>
      <c r="DZ22" s="16" t="n">
        <v>0.071024547</v>
      </c>
    </row>
    <row r="23" customFormat="false" ht="15" hidden="false" customHeight="false" outlineLevel="0" collapsed="false">
      <c r="A23" s="13" t="n">
        <v>2010</v>
      </c>
      <c r="B23" s="16" t="n">
        <v>0.005458984</v>
      </c>
      <c r="C23" s="16" t="n">
        <v>0.004057</v>
      </c>
      <c r="D23" s="16" t="n">
        <v>0.23</v>
      </c>
      <c r="E23" s="16" t="n">
        <v>0.03</v>
      </c>
      <c r="F23" s="16" t="n">
        <v>0.01</v>
      </c>
      <c r="G23" s="16" t="n">
        <v>0.01</v>
      </c>
      <c r="H23" s="15" t="n">
        <f aca="false">0.0118845359979423/H33</f>
        <v>0.01485567</v>
      </c>
      <c r="I23" s="16" t="n">
        <v>0.02</v>
      </c>
      <c r="J23" s="16" t="n">
        <v>0.23</v>
      </c>
      <c r="K23" s="16" t="n">
        <v>0.001502826</v>
      </c>
      <c r="L23" s="16" t="n">
        <v>0.12</v>
      </c>
      <c r="M23" s="16" t="n">
        <v>0.05</v>
      </c>
      <c r="N23" s="16" t="n">
        <v>0.0294763910346892</v>
      </c>
      <c r="O23" s="16" t="n">
        <v>0.08</v>
      </c>
      <c r="P23" s="16" t="n">
        <v>0.08</v>
      </c>
      <c r="Q23" s="111" t="n">
        <f aca="false">0.006792988/Q33</f>
        <v>0.01685604963</v>
      </c>
      <c r="R23" s="16" t="n">
        <v>0.03</v>
      </c>
      <c r="S23" s="16" t="n">
        <v>1.32</v>
      </c>
      <c r="T23" s="16" t="n">
        <v>0.04</v>
      </c>
      <c r="U23" s="15" t="n">
        <f aca="false">0.00470588099433244/U33</f>
        <v>0.02154223904</v>
      </c>
      <c r="V23" s="16" t="n">
        <v>0.05</v>
      </c>
      <c r="W23" s="16" t="n">
        <v>0.03</v>
      </c>
      <c r="X23" s="16" t="n">
        <v>0.02</v>
      </c>
      <c r="Y23" s="16" t="n">
        <v>0.4</v>
      </c>
      <c r="Z23" s="16" t="n">
        <f aca="false">0.013908/Z33</f>
        <v>0.01760506329</v>
      </c>
      <c r="AA23" s="16" t="n">
        <v>0.05</v>
      </c>
      <c r="AB23" s="16" t="n">
        <v>0.27</v>
      </c>
      <c r="AC23" s="16" t="n">
        <v>0.14</v>
      </c>
      <c r="AD23" s="16" t="n">
        <v>0.02</v>
      </c>
      <c r="AE23" s="16"/>
      <c r="AF23" s="15" t="n">
        <v>0.04</v>
      </c>
      <c r="AG23" s="16" t="n">
        <v>0.17</v>
      </c>
      <c r="AH23" s="16" t="n">
        <v>0.03</v>
      </c>
      <c r="AI23" s="16" t="n">
        <v>0.03</v>
      </c>
      <c r="AJ23" s="16" t="n">
        <v>0.21</v>
      </c>
      <c r="AK23" s="16" t="n">
        <v>0.05</v>
      </c>
      <c r="AL23" s="16" t="n">
        <f aca="false">0.010814497/AL33</f>
        <v>0.01272293765</v>
      </c>
      <c r="AM23" s="16" t="n">
        <v>0.11</v>
      </c>
      <c r="AN23" s="16" t="n">
        <v>0.04</v>
      </c>
      <c r="AO23" s="16" t="n">
        <v>0.02</v>
      </c>
      <c r="AP23" s="16"/>
      <c r="AQ23" s="112" t="n">
        <v>0.03</v>
      </c>
      <c r="AR23" s="112" t="n">
        <v>0.47</v>
      </c>
      <c r="AS23" s="112" t="n">
        <v>0.02</v>
      </c>
      <c r="AT23" s="112"/>
      <c r="AU23" s="16" t="n">
        <v>0.02</v>
      </c>
      <c r="AV23" s="16" t="n">
        <v>0.023281891084974</v>
      </c>
      <c r="AW23" s="16" t="n">
        <v>0.21</v>
      </c>
      <c r="AX23" s="16" t="n">
        <v>0.16</v>
      </c>
      <c r="AY23" s="16" t="n">
        <v>0.04</v>
      </c>
      <c r="AZ23" s="16" t="n">
        <v>0.12</v>
      </c>
      <c r="BA23" s="16" t="n">
        <v>0.02</v>
      </c>
      <c r="BB23" s="16" t="n">
        <v>0.04</v>
      </c>
      <c r="BC23" s="16" t="n">
        <v>0.14</v>
      </c>
      <c r="BD23" s="16" t="n">
        <v>0.11</v>
      </c>
      <c r="BE23" s="16" t="n">
        <v>0.03</v>
      </c>
      <c r="BF23" s="16" t="n">
        <v>0.02</v>
      </c>
      <c r="BG23" s="16" t="n">
        <v>0.01</v>
      </c>
      <c r="BH23" s="16" t="n">
        <v>0.05</v>
      </c>
      <c r="BI23" s="16" t="n">
        <v>0.01</v>
      </c>
      <c r="BJ23" s="16" t="n">
        <v>0.01970348</v>
      </c>
      <c r="BK23" s="15" t="n">
        <v>0.02</v>
      </c>
      <c r="BL23" s="16" t="n">
        <v>0.11</v>
      </c>
      <c r="BM23" s="16" t="n">
        <v>0.02</v>
      </c>
      <c r="BN23" s="16" t="n">
        <v>0.41</v>
      </c>
      <c r="BO23" s="16" t="n">
        <v>0.03</v>
      </c>
      <c r="BP23" s="16" t="n">
        <v>0.032113</v>
      </c>
      <c r="BQ23" s="16"/>
      <c r="BR23" s="16" t="n">
        <v>2.15</v>
      </c>
      <c r="BS23" s="16" t="n">
        <v>0.05</v>
      </c>
      <c r="BT23" s="16" t="n">
        <v>0.03</v>
      </c>
      <c r="BU23" s="16" t="n">
        <v>0.68</v>
      </c>
      <c r="BV23" s="16" t="n">
        <v>0.05</v>
      </c>
      <c r="BW23" s="16" t="n">
        <v>0.11</v>
      </c>
      <c r="BX23" s="16" t="n">
        <v>0.04</v>
      </c>
      <c r="BY23" s="16" t="n">
        <v>0.07</v>
      </c>
      <c r="BZ23" s="16" t="n">
        <v>0.02</v>
      </c>
      <c r="CA23" s="16" t="n">
        <f aca="false">0.001283501/CA32</f>
        <v>0.003130490244</v>
      </c>
      <c r="CB23" s="16" t="n">
        <v>0.009733</v>
      </c>
      <c r="CC23" s="16" t="n">
        <v>1.09</v>
      </c>
      <c r="CD23" s="16" t="n">
        <v>0.05</v>
      </c>
      <c r="CE23" s="16" t="n">
        <v>0.82</v>
      </c>
      <c r="CF23" s="16" t="n">
        <v>0.02</v>
      </c>
      <c r="CG23" s="16" t="n">
        <f aca="false">0.015565/CG32</f>
        <v>0.02132191781</v>
      </c>
      <c r="CH23" s="16" t="n">
        <f aca="false">0.008714/CH33</f>
        <v>0.01025176471</v>
      </c>
      <c r="CI23" s="16" t="n">
        <v>0.02</v>
      </c>
      <c r="CJ23" s="16" t="n">
        <v>0.02</v>
      </c>
      <c r="CK23" s="16" t="n">
        <v>0.28</v>
      </c>
      <c r="CL23" s="16" t="n">
        <v>0.01147</v>
      </c>
      <c r="CM23" s="16" t="n">
        <v>0.05</v>
      </c>
      <c r="CN23" s="16" t="n">
        <v>0.05</v>
      </c>
      <c r="CO23" s="16" t="n">
        <v>0.04</v>
      </c>
      <c r="CP23" s="16" t="n">
        <v>0.02</v>
      </c>
      <c r="CQ23" s="16" t="n">
        <v>0.008585148</v>
      </c>
      <c r="CR23" s="16" t="n">
        <v>0.07</v>
      </c>
      <c r="CS23" s="12"/>
      <c r="CT23" s="16" t="n">
        <v>0.16</v>
      </c>
      <c r="CU23" s="16"/>
      <c r="CV23" s="16" t="n">
        <v>0.01</v>
      </c>
      <c r="CW23" s="16" t="n">
        <v>0.1</v>
      </c>
      <c r="CX23" s="16" t="n">
        <v>0.05</v>
      </c>
      <c r="CY23" s="16" t="n">
        <v>1.38</v>
      </c>
      <c r="CZ23" s="16" t="n">
        <v>0.25</v>
      </c>
      <c r="DA23" s="16" t="n">
        <v>0.01</v>
      </c>
      <c r="DB23" s="16" t="n">
        <v>0.002781</v>
      </c>
      <c r="DC23" s="16" t="n">
        <v>0.03</v>
      </c>
      <c r="DD23" s="16" t="n">
        <v>0.06</v>
      </c>
      <c r="DE23" s="16" t="n">
        <v>3.09</v>
      </c>
      <c r="DF23" s="15" t="n">
        <v>0.0117125735476575</v>
      </c>
      <c r="DG23" s="11" t="n">
        <v>0.0236286167591381</v>
      </c>
      <c r="DH23" s="16" t="n">
        <v>0.04</v>
      </c>
      <c r="DI23" s="16" t="n">
        <v>0.03</v>
      </c>
      <c r="DJ23" s="16" t="n">
        <f aca="false">0.010631/DJ33</f>
        <v>0.02429942857</v>
      </c>
      <c r="DK23" s="16" t="n">
        <v>0.11</v>
      </c>
      <c r="DL23" s="16" t="n">
        <v>0.07</v>
      </c>
      <c r="DM23" s="16" t="n">
        <f aca="false">0.004529/DM33</f>
        <v>0.007424590164</v>
      </c>
      <c r="DN23" s="16" t="n">
        <v>0.78</v>
      </c>
      <c r="DO23" s="16" t="n">
        <v>0.04</v>
      </c>
      <c r="DP23" s="16" t="n">
        <v>0.017939</v>
      </c>
      <c r="DQ23" s="16" t="n">
        <v>0.36</v>
      </c>
      <c r="DR23" s="16" t="n">
        <v>0.0250429</v>
      </c>
      <c r="DS23" s="16" t="n">
        <v>0.03</v>
      </c>
      <c r="DT23" s="16" t="s">
        <v>473</v>
      </c>
      <c r="DU23" s="16" t="n">
        <v>0.04</v>
      </c>
      <c r="DV23" s="16" t="n">
        <v>0.04</v>
      </c>
      <c r="DW23" s="15" t="n">
        <v>0.0222224417961292</v>
      </c>
      <c r="DX23" s="16" t="n">
        <v>1.08</v>
      </c>
      <c r="DY23" s="16" t="n">
        <v>1.22</v>
      </c>
      <c r="DZ23" s="16" t="n">
        <v>0.066454108</v>
      </c>
    </row>
    <row r="24" customFormat="false" ht="15" hidden="false" customHeight="false" outlineLevel="0" collapsed="false">
      <c r="A24" s="13" t="n">
        <v>2011</v>
      </c>
      <c r="B24" s="16" t="n">
        <v>0.005638846</v>
      </c>
      <c r="C24" s="16" t="n">
        <v>0.003726</v>
      </c>
      <c r="D24" s="16" t="n">
        <v>0.22</v>
      </c>
      <c r="E24" s="16" t="n">
        <v>0.02</v>
      </c>
      <c r="F24" s="16" t="n">
        <v>0.01</v>
      </c>
      <c r="G24" s="16" t="n">
        <v>0.01</v>
      </c>
      <c r="H24" s="15" t="n">
        <f aca="false">0.0128690664411516/H33</f>
        <v>0.01608633305</v>
      </c>
      <c r="I24" s="16" t="n">
        <v>0.02</v>
      </c>
      <c r="J24" s="16" t="n">
        <v>0.23</v>
      </c>
      <c r="K24" s="16" t="n">
        <v>0.001434591</v>
      </c>
      <c r="L24" s="16" t="n">
        <v>0.12</v>
      </c>
      <c r="M24" s="16" t="n">
        <v>0.05</v>
      </c>
      <c r="N24" s="16" t="n">
        <v>0.0289067736756495</v>
      </c>
      <c r="O24" s="16" t="n">
        <v>0.08</v>
      </c>
      <c r="P24" s="16" t="n">
        <v>0.07</v>
      </c>
      <c r="Q24" s="111" t="n">
        <f aca="false">0.009324357/Q33</f>
        <v>0.02313736228</v>
      </c>
      <c r="R24" s="16" t="n">
        <v>0.03</v>
      </c>
      <c r="S24" s="16" t="n">
        <v>1.26</v>
      </c>
      <c r="T24" s="16" t="n">
        <v>0.04</v>
      </c>
      <c r="U24" s="15" t="n">
        <f aca="false">0.00588485361646213/U33</f>
        <v>0.02693925399</v>
      </c>
      <c r="V24" s="16" t="n">
        <v>0.05</v>
      </c>
      <c r="W24" s="16" t="n">
        <v>0.03</v>
      </c>
      <c r="X24" s="16" t="n">
        <v>0.01</v>
      </c>
      <c r="Y24" s="16" t="n">
        <v>0.4</v>
      </c>
      <c r="Z24" s="16" t="n">
        <f aca="false">0.013383/Z33</f>
        <v>0.01694050633</v>
      </c>
      <c r="AA24" s="16" t="n">
        <v>0.05</v>
      </c>
      <c r="AB24" s="16" t="n">
        <v>0.28</v>
      </c>
      <c r="AC24" s="16" t="n">
        <v>0.12</v>
      </c>
      <c r="AD24" s="16" t="n">
        <v>0.02</v>
      </c>
      <c r="AE24" s="16" t="n">
        <v>0.004802868</v>
      </c>
      <c r="AF24" s="15" t="n">
        <v>0.04</v>
      </c>
      <c r="AG24" s="16" t="n">
        <v>0.16</v>
      </c>
      <c r="AH24" s="16" t="n">
        <v>0.03</v>
      </c>
      <c r="AI24" s="16" t="n">
        <v>0.03</v>
      </c>
      <c r="AJ24" s="16" t="n">
        <v>0.21</v>
      </c>
      <c r="AK24" s="16" t="n">
        <v>0.05</v>
      </c>
      <c r="AL24" s="16" t="n">
        <f aca="false">0.010452897/AL33</f>
        <v>0.01229752588</v>
      </c>
      <c r="AM24" s="16" t="n">
        <v>0.11</v>
      </c>
      <c r="AN24" s="16" t="n">
        <v>0.04</v>
      </c>
      <c r="AO24" s="16" t="n">
        <v>0.02</v>
      </c>
      <c r="AP24" s="16" t="n">
        <v>0.00248971695969617</v>
      </c>
      <c r="AQ24" s="112" t="n">
        <v>0.03</v>
      </c>
      <c r="AR24" s="112" t="n">
        <v>0.33</v>
      </c>
      <c r="AS24" s="112" t="n">
        <v>0.02</v>
      </c>
      <c r="AT24" s="112"/>
      <c r="AU24" s="16" t="n">
        <v>0.03</v>
      </c>
      <c r="AV24" s="16" t="n">
        <v>0.0228493166551986</v>
      </c>
      <c r="AW24" s="16" t="n">
        <v>0.2</v>
      </c>
      <c r="AX24" s="16" t="n">
        <v>0.15</v>
      </c>
      <c r="AY24" s="16" t="n">
        <v>0.04</v>
      </c>
      <c r="AZ24" s="16" t="n">
        <v>0.11</v>
      </c>
      <c r="BA24" s="16" t="n">
        <v>0.02</v>
      </c>
      <c r="BB24" s="16" t="n">
        <v>0.04</v>
      </c>
      <c r="BC24" s="16" t="n">
        <v>0.14</v>
      </c>
      <c r="BD24" s="16" t="n">
        <v>0.11</v>
      </c>
      <c r="BE24" s="16" t="n">
        <v>0.03</v>
      </c>
      <c r="BF24" s="16" t="n">
        <v>0.02</v>
      </c>
      <c r="BG24" s="16" t="n">
        <v>0.01</v>
      </c>
      <c r="BH24" s="16" t="n">
        <v>0.05</v>
      </c>
      <c r="BI24" s="16" t="n">
        <v>0.01</v>
      </c>
      <c r="BJ24" s="16" t="n">
        <v>0.019221858</v>
      </c>
      <c r="BK24" s="15" t="n">
        <v>0.02</v>
      </c>
      <c r="BL24" s="16" t="n">
        <v>0.11</v>
      </c>
      <c r="BM24" s="16" t="n">
        <v>0.02</v>
      </c>
      <c r="BN24" s="16" t="n">
        <v>0.4</v>
      </c>
      <c r="BO24" s="16" t="n">
        <v>0.03</v>
      </c>
      <c r="BP24" s="16" t="n">
        <v>0.029891</v>
      </c>
      <c r="BQ24" s="16" t="n">
        <f aca="false">0.004479/BQ34</f>
        <v>0.01244166667</v>
      </c>
      <c r="BR24" s="16" t="n">
        <v>2.05</v>
      </c>
      <c r="BS24" s="16" t="n">
        <v>0.06</v>
      </c>
      <c r="BT24" s="16" t="n">
        <v>0.03</v>
      </c>
      <c r="BU24" s="16" t="n">
        <v>0.61</v>
      </c>
      <c r="BV24" s="16" t="n">
        <v>0.04</v>
      </c>
      <c r="BW24" s="16" t="n">
        <v>0.11</v>
      </c>
      <c r="BX24" s="16" t="n">
        <v>0.04</v>
      </c>
      <c r="BY24" s="16" t="n">
        <v>0.06</v>
      </c>
      <c r="BZ24" s="16" t="n">
        <v>0.02</v>
      </c>
      <c r="CA24" s="16" t="n">
        <f aca="false">0.001032379/CA32</f>
        <v>0.002517997561</v>
      </c>
      <c r="CB24" s="16" t="n">
        <v>0.008503</v>
      </c>
      <c r="CC24" s="16" t="n">
        <v>1.03</v>
      </c>
      <c r="CD24" s="16" t="n">
        <v>0.05</v>
      </c>
      <c r="CE24" s="16" t="n">
        <v>0.78</v>
      </c>
      <c r="CF24" s="16" t="n">
        <v>0.01</v>
      </c>
      <c r="CG24" s="16" t="n">
        <f aca="false">0.014915/CG32</f>
        <v>0.02043150685</v>
      </c>
      <c r="CH24" s="16" t="n">
        <f aca="false">0.006576/CH33</f>
        <v>0.007736470588</v>
      </c>
      <c r="CI24" s="16" t="n">
        <v>0.02</v>
      </c>
      <c r="CJ24" s="16" t="n">
        <v>0.02</v>
      </c>
      <c r="CK24" s="16" t="n">
        <v>0.27</v>
      </c>
      <c r="CL24" s="16" t="n">
        <v>0.013453</v>
      </c>
      <c r="CM24" s="16" t="n">
        <v>0.05</v>
      </c>
      <c r="CN24" s="16" t="n">
        <v>0.05</v>
      </c>
      <c r="CO24" s="16" t="n">
        <v>0.03</v>
      </c>
      <c r="CP24" s="16" t="n">
        <v>0.02</v>
      </c>
      <c r="CQ24" s="16" t="n">
        <v>0.008916831</v>
      </c>
      <c r="CR24" s="16" t="n">
        <v>0.07</v>
      </c>
      <c r="CS24" s="12"/>
      <c r="CT24" s="16" t="n">
        <v>0.16</v>
      </c>
      <c r="CU24" s="16" t="n">
        <v>0.052755</v>
      </c>
      <c r="CV24" s="16" t="n">
        <v>0.01</v>
      </c>
      <c r="CW24" s="16" t="n">
        <v>0.09</v>
      </c>
      <c r="CX24" s="16" t="n">
        <v>0.05</v>
      </c>
      <c r="CY24" s="16" t="n">
        <v>1.4</v>
      </c>
      <c r="CZ24" s="16" t="n">
        <v>0.25</v>
      </c>
      <c r="DA24" s="16" t="n">
        <v>0.01</v>
      </c>
      <c r="DB24" s="16" t="n">
        <v>0.002989</v>
      </c>
      <c r="DC24" s="16" t="n">
        <v>0.03</v>
      </c>
      <c r="DD24" s="16" t="n">
        <v>0.07</v>
      </c>
      <c r="DE24" s="16" t="n">
        <v>2.95</v>
      </c>
      <c r="DF24" s="15" t="n">
        <v>0.00996500778595877</v>
      </c>
      <c r="DG24" s="11" t="n">
        <v>0.0216868753040285</v>
      </c>
      <c r="DH24" s="16" t="n">
        <v>0.04</v>
      </c>
      <c r="DI24" s="16" t="n">
        <v>0.03</v>
      </c>
      <c r="DJ24" s="16" t="n">
        <f aca="false">0.01532/DJ33</f>
        <v>0.03501714286</v>
      </c>
      <c r="DK24" s="16" t="n">
        <v>0.11</v>
      </c>
      <c r="DL24" s="16" t="n">
        <v>0.06</v>
      </c>
      <c r="DM24" s="16" t="n">
        <f aca="false">0.003983/DM33</f>
        <v>0.006529508197</v>
      </c>
      <c r="DN24" s="16" t="n">
        <v>0.74</v>
      </c>
      <c r="DO24" s="16" t="n">
        <v>0.04</v>
      </c>
      <c r="DP24" s="16" t="n">
        <v>0.017356</v>
      </c>
      <c r="DQ24" s="16" t="n">
        <v>0.34</v>
      </c>
      <c r="DR24" s="16" t="n">
        <v>0.02408571</v>
      </c>
      <c r="DS24" s="16" t="n">
        <v>0.03</v>
      </c>
      <c r="DT24" s="16" t="s">
        <v>473</v>
      </c>
      <c r="DU24" s="16" t="n">
        <v>0.04</v>
      </c>
      <c r="DV24" s="16" t="n">
        <v>0.03</v>
      </c>
      <c r="DW24" s="15" t="n">
        <v>0.0161040081604942</v>
      </c>
      <c r="DX24" s="16" t="n">
        <v>1.04</v>
      </c>
      <c r="DY24" s="16" t="n">
        <v>1.15</v>
      </c>
      <c r="DZ24" s="16" t="n">
        <v>0.066375021</v>
      </c>
    </row>
    <row r="25" customFormat="false" ht="15" hidden="false" customHeight="false" outlineLevel="0" collapsed="false">
      <c r="A25" s="13" t="n">
        <v>2012</v>
      </c>
      <c r="B25" s="16" t="n">
        <v>0.005955698</v>
      </c>
      <c r="C25" s="16" t="n">
        <v>0.003429</v>
      </c>
      <c r="D25" s="16" t="n">
        <v>0.21</v>
      </c>
      <c r="E25" s="16" t="n">
        <v>0.02</v>
      </c>
      <c r="F25" s="16" t="n">
        <v>0.01</v>
      </c>
      <c r="G25" s="16" t="n">
        <v>0.01</v>
      </c>
      <c r="H25" s="15"/>
      <c r="I25" s="16" t="n">
        <v>0.02</v>
      </c>
      <c r="J25" s="16" t="n">
        <v>0.23</v>
      </c>
      <c r="K25" s="16" t="n">
        <v>0.001338204</v>
      </c>
      <c r="L25" s="16" t="n">
        <v>0.12</v>
      </c>
      <c r="M25" s="16" t="n">
        <v>0.06</v>
      </c>
      <c r="N25" s="16" t="n">
        <v>0.0300270277454623</v>
      </c>
      <c r="O25" s="16" t="n">
        <v>0.08</v>
      </c>
      <c r="P25" s="16" t="n">
        <v>0.07</v>
      </c>
      <c r="Q25" s="111" t="n">
        <f aca="false">0.006472466/Q33</f>
        <v>0.01606070968</v>
      </c>
      <c r="R25" s="16" t="n">
        <v>0.03</v>
      </c>
      <c r="S25" s="16" t="n">
        <v>1.22</v>
      </c>
      <c r="T25" s="16" t="n">
        <v>0.04</v>
      </c>
      <c r="U25" s="15" t="n">
        <f aca="false">0.00465395199077984/U33</f>
        <v>0.02130452223</v>
      </c>
      <c r="V25" s="16" t="n">
        <v>0.05</v>
      </c>
      <c r="W25" s="16" t="n">
        <v>0.03</v>
      </c>
      <c r="X25" s="16" t="n">
        <v>0.01</v>
      </c>
      <c r="Y25" s="16" t="n">
        <v>0.39</v>
      </c>
      <c r="Z25" s="16" t="n">
        <f aca="false">0.012332/Z33</f>
        <v>0.01561012658</v>
      </c>
      <c r="AA25" s="16" t="n">
        <v>0.05</v>
      </c>
      <c r="AB25" s="16" t="n">
        <v>0.27</v>
      </c>
      <c r="AC25" s="16" t="n">
        <v>0.12</v>
      </c>
      <c r="AD25" s="16" t="n">
        <v>0.02</v>
      </c>
      <c r="AE25" s="16" t="n">
        <v>0.008223125</v>
      </c>
      <c r="AF25" s="15" t="n">
        <v>0.04</v>
      </c>
      <c r="AG25" s="16" t="n">
        <v>0.14</v>
      </c>
      <c r="AH25" s="16" t="n">
        <v>0.02</v>
      </c>
      <c r="AI25" s="16" t="n">
        <v>0.03</v>
      </c>
      <c r="AJ25" s="16" t="n">
        <v>0.21</v>
      </c>
      <c r="AK25" s="16" t="n">
        <v>0.04</v>
      </c>
      <c r="AL25" s="16" t="n">
        <f aca="false">0.007886386/AL33</f>
        <v>0.009278101176</v>
      </c>
      <c r="AM25" s="16" t="n">
        <v>0.11</v>
      </c>
      <c r="AN25" s="16" t="n">
        <v>0.04</v>
      </c>
      <c r="AO25" s="16" t="n">
        <v>0.02</v>
      </c>
      <c r="AP25" s="16" t="n">
        <v>0.00267570090319622</v>
      </c>
      <c r="AQ25" s="112" t="n">
        <v>0.02</v>
      </c>
      <c r="AR25" s="112" t="n">
        <v>0.2</v>
      </c>
      <c r="AS25" s="112" t="n">
        <v>0.02</v>
      </c>
      <c r="AT25" s="112"/>
      <c r="AU25" s="16" t="n">
        <v>0.03</v>
      </c>
      <c r="AV25" s="16" t="n">
        <v>0.0240131434763038</v>
      </c>
      <c r="AW25" s="16" t="n">
        <v>0.18</v>
      </c>
      <c r="AX25" s="16" t="n">
        <v>0.14</v>
      </c>
      <c r="AY25" s="16" t="n">
        <v>0.04</v>
      </c>
      <c r="AZ25" s="16" t="n">
        <v>0.1</v>
      </c>
      <c r="BA25" s="16" t="n">
        <v>0.02</v>
      </c>
      <c r="BB25" s="16" t="n">
        <v>0.04</v>
      </c>
      <c r="BC25" s="16" t="n">
        <v>0.13</v>
      </c>
      <c r="BD25" s="16" t="n">
        <v>0.1</v>
      </c>
      <c r="BE25" s="16" t="n">
        <v>0.02</v>
      </c>
      <c r="BF25" s="16" t="n">
        <v>0.01</v>
      </c>
      <c r="BG25" s="16" t="n">
        <v>0.01</v>
      </c>
      <c r="BH25" s="16" t="n">
        <v>0.05</v>
      </c>
      <c r="BI25" s="16" t="n">
        <v>0.01</v>
      </c>
      <c r="BJ25" s="16" t="n">
        <v>0.021537359</v>
      </c>
      <c r="BK25" s="15" t="n">
        <v>0.02</v>
      </c>
      <c r="BL25" s="16" t="n">
        <v>0.11</v>
      </c>
      <c r="BM25" s="16" t="n">
        <v>0.02</v>
      </c>
      <c r="BN25" s="16" t="n">
        <v>0.39</v>
      </c>
      <c r="BO25" s="16" t="n">
        <v>0.02</v>
      </c>
      <c r="BP25" s="16" t="n">
        <v>0.028678</v>
      </c>
      <c r="BQ25" s="16"/>
      <c r="BR25" s="16" t="n">
        <v>2.02</v>
      </c>
      <c r="BS25" s="16" t="n">
        <v>0.06</v>
      </c>
      <c r="BT25" s="16" t="n">
        <v>0.04</v>
      </c>
      <c r="BU25" s="16" t="n">
        <v>0.54</v>
      </c>
      <c r="BV25" s="16" t="n">
        <v>0.04</v>
      </c>
      <c r="BW25" s="16" t="n">
        <v>0.11</v>
      </c>
      <c r="BX25" s="16" t="n">
        <v>0.03</v>
      </c>
      <c r="BY25" s="16" t="n">
        <v>0.05</v>
      </c>
      <c r="BZ25" s="16" t="n">
        <v>0.02</v>
      </c>
      <c r="CA25" s="16" t="n">
        <f aca="false">0.0016306/CA32</f>
        <v>0.003977073171</v>
      </c>
      <c r="CB25" s="16" t="n">
        <v>0.007298</v>
      </c>
      <c r="CC25" s="16" t="n">
        <v>0.97</v>
      </c>
      <c r="CD25" s="16" t="n">
        <v>0.05</v>
      </c>
      <c r="CE25" s="16" t="n">
        <v>0.7</v>
      </c>
      <c r="CF25" s="16" t="n">
        <v>0.01</v>
      </c>
      <c r="CG25" s="16" t="n">
        <f aca="false">0.013845/CG32</f>
        <v>0.01896575342</v>
      </c>
      <c r="CH25" s="16" t="n">
        <f aca="false">0.0081/CH33</f>
        <v>0.009529411765</v>
      </c>
      <c r="CI25" s="16" t="n">
        <v>0.02</v>
      </c>
      <c r="CJ25" s="16" t="n">
        <v>0.02</v>
      </c>
      <c r="CK25" s="16" t="n">
        <v>0.26</v>
      </c>
      <c r="CL25" s="16" t="n">
        <v>0.014234</v>
      </c>
      <c r="CM25" s="16" t="n">
        <v>0.05</v>
      </c>
      <c r="CN25" s="16" t="n">
        <v>0.05</v>
      </c>
      <c r="CO25" s="16" t="n">
        <v>0.03</v>
      </c>
      <c r="CP25" s="16" t="n">
        <v>0.02</v>
      </c>
      <c r="CQ25" s="16" t="n">
        <v>0.009872129</v>
      </c>
      <c r="CR25" s="16" t="n">
        <v>0.07</v>
      </c>
      <c r="CS25" s="3" t="n">
        <f aca="false">CR25/0.49</f>
        <v>0.142857142857143</v>
      </c>
      <c r="CT25" s="16" t="n">
        <v>0.16</v>
      </c>
      <c r="CU25" s="16"/>
      <c r="CV25" s="16" t="n">
        <v>0.01</v>
      </c>
      <c r="CW25" s="16" t="n">
        <v>0.08</v>
      </c>
      <c r="CX25" s="16" t="n">
        <v>0.05</v>
      </c>
      <c r="CY25" s="16" t="n">
        <v>1.42</v>
      </c>
      <c r="CZ25" s="16" t="n">
        <v>0.24</v>
      </c>
      <c r="DA25" s="16" t="n">
        <v>0.01</v>
      </c>
      <c r="DB25" s="16" t="n">
        <v>0.003224</v>
      </c>
      <c r="DC25" s="16" t="n">
        <v>0.03</v>
      </c>
      <c r="DD25" s="16" t="n">
        <v>0.07</v>
      </c>
      <c r="DE25" s="16" t="n">
        <v>2.85</v>
      </c>
      <c r="DF25" s="15" t="n">
        <v>0.00967766148073555</v>
      </c>
      <c r="DG25" s="11" t="n">
        <v>0.0239693662698724</v>
      </c>
      <c r="DH25" s="16" t="n">
        <v>0.04</v>
      </c>
      <c r="DI25" s="16" t="n">
        <v>0.03</v>
      </c>
      <c r="DJ25" s="16" t="n">
        <f aca="false">0.012918/DJ33</f>
        <v>0.02952685714</v>
      </c>
      <c r="DK25" s="16" t="n">
        <v>0.11</v>
      </c>
      <c r="DL25" s="16" t="n">
        <v>0.06</v>
      </c>
      <c r="DM25" s="16" t="n">
        <f aca="false">0.004878/DM33</f>
        <v>0.007996721311</v>
      </c>
      <c r="DN25" s="16" t="n">
        <v>0.68</v>
      </c>
      <c r="DO25" s="16" t="n">
        <v>0.04</v>
      </c>
      <c r="DP25" s="16" t="n">
        <v>0.017344</v>
      </c>
      <c r="DQ25" s="16" t="n">
        <v>0.31</v>
      </c>
      <c r="DR25" s="16" t="n">
        <v>0.023814</v>
      </c>
      <c r="DS25" s="16" t="n">
        <v>0.03</v>
      </c>
      <c r="DT25" s="16" t="s">
        <v>473</v>
      </c>
      <c r="DU25" s="16" t="n">
        <v>0.03</v>
      </c>
      <c r="DV25" s="16" t="n">
        <v>0.03</v>
      </c>
      <c r="DW25" s="15" t="n">
        <v>0.0152571704813899</v>
      </c>
      <c r="DX25" s="16" t="n">
        <v>1.01</v>
      </c>
      <c r="DY25" s="16" t="n">
        <v>1.09</v>
      </c>
      <c r="DZ25" s="16" t="n">
        <v>0.065176323</v>
      </c>
    </row>
    <row r="26" customFormat="false" ht="15" hidden="false" customHeight="false" outlineLevel="0" collapsed="false">
      <c r="A26" s="13" t="n">
        <v>2013</v>
      </c>
      <c r="B26" s="16" t="n">
        <v>0.006142308</v>
      </c>
      <c r="C26" s="16" t="n">
        <v>0.003578</v>
      </c>
      <c r="D26" s="16" t="n">
        <v>0.21</v>
      </c>
      <c r="E26" s="16" t="n">
        <v>0.02</v>
      </c>
      <c r="F26" s="16" t="n">
        <v>0.02</v>
      </c>
      <c r="G26" s="16" t="n">
        <v>0.01</v>
      </c>
      <c r="H26" s="15" t="n">
        <f aca="false">0.0118901155565971/H33</f>
        <v>0.01486264445</v>
      </c>
      <c r="I26" s="16" t="n">
        <v>0.02</v>
      </c>
      <c r="J26" s="16" t="n">
        <v>0.23</v>
      </c>
      <c r="K26" s="16" t="n">
        <v>0.001216814</v>
      </c>
      <c r="L26" s="16" t="n">
        <v>0.12</v>
      </c>
      <c r="M26" s="16" t="n">
        <v>0.08</v>
      </c>
      <c r="N26" s="16" t="n">
        <v>0.0275584317140766</v>
      </c>
      <c r="O26" s="16" t="n">
        <v>0.08</v>
      </c>
      <c r="P26" s="16" t="n">
        <v>0.07</v>
      </c>
      <c r="Q26" s="111" t="n">
        <f aca="false">0.010076741/Q33</f>
        <v>0.0250043201</v>
      </c>
      <c r="R26" s="16" t="n">
        <v>0.03</v>
      </c>
      <c r="S26" s="16" t="n">
        <v>1.11</v>
      </c>
      <c r="T26" s="16" t="n">
        <v>0.04</v>
      </c>
      <c r="U26" s="15" t="n">
        <f aca="false">0.00599886321542068/U33</f>
        <v>0.02746115882</v>
      </c>
      <c r="V26" s="16" t="n">
        <v>0.05</v>
      </c>
      <c r="W26" s="16" t="n">
        <v>0.02</v>
      </c>
      <c r="X26" s="16" t="n">
        <v>0.01</v>
      </c>
      <c r="Y26" s="16" t="n">
        <v>0.38</v>
      </c>
      <c r="Z26" s="16"/>
      <c r="AA26" s="16" t="n">
        <v>0.06</v>
      </c>
      <c r="AB26" s="16" t="n">
        <v>0.26</v>
      </c>
      <c r="AC26" s="16" t="n">
        <v>0.11</v>
      </c>
      <c r="AD26" s="16" t="n">
        <v>0.02</v>
      </c>
      <c r="AE26" s="16" t="n">
        <v>0.008977163</v>
      </c>
      <c r="AF26" s="15" t="n">
        <v>0.04</v>
      </c>
      <c r="AG26" s="16" t="n">
        <v>0.14</v>
      </c>
      <c r="AH26" s="16" t="n">
        <v>0.02</v>
      </c>
      <c r="AI26" s="16" t="n">
        <v>0.04</v>
      </c>
      <c r="AJ26" s="16" t="n">
        <v>0.2</v>
      </c>
      <c r="AK26" s="16" t="n">
        <v>0.04</v>
      </c>
      <c r="AL26" s="16" t="n">
        <f aca="false">0.009119156/AL33</f>
        <v>0.01072841882</v>
      </c>
      <c r="AM26" s="16" t="n">
        <v>0.11</v>
      </c>
      <c r="AN26" s="16" t="n">
        <v>0.04</v>
      </c>
      <c r="AO26" s="16" t="n">
        <v>0.02</v>
      </c>
      <c r="AP26" s="16" t="n">
        <v>0.00285993037785488</v>
      </c>
      <c r="AQ26" s="112" t="n">
        <v>0.02</v>
      </c>
      <c r="AR26" s="112" t="n">
        <v>0.1</v>
      </c>
      <c r="AS26" s="112" t="n">
        <v>0.02</v>
      </c>
      <c r="AT26" s="112"/>
      <c r="AU26" s="16" t="n">
        <v>0.03</v>
      </c>
      <c r="AV26" s="16" t="n">
        <v>0.0235134665576643</v>
      </c>
      <c r="AW26" s="16" t="n">
        <v>0.17</v>
      </c>
      <c r="AX26" s="16" t="n">
        <v>0.13</v>
      </c>
      <c r="AY26" s="16" t="n">
        <v>0.04</v>
      </c>
      <c r="AZ26" s="16" t="n">
        <v>0.09</v>
      </c>
      <c r="BA26" s="16" t="n">
        <v>0.02</v>
      </c>
      <c r="BB26" s="16" t="n">
        <v>0.04</v>
      </c>
      <c r="BC26" s="16" t="n">
        <v>0.13</v>
      </c>
      <c r="BD26" s="16" t="n">
        <v>0.1</v>
      </c>
      <c r="BE26" s="16" t="n">
        <v>0.02</v>
      </c>
      <c r="BF26" s="16" t="n">
        <v>0.01</v>
      </c>
      <c r="BG26" s="16" t="n">
        <v>0.01</v>
      </c>
      <c r="BH26" s="16" t="n">
        <v>0.05</v>
      </c>
      <c r="BI26" s="16" t="n">
        <v>0.01</v>
      </c>
      <c r="BJ26" s="16" t="n">
        <v>0.020461957</v>
      </c>
      <c r="BK26" s="15" t="n">
        <v>0.02</v>
      </c>
      <c r="BL26" s="16" t="n">
        <v>0.11</v>
      </c>
      <c r="BM26" s="16" t="n">
        <v>0.03</v>
      </c>
      <c r="BN26" s="16" t="n">
        <v>0.38</v>
      </c>
      <c r="BO26" s="16" t="n">
        <v>0.02</v>
      </c>
      <c r="BP26" s="16" t="n">
        <v>0.027382</v>
      </c>
      <c r="BQ26" s="16" t="n">
        <f aca="false">0.004792/BQ34</f>
        <v>0.01331111111</v>
      </c>
      <c r="BR26" s="16" t="n">
        <v>1.98</v>
      </c>
      <c r="BS26" s="16" t="n">
        <v>0.06</v>
      </c>
      <c r="BT26" s="16" t="n">
        <v>0.04</v>
      </c>
      <c r="BU26" s="16" t="n">
        <v>0.48</v>
      </c>
      <c r="BV26" s="16" t="n">
        <v>0.03</v>
      </c>
      <c r="BW26" s="16" t="n">
        <v>0.11</v>
      </c>
      <c r="BX26" s="16" t="n">
        <v>0.03</v>
      </c>
      <c r="BY26" s="16" t="n">
        <v>0.05</v>
      </c>
      <c r="BZ26" s="16" t="n">
        <v>0.02</v>
      </c>
      <c r="CA26" s="16" t="n">
        <f aca="false">0.001383009/CA32</f>
        <v>0.003373192683</v>
      </c>
      <c r="CB26" s="16" t="n">
        <v>0.006676</v>
      </c>
      <c r="CC26" s="16" t="n">
        <v>0.91</v>
      </c>
      <c r="CD26" s="16" t="n">
        <v>0.05</v>
      </c>
      <c r="CE26" s="16" t="n">
        <v>0.68</v>
      </c>
      <c r="CF26" s="16" t="s">
        <v>473</v>
      </c>
      <c r="CG26" s="16" t="n">
        <f aca="false">0.013319/CG32</f>
        <v>0.01824520548</v>
      </c>
      <c r="CH26" s="16" t="n">
        <f aca="false">0.008619/CH33</f>
        <v>0.01014</v>
      </c>
      <c r="CI26" s="16" t="n">
        <v>0.02</v>
      </c>
      <c r="CJ26" s="16" t="n">
        <v>0.02</v>
      </c>
      <c r="CK26" s="16" t="n">
        <v>0.26</v>
      </c>
      <c r="CL26" s="16" t="n">
        <v>0.014973</v>
      </c>
      <c r="CM26" s="16" t="n">
        <v>0.05</v>
      </c>
      <c r="CN26" s="16" t="n">
        <v>0.05</v>
      </c>
      <c r="CO26" s="16" t="n">
        <v>0.03</v>
      </c>
      <c r="CP26" s="16" t="n">
        <v>0.02</v>
      </c>
      <c r="CQ26" s="16" t="n">
        <v>0.010634741</v>
      </c>
      <c r="CR26" s="16" t="n">
        <v>0.06</v>
      </c>
      <c r="CS26" s="3" t="n">
        <f aca="false">CR26/0.49</f>
        <v>0.122448979591837</v>
      </c>
      <c r="CT26" s="16" t="n">
        <v>0.15</v>
      </c>
      <c r="CU26" s="16"/>
      <c r="CV26" s="16" t="n">
        <v>0.01</v>
      </c>
      <c r="CW26" s="16" t="n">
        <v>0.07</v>
      </c>
      <c r="CX26" s="16" t="n">
        <v>0.05</v>
      </c>
      <c r="CY26" s="16" t="n">
        <v>1.44</v>
      </c>
      <c r="CZ26" s="16" t="n">
        <v>0.24</v>
      </c>
      <c r="DA26" s="16" t="n">
        <v>0.01</v>
      </c>
      <c r="DB26" s="16" t="n">
        <v>0.003417</v>
      </c>
      <c r="DC26" s="16" t="n">
        <v>0.03</v>
      </c>
      <c r="DD26" s="16" t="n">
        <v>0.07</v>
      </c>
      <c r="DE26" s="16" t="n">
        <v>2.73</v>
      </c>
      <c r="DF26" s="15" t="n">
        <v>0.00896778104265806</v>
      </c>
      <c r="DG26" s="11" t="n">
        <v>0.0221277076289963</v>
      </c>
      <c r="DH26" s="16" t="n">
        <v>0.04</v>
      </c>
      <c r="DI26" s="16" t="n">
        <v>0.03</v>
      </c>
      <c r="DJ26" s="16" t="n">
        <f aca="false">0.014546/DJ33</f>
        <v>0.033248</v>
      </c>
      <c r="DK26" s="16" t="n">
        <v>0.11</v>
      </c>
      <c r="DL26" s="16" t="n">
        <v>0.06</v>
      </c>
      <c r="DM26" s="16"/>
      <c r="DN26" s="16" t="n">
        <v>0.61</v>
      </c>
      <c r="DO26" s="16" t="n">
        <v>0.05</v>
      </c>
      <c r="DP26" s="16" t="n">
        <v>0.01658</v>
      </c>
      <c r="DQ26" s="16" t="n">
        <v>0.27</v>
      </c>
      <c r="DR26" s="16" t="n">
        <v>0.023257</v>
      </c>
      <c r="DS26" s="16" t="n">
        <v>0.03</v>
      </c>
      <c r="DT26" s="16" t="s">
        <v>473</v>
      </c>
      <c r="DU26" s="16" t="n">
        <v>0.03</v>
      </c>
      <c r="DV26" s="16" t="n">
        <v>0.03</v>
      </c>
      <c r="DW26" s="15" t="n">
        <v>0.0131108509335581</v>
      </c>
      <c r="DX26" s="16" t="n">
        <v>0.97</v>
      </c>
      <c r="DY26" s="16" t="n">
        <v>1.03</v>
      </c>
      <c r="DZ26" s="16" t="n">
        <v>0.062950507</v>
      </c>
    </row>
    <row r="27" customFormat="false" ht="15" hidden="false" customHeight="false" outlineLevel="0" collapsed="false">
      <c r="A27" s="13" t="n">
        <v>2014</v>
      </c>
      <c r="B27" s="16" t="n">
        <v>0.006276752</v>
      </c>
      <c r="C27" s="16" t="n">
        <v>0.003973</v>
      </c>
      <c r="D27" s="16" t="n">
        <v>0.2</v>
      </c>
      <c r="E27" s="16" t="n">
        <v>0.02</v>
      </c>
      <c r="F27" s="16" t="n">
        <v>0.02</v>
      </c>
      <c r="G27" s="16" t="n">
        <v>0.01</v>
      </c>
      <c r="H27" s="15" t="n">
        <f aca="false">0.00998933149311505/H33</f>
        <v>0.01248666437</v>
      </c>
      <c r="I27" s="16" t="n">
        <v>0.02</v>
      </c>
      <c r="J27" s="16" t="n">
        <v>0.23</v>
      </c>
      <c r="K27" s="16" t="n">
        <v>0.00114992</v>
      </c>
      <c r="L27" s="16" t="n">
        <v>0.12</v>
      </c>
      <c r="M27" s="16" t="n">
        <v>0.09</v>
      </c>
      <c r="N27" s="16" t="n">
        <v>0.0255423433543887</v>
      </c>
      <c r="O27" s="16" t="n">
        <v>0.08</v>
      </c>
      <c r="P27" s="16" t="n">
        <v>0.07</v>
      </c>
      <c r="Q27" s="111" t="n">
        <f aca="false">0.009667197/Q33</f>
        <v>0.02398808189</v>
      </c>
      <c r="R27" s="16" t="n">
        <v>0.02</v>
      </c>
      <c r="S27" s="16" t="n">
        <v>1</v>
      </c>
      <c r="T27" s="16" t="n">
        <v>0.04</v>
      </c>
      <c r="U27" s="15" t="n">
        <f aca="false">0.00747095892491079/U33</f>
        <v>0.03420001127</v>
      </c>
      <c r="V27" s="16" t="n">
        <v>0.05</v>
      </c>
      <c r="W27" s="16" t="n">
        <v>0.02</v>
      </c>
      <c r="X27" s="16" t="s">
        <v>473</v>
      </c>
      <c r="Y27" s="16" t="n">
        <v>0.37</v>
      </c>
      <c r="Z27" s="16"/>
      <c r="AA27" s="16" t="n">
        <v>0.06</v>
      </c>
      <c r="AB27" s="16" t="n">
        <v>0.25</v>
      </c>
      <c r="AC27" s="16" t="n">
        <v>0.11</v>
      </c>
      <c r="AD27" s="16" t="n">
        <v>0.02</v>
      </c>
      <c r="AE27" s="16" t="n">
        <v>0.010306061</v>
      </c>
      <c r="AF27" s="15" t="n">
        <v>0.04</v>
      </c>
      <c r="AG27" s="15"/>
      <c r="AH27" s="16" t="n">
        <v>0.02</v>
      </c>
      <c r="AI27" s="16" t="n">
        <v>0.04</v>
      </c>
      <c r="AJ27" s="16" t="n">
        <v>0.2</v>
      </c>
      <c r="AK27" s="16" t="n">
        <v>0.04</v>
      </c>
      <c r="AL27" s="16" t="n">
        <f aca="false">0.009999801/AL33</f>
        <v>0.01176447176</v>
      </c>
      <c r="AM27" s="16" t="n">
        <v>0.11</v>
      </c>
      <c r="AN27" s="16" t="n">
        <v>0.04</v>
      </c>
      <c r="AO27" s="16" t="n">
        <v>0.02</v>
      </c>
      <c r="AP27" s="16" t="n">
        <v>0.00303692069083785</v>
      </c>
      <c r="AQ27" s="112" t="n">
        <v>0.02</v>
      </c>
      <c r="AR27" s="112" t="n">
        <v>0.04</v>
      </c>
      <c r="AS27" s="112" t="n">
        <v>0.02</v>
      </c>
      <c r="AT27" s="112"/>
      <c r="AU27" s="16"/>
      <c r="AV27" s="16" t="n">
        <v>0.0184948485745172</v>
      </c>
      <c r="AW27" s="16" t="n">
        <v>0.15</v>
      </c>
      <c r="AX27" s="16" t="n">
        <v>0.13</v>
      </c>
      <c r="AY27" s="16" t="n">
        <v>0.05</v>
      </c>
      <c r="AZ27" s="16" t="n">
        <v>0.08</v>
      </c>
      <c r="BA27" s="16" t="n">
        <v>0.02</v>
      </c>
      <c r="BB27" s="16" t="n">
        <v>0.04</v>
      </c>
      <c r="BC27" s="16" t="n">
        <v>0.12</v>
      </c>
      <c r="BD27" s="16" t="n">
        <v>0.09</v>
      </c>
      <c r="BE27" s="16" t="n">
        <v>0.02</v>
      </c>
      <c r="BF27" s="16" t="n">
        <v>0.01</v>
      </c>
      <c r="BG27" s="16" t="n">
        <v>0.01</v>
      </c>
      <c r="BH27" s="16" t="n">
        <v>0.05</v>
      </c>
      <c r="BI27" s="16" t="n">
        <v>0.01</v>
      </c>
      <c r="BJ27" s="16" t="n">
        <v>0.019996682</v>
      </c>
      <c r="BK27" s="15" t="n">
        <v>0.02</v>
      </c>
      <c r="BL27" s="16" t="n">
        <v>0.11</v>
      </c>
      <c r="BM27" s="16" t="n">
        <v>0.03</v>
      </c>
      <c r="BN27" s="16" t="n">
        <v>0.37</v>
      </c>
      <c r="BO27" s="16" t="n">
        <v>0.02</v>
      </c>
      <c r="BP27" s="16" t="n">
        <v>0.026249</v>
      </c>
      <c r="BQ27" s="16" t="n">
        <f aca="false">0.004351/BQ34</f>
        <v>0.01208611111</v>
      </c>
      <c r="BR27" s="16" t="n">
        <v>1.94</v>
      </c>
      <c r="BS27" s="16" t="n">
        <v>0.06</v>
      </c>
      <c r="BT27" s="16" t="n">
        <v>0.04</v>
      </c>
      <c r="BU27" s="16" t="n">
        <v>0.43</v>
      </c>
      <c r="BV27" s="16" t="n">
        <v>0.03</v>
      </c>
      <c r="BW27" s="16" t="n">
        <v>0.11</v>
      </c>
      <c r="BX27" s="16" t="n">
        <v>0.03</v>
      </c>
      <c r="BY27" s="16" t="n">
        <v>0.04</v>
      </c>
      <c r="BZ27" s="16" t="n">
        <v>0.02</v>
      </c>
      <c r="CA27" s="16"/>
      <c r="CB27" s="16" t="n">
        <v>0.006621</v>
      </c>
      <c r="CC27" s="16" t="n">
        <v>0.8</v>
      </c>
      <c r="CD27" s="16" t="n">
        <v>0.04</v>
      </c>
      <c r="CE27" s="16" t="n">
        <v>0.68</v>
      </c>
      <c r="CF27" s="16" t="s">
        <v>473</v>
      </c>
      <c r="CG27" s="16" t="n">
        <f aca="false">0.010992/CG32</f>
        <v>0.01505753425</v>
      </c>
      <c r="CH27" s="16" t="n">
        <f aca="false">0.010364/CH33</f>
        <v>0.01219294118</v>
      </c>
      <c r="CI27" s="16" t="n">
        <v>0.02</v>
      </c>
      <c r="CJ27" s="16" t="n">
        <v>0.02</v>
      </c>
      <c r="CK27" s="16" t="n">
        <v>0.24</v>
      </c>
      <c r="CL27" s="16" t="n">
        <v>0.015687</v>
      </c>
      <c r="CM27" s="16" t="n">
        <v>0.05</v>
      </c>
      <c r="CN27" s="16" t="n">
        <v>0.05</v>
      </c>
      <c r="CO27" s="16" t="n">
        <v>0.03</v>
      </c>
      <c r="CP27" s="16" t="n">
        <v>0.02</v>
      </c>
      <c r="CQ27" s="16" t="n">
        <v>0.012194484</v>
      </c>
      <c r="CR27" s="16" t="n">
        <v>0.06</v>
      </c>
      <c r="CS27" s="3" t="n">
        <f aca="false">CR27/0.49</f>
        <v>0.122448979591837</v>
      </c>
      <c r="CT27" s="16" t="n">
        <v>0.15</v>
      </c>
      <c r="CU27" s="16" t="n">
        <v>0.04984</v>
      </c>
      <c r="CV27" s="16" t="n">
        <v>0.01</v>
      </c>
      <c r="CW27" s="16" t="n">
        <v>0.07</v>
      </c>
      <c r="CX27" s="16" t="n">
        <v>0.05</v>
      </c>
      <c r="CY27" s="16" t="n">
        <v>1.46</v>
      </c>
      <c r="CZ27" s="16" t="n">
        <v>0.23</v>
      </c>
      <c r="DA27" s="16" t="n">
        <v>0.01</v>
      </c>
      <c r="DB27" s="16" t="n">
        <v>0.003643</v>
      </c>
      <c r="DC27" s="16" t="n">
        <v>0.03</v>
      </c>
      <c r="DD27" s="16" t="n">
        <v>0.06</v>
      </c>
      <c r="DE27" s="16" t="n">
        <v>2.61</v>
      </c>
      <c r="DF27" s="15" t="n">
        <v>0.00883834567280025</v>
      </c>
      <c r="DG27" s="11" t="n">
        <v>0.0197038821017028</v>
      </c>
      <c r="DH27" s="16" t="n">
        <v>0.03</v>
      </c>
      <c r="DI27" s="16" t="n">
        <v>0.02</v>
      </c>
      <c r="DJ27" s="16" t="n">
        <f aca="false">0.013886/DJ33</f>
        <v>0.03173942857</v>
      </c>
      <c r="DK27" s="16" t="n">
        <v>0.12</v>
      </c>
      <c r="DL27" s="16" t="n">
        <v>0.05</v>
      </c>
      <c r="DM27" s="16"/>
      <c r="DN27" s="16" t="n">
        <v>0.56</v>
      </c>
      <c r="DO27" s="16" t="n">
        <v>0.06</v>
      </c>
      <c r="DP27" s="16"/>
      <c r="DQ27" s="16" t="n">
        <v>0.24</v>
      </c>
      <c r="DR27" s="16" t="n">
        <v>0.024271</v>
      </c>
      <c r="DS27" s="16" t="n">
        <v>0.03</v>
      </c>
      <c r="DT27" s="16" t="s">
        <v>473</v>
      </c>
      <c r="DU27" s="16" t="n">
        <v>0.03</v>
      </c>
      <c r="DV27" s="16" t="n">
        <v>0.03</v>
      </c>
      <c r="DW27" s="16"/>
      <c r="DX27" s="16" t="n">
        <v>0.92</v>
      </c>
      <c r="DY27" s="16" t="n">
        <v>0.95</v>
      </c>
      <c r="DZ27" s="16" t="n">
        <v>0.061140895</v>
      </c>
    </row>
    <row r="28" customFormat="false" ht="15" hidden="false" customHeight="false" outlineLevel="0" collapsed="false">
      <c r="A28" s="13" t="n">
        <v>2015</v>
      </c>
      <c r="B28" s="16"/>
      <c r="C28" s="16"/>
      <c r="D28" s="16" t="n">
        <v>0.19</v>
      </c>
      <c r="E28" s="16" t="n">
        <v>0.02</v>
      </c>
      <c r="F28" s="16" t="n">
        <v>0.03</v>
      </c>
      <c r="G28" s="16" t="n">
        <v>0.01</v>
      </c>
      <c r="H28" s="16"/>
      <c r="I28" s="16" t="n">
        <v>0.02</v>
      </c>
      <c r="J28" s="16" t="n">
        <v>0.23</v>
      </c>
      <c r="K28" s="16" t="n">
        <v>0.001222</v>
      </c>
      <c r="L28" s="16" t="n">
        <v>0.12</v>
      </c>
      <c r="M28" s="16" t="n">
        <v>0.1</v>
      </c>
      <c r="N28" s="16"/>
      <c r="O28" s="16" t="n">
        <v>0.08</v>
      </c>
      <c r="P28" s="16" t="n">
        <v>0.07</v>
      </c>
      <c r="Q28" s="16"/>
      <c r="R28" s="16" t="n">
        <v>0.02</v>
      </c>
      <c r="S28" s="16" t="n">
        <v>0.94</v>
      </c>
      <c r="T28" s="16" t="n">
        <v>0.04</v>
      </c>
      <c r="U28" s="16"/>
      <c r="V28" s="16" t="n">
        <v>0.05</v>
      </c>
      <c r="W28" s="16" t="n">
        <v>0.02</v>
      </c>
      <c r="X28" s="16" t="s">
        <v>473</v>
      </c>
      <c r="Y28" s="16" t="n">
        <v>0.36</v>
      </c>
      <c r="Z28" s="16"/>
      <c r="AA28" s="16" t="n">
        <v>0.06</v>
      </c>
      <c r="AB28" s="16" t="n">
        <v>0.24</v>
      </c>
      <c r="AC28" s="16" t="n">
        <v>0.1</v>
      </c>
      <c r="AD28" s="16" t="n">
        <v>0.02</v>
      </c>
      <c r="AE28" s="16"/>
      <c r="AF28" s="15" t="n">
        <v>0.04</v>
      </c>
      <c r="AG28" s="15"/>
      <c r="AH28" s="16" t="n">
        <v>0.02</v>
      </c>
      <c r="AI28" s="16" t="n">
        <v>0.05</v>
      </c>
      <c r="AJ28" s="16" t="n">
        <v>0.19</v>
      </c>
      <c r="AK28" s="16" t="n">
        <v>0.03</v>
      </c>
      <c r="AL28" s="16"/>
      <c r="AM28" s="16" t="n">
        <v>0.11</v>
      </c>
      <c r="AN28" s="16" t="n">
        <v>0.04</v>
      </c>
      <c r="AO28" s="16" t="n">
        <v>0.01</v>
      </c>
      <c r="AP28" s="16" t="n">
        <v>0.0029899196992995</v>
      </c>
      <c r="AQ28" s="16" t="n">
        <v>0.01</v>
      </c>
      <c r="AR28" s="16" t="n">
        <v>0.02</v>
      </c>
      <c r="AS28" s="16" t="n">
        <v>0.02</v>
      </c>
      <c r="AT28" s="16"/>
      <c r="AU28" s="16"/>
      <c r="AV28" s="16"/>
      <c r="AW28" s="16" t="n">
        <v>0.14</v>
      </c>
      <c r="AX28" s="16" t="n">
        <v>0.12</v>
      </c>
      <c r="AY28" s="16" t="n">
        <v>0.05</v>
      </c>
      <c r="AZ28" s="16" t="n">
        <v>0.08</v>
      </c>
      <c r="BA28" s="16" t="n">
        <v>0.02</v>
      </c>
      <c r="BB28" s="16" t="n">
        <v>0.04</v>
      </c>
      <c r="BC28" s="16" t="n">
        <v>0.12</v>
      </c>
      <c r="BD28" s="16" t="n">
        <v>0.09</v>
      </c>
      <c r="BE28" s="16" t="n">
        <v>0.02</v>
      </c>
      <c r="BF28" s="16" t="n">
        <v>0.01</v>
      </c>
      <c r="BG28" s="16" t="n">
        <v>0.01</v>
      </c>
      <c r="BH28" s="16" t="n">
        <v>0.05</v>
      </c>
      <c r="BI28" s="16" t="n">
        <v>0.01</v>
      </c>
      <c r="BJ28" s="16"/>
      <c r="BK28" s="15" t="n">
        <v>0.02</v>
      </c>
      <c r="BL28" s="16" t="n">
        <v>0.11</v>
      </c>
      <c r="BM28" s="16" t="n">
        <v>0.04</v>
      </c>
      <c r="BN28" s="16" t="n">
        <v>0.35</v>
      </c>
      <c r="BO28" s="16" t="n">
        <v>0.03</v>
      </c>
      <c r="BP28" s="16"/>
      <c r="BQ28" s="16"/>
      <c r="BR28" s="16" t="n">
        <v>1.88</v>
      </c>
      <c r="BS28" s="16" t="n">
        <v>0.06</v>
      </c>
      <c r="BT28" s="16" t="n">
        <v>0.05</v>
      </c>
      <c r="BU28" s="16" t="n">
        <v>0.38</v>
      </c>
      <c r="BV28" s="16" t="n">
        <v>0.03</v>
      </c>
      <c r="BW28" s="16" t="n">
        <v>0.11</v>
      </c>
      <c r="BX28" s="16" t="n">
        <v>0.03</v>
      </c>
      <c r="BY28" s="16" t="n">
        <v>0.04</v>
      </c>
      <c r="BZ28" s="16" t="n">
        <v>0.02</v>
      </c>
      <c r="CA28" s="16"/>
      <c r="CB28" s="16" t="n">
        <v>0.006572</v>
      </c>
      <c r="CC28" s="16" t="n">
        <v>0.71</v>
      </c>
      <c r="CD28" s="16" t="n">
        <v>0.04</v>
      </c>
      <c r="CE28" s="16" t="n">
        <v>0.68</v>
      </c>
      <c r="CF28" s="16" t="s">
        <v>473</v>
      </c>
      <c r="CG28" s="16"/>
      <c r="CH28" s="16"/>
      <c r="CI28" s="16" t="n">
        <v>0.02</v>
      </c>
      <c r="CJ28" s="16" t="n">
        <v>0.02</v>
      </c>
      <c r="CK28" s="16" t="n">
        <v>0.23</v>
      </c>
      <c r="CL28" s="16" t="n">
        <v>0.016386</v>
      </c>
      <c r="CM28" s="16" t="n">
        <v>0.05</v>
      </c>
      <c r="CN28" s="16" t="n">
        <v>0.05</v>
      </c>
      <c r="CO28" s="16" t="n">
        <v>0.03</v>
      </c>
      <c r="CP28" s="16" t="n">
        <v>0.02</v>
      </c>
      <c r="CQ28" s="16"/>
      <c r="CR28" s="16" t="n">
        <v>0.06</v>
      </c>
      <c r="CS28" s="3" t="n">
        <f aca="false">CR28/0.49</f>
        <v>0.122448979591837</v>
      </c>
      <c r="CT28" s="16" t="n">
        <v>0.14</v>
      </c>
      <c r="CU28" s="15"/>
      <c r="CV28" s="16" t="n">
        <v>0.01</v>
      </c>
      <c r="CW28" s="16" t="n">
        <v>0.07</v>
      </c>
      <c r="CX28" s="16" t="n">
        <v>0.05</v>
      </c>
      <c r="CY28" s="16" t="n">
        <v>1.44</v>
      </c>
      <c r="CZ28" s="16" t="n">
        <v>0.22</v>
      </c>
      <c r="DA28" s="16" t="n">
        <v>0.01</v>
      </c>
      <c r="DB28" s="16"/>
      <c r="DC28" s="16" t="n">
        <v>0.02</v>
      </c>
      <c r="DD28" s="16" t="n">
        <v>0.06</v>
      </c>
      <c r="DE28" s="16" t="n">
        <v>2.36</v>
      </c>
      <c r="DF28" s="16"/>
      <c r="DG28" s="16"/>
      <c r="DH28" s="16" t="n">
        <v>0.03</v>
      </c>
      <c r="DI28" s="16" t="n">
        <v>0.02</v>
      </c>
      <c r="DJ28" s="16"/>
      <c r="DK28" s="16" t="n">
        <v>0.12</v>
      </c>
      <c r="DL28" s="16" t="n">
        <v>0.05</v>
      </c>
      <c r="DM28" s="16"/>
      <c r="DN28" s="16" t="n">
        <v>0.51</v>
      </c>
      <c r="DO28" s="16" t="n">
        <v>0.07</v>
      </c>
      <c r="DP28" s="16"/>
      <c r="DQ28" s="16" t="n">
        <v>0.21</v>
      </c>
      <c r="DR28" s="16"/>
      <c r="DS28" s="16" t="n">
        <v>0.03</v>
      </c>
      <c r="DT28" s="16" t="s">
        <v>473</v>
      </c>
      <c r="DU28" s="16" t="n">
        <v>0.03</v>
      </c>
      <c r="DV28" s="16" t="n">
        <v>0.03</v>
      </c>
      <c r="DW28" s="16"/>
      <c r="DX28" s="16" t="n">
        <v>0.85</v>
      </c>
      <c r="DY28" s="16" t="n">
        <v>0.88</v>
      </c>
      <c r="DZ28" s="16" t="n">
        <v>0.053772127</v>
      </c>
    </row>
    <row r="29" customFormat="false" ht="15" hidden="false" customHeight="false" outlineLevel="0" collapsed="false">
      <c r="A29" s="13"/>
      <c r="B29" s="16"/>
      <c r="C29" s="16"/>
      <c r="D29" s="16"/>
      <c r="E29" s="16"/>
      <c r="F29" s="16"/>
      <c r="G29" s="16"/>
      <c r="H29" s="3"/>
      <c r="I29" s="3"/>
      <c r="J29" s="3"/>
      <c r="K29" s="16"/>
      <c r="L29" s="16"/>
      <c r="M29" s="16"/>
      <c r="N29" s="16"/>
      <c r="O29" s="16"/>
      <c r="P29" s="16"/>
      <c r="Q29" s="16"/>
      <c r="R29" s="16"/>
      <c r="S29" s="16"/>
      <c r="T29" s="16"/>
      <c r="U29" s="16"/>
      <c r="V29" s="16"/>
      <c r="W29" s="16"/>
      <c r="X29" s="16"/>
      <c r="Y29" s="16"/>
      <c r="Z29" s="16"/>
      <c r="AA29" s="16"/>
      <c r="AB29" s="16"/>
      <c r="AC29" s="16"/>
      <c r="AD29" s="16"/>
      <c r="AE29" s="16"/>
      <c r="AF29" s="12"/>
      <c r="AG29" s="12"/>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3"/>
      <c r="CM29" s="3"/>
      <c r="CN29" s="3"/>
      <c r="CO29" s="3"/>
      <c r="CP29" s="16"/>
      <c r="CQ29" s="16"/>
      <c r="CR29" s="16"/>
      <c r="CS29" s="10"/>
      <c r="CT29" s="16"/>
      <c r="CU29" s="12"/>
      <c r="CV29" s="16"/>
      <c r="CW29" s="16"/>
      <c r="CX29" s="16"/>
      <c r="CY29" s="16"/>
      <c r="CZ29" s="16"/>
      <c r="DA29" s="16"/>
      <c r="DB29" s="16"/>
      <c r="DC29" s="2"/>
      <c r="DD29" s="16"/>
      <c r="DE29" s="16"/>
      <c r="DF29" s="16"/>
      <c r="DG29" s="16"/>
      <c r="DH29" s="16"/>
      <c r="DI29" s="16"/>
      <c r="DJ29" s="16"/>
      <c r="DK29" s="16"/>
      <c r="DL29" s="16"/>
      <c r="DM29" s="16"/>
      <c r="DN29" s="16"/>
      <c r="DO29" s="16"/>
      <c r="DP29" s="16"/>
      <c r="DQ29" s="16"/>
      <c r="DR29" s="16"/>
      <c r="DS29" s="16"/>
      <c r="DT29" s="16"/>
      <c r="DU29" s="16"/>
      <c r="DV29" s="16"/>
      <c r="DW29" s="16"/>
      <c r="DX29" s="16"/>
      <c r="DY29" s="16"/>
    </row>
    <row r="30" customFormat="false" ht="15" hidden="false" customHeight="false" outlineLevel="0" collapsed="false">
      <c r="A30" s="13" t="s">
        <v>142</v>
      </c>
      <c r="B30" s="26" t="s">
        <v>474</v>
      </c>
      <c r="C30" s="35" t="s">
        <v>475</v>
      </c>
      <c r="D30" s="16" t="s">
        <v>143</v>
      </c>
      <c r="E30" s="16" t="s">
        <v>143</v>
      </c>
      <c r="F30" s="16" t="s">
        <v>143</v>
      </c>
      <c r="G30" s="15" t="s">
        <v>143</v>
      </c>
      <c r="H30" s="26" t="s">
        <v>476</v>
      </c>
      <c r="I30" s="16"/>
      <c r="J30" s="34" t="s">
        <v>143</v>
      </c>
      <c r="K30" s="26" t="s">
        <v>477</v>
      </c>
      <c r="L30" s="16" t="s">
        <v>143</v>
      </c>
      <c r="M30" s="16" t="s">
        <v>143</v>
      </c>
      <c r="N30" s="26" t="s">
        <v>478</v>
      </c>
      <c r="O30" s="16" t="s">
        <v>143</v>
      </c>
      <c r="P30" s="16" t="s">
        <v>143</v>
      </c>
      <c r="Q30" s="113" t="s">
        <v>479</v>
      </c>
      <c r="R30" s="16" t="s">
        <v>143</v>
      </c>
      <c r="S30" s="16" t="s">
        <v>143</v>
      </c>
      <c r="T30" s="16" t="s">
        <v>143</v>
      </c>
      <c r="U30" s="16" t="s">
        <v>480</v>
      </c>
      <c r="V30" s="16" t="s">
        <v>143</v>
      </c>
      <c r="W30" s="16" t="s">
        <v>143</v>
      </c>
      <c r="X30" s="16" t="s">
        <v>143</v>
      </c>
      <c r="Y30" s="16" t="s">
        <v>143</v>
      </c>
      <c r="Z30" s="26" t="s">
        <v>481</v>
      </c>
      <c r="AA30" s="16" t="s">
        <v>143</v>
      </c>
      <c r="AB30" s="16" t="s">
        <v>143</v>
      </c>
      <c r="AC30" s="16" t="s">
        <v>143</v>
      </c>
      <c r="AD30" s="16" t="s">
        <v>143</v>
      </c>
      <c r="AE30" s="26" t="s">
        <v>482</v>
      </c>
      <c r="AF30" s="16" t="s">
        <v>143</v>
      </c>
      <c r="AG30" s="16" t="s">
        <v>483</v>
      </c>
      <c r="AH30" s="16" t="s">
        <v>143</v>
      </c>
      <c r="AI30" s="16" t="s">
        <v>143</v>
      </c>
      <c r="AJ30" s="16" t="s">
        <v>143</v>
      </c>
      <c r="AK30" s="16" t="s">
        <v>143</v>
      </c>
      <c r="AL30" s="26" t="s">
        <v>484</v>
      </c>
      <c r="AM30" s="16" t="s">
        <v>143</v>
      </c>
      <c r="AN30" s="16" t="s">
        <v>143</v>
      </c>
      <c r="AO30" s="16" t="s">
        <v>143</v>
      </c>
      <c r="AP30" s="28" t="s">
        <v>485</v>
      </c>
      <c r="AQ30" s="16" t="s">
        <v>143</v>
      </c>
      <c r="AR30" s="16" t="s">
        <v>143</v>
      </c>
      <c r="AS30" s="16" t="s">
        <v>143</v>
      </c>
      <c r="AT30" s="26" t="s">
        <v>486</v>
      </c>
      <c r="AU30" s="16" t="s">
        <v>483</v>
      </c>
      <c r="AV30" s="26" t="s">
        <v>484</v>
      </c>
      <c r="AW30" s="16" t="s">
        <v>143</v>
      </c>
      <c r="AX30" s="16" t="s">
        <v>143</v>
      </c>
      <c r="AY30" s="16" t="s">
        <v>143</v>
      </c>
      <c r="AZ30" s="16" t="s">
        <v>143</v>
      </c>
      <c r="BA30" s="16" t="s">
        <v>143</v>
      </c>
      <c r="BB30" s="16" t="s">
        <v>143</v>
      </c>
      <c r="BC30" s="16" t="s">
        <v>143</v>
      </c>
      <c r="BD30" s="16" t="s">
        <v>143</v>
      </c>
      <c r="BE30" s="16" t="s">
        <v>143</v>
      </c>
      <c r="BF30" s="16" t="s">
        <v>143</v>
      </c>
      <c r="BG30" s="16" t="s">
        <v>143</v>
      </c>
      <c r="BH30" s="16" t="s">
        <v>143</v>
      </c>
      <c r="BI30" s="16" t="s">
        <v>143</v>
      </c>
      <c r="BJ30" s="12" t="s">
        <v>487</v>
      </c>
      <c r="BK30" s="16" t="s">
        <v>143</v>
      </c>
      <c r="BL30" s="16" t="s">
        <v>143</v>
      </c>
      <c r="BM30" s="16" t="s">
        <v>143</v>
      </c>
      <c r="BN30" s="16" t="s">
        <v>143</v>
      </c>
      <c r="BO30" s="16" t="s">
        <v>143</v>
      </c>
      <c r="BP30" s="26" t="s">
        <v>486</v>
      </c>
      <c r="BQ30" s="35" t="s">
        <v>488</v>
      </c>
      <c r="BR30" s="16" t="s">
        <v>143</v>
      </c>
      <c r="BS30" s="16" t="s">
        <v>143</v>
      </c>
      <c r="BT30" s="16" t="s">
        <v>143</v>
      </c>
      <c r="BU30" s="16" t="s">
        <v>143</v>
      </c>
      <c r="BV30" s="15" t="s">
        <v>143</v>
      </c>
      <c r="BW30" s="15" t="s">
        <v>143</v>
      </c>
      <c r="BX30" s="15" t="s">
        <v>143</v>
      </c>
      <c r="BY30" s="16" t="s">
        <v>143</v>
      </c>
      <c r="BZ30" s="16" t="s">
        <v>143</v>
      </c>
      <c r="CA30" s="28" t="s">
        <v>489</v>
      </c>
      <c r="CB30" s="16" t="s">
        <v>143</v>
      </c>
      <c r="CC30" s="16" t="s">
        <v>143</v>
      </c>
      <c r="CD30" s="16" t="s">
        <v>143</v>
      </c>
      <c r="CE30" s="16" t="s">
        <v>143</v>
      </c>
      <c r="CF30" s="16" t="s">
        <v>143</v>
      </c>
      <c r="CG30" s="26" t="s">
        <v>490</v>
      </c>
      <c r="CH30" s="26" t="s">
        <v>491</v>
      </c>
      <c r="CI30" s="16" t="s">
        <v>143</v>
      </c>
      <c r="CJ30" s="16" t="s">
        <v>143</v>
      </c>
      <c r="CK30" s="16" t="s">
        <v>143</v>
      </c>
      <c r="CL30" s="16" t="s">
        <v>143</v>
      </c>
      <c r="CM30" s="16" t="s">
        <v>143</v>
      </c>
      <c r="CN30" s="16" t="s">
        <v>143</v>
      </c>
      <c r="CO30" s="16" t="s">
        <v>143</v>
      </c>
      <c r="CP30" s="16" t="s">
        <v>143</v>
      </c>
      <c r="CQ30" s="26" t="s">
        <v>486</v>
      </c>
      <c r="CR30" s="16" t="s">
        <v>143</v>
      </c>
      <c r="CS30" s="114" t="s">
        <v>492</v>
      </c>
      <c r="CT30" s="16" t="s">
        <v>143</v>
      </c>
      <c r="CU30" s="26" t="s">
        <v>493</v>
      </c>
      <c r="CV30" s="16" t="s">
        <v>143</v>
      </c>
      <c r="CW30" s="16" t="s">
        <v>143</v>
      </c>
      <c r="CX30" s="16" t="s">
        <v>143</v>
      </c>
      <c r="CY30" s="16" t="s">
        <v>143</v>
      </c>
      <c r="CZ30" s="16" t="s">
        <v>143</v>
      </c>
      <c r="DA30" s="16" t="s">
        <v>143</v>
      </c>
      <c r="DB30" s="26" t="s">
        <v>486</v>
      </c>
      <c r="DC30" s="16" t="s">
        <v>143</v>
      </c>
      <c r="DD30" s="16" t="s">
        <v>143</v>
      </c>
      <c r="DE30" s="16" t="s">
        <v>143</v>
      </c>
      <c r="DF30" s="16" t="s">
        <v>480</v>
      </c>
      <c r="DG30" s="16" t="s">
        <v>480</v>
      </c>
      <c r="DH30" s="16" t="s">
        <v>143</v>
      </c>
      <c r="DI30" s="16" t="s">
        <v>143</v>
      </c>
      <c r="DJ30" s="26" t="s">
        <v>494</v>
      </c>
      <c r="DK30" s="16" t="s">
        <v>143</v>
      </c>
      <c r="DL30" s="16" t="s">
        <v>143</v>
      </c>
      <c r="DM30" s="29" t="s">
        <v>495</v>
      </c>
      <c r="DN30" s="16" t="s">
        <v>143</v>
      </c>
      <c r="DO30" s="16" t="s">
        <v>143</v>
      </c>
      <c r="DP30" s="26" t="s">
        <v>496</v>
      </c>
      <c r="DQ30" s="16" t="s">
        <v>143</v>
      </c>
      <c r="DR30" s="26" t="s">
        <v>497</v>
      </c>
      <c r="DS30" s="16" t="s">
        <v>143</v>
      </c>
      <c r="DT30" s="16" t="s">
        <v>143</v>
      </c>
      <c r="DU30" s="16" t="s">
        <v>143</v>
      </c>
      <c r="DV30" s="16" t="s">
        <v>143</v>
      </c>
      <c r="DW30" s="115" t="s">
        <v>498</v>
      </c>
      <c r="DX30" s="16" t="s">
        <v>143</v>
      </c>
      <c r="DY30" s="16" t="s">
        <v>143</v>
      </c>
    </row>
    <row r="31" customFormat="false" ht="15" hidden="false" customHeight="false" outlineLevel="0" collapsed="false">
      <c r="A31" s="13"/>
      <c r="B31" s="115" t="s">
        <v>499</v>
      </c>
      <c r="C31" s="29" t="s">
        <v>500</v>
      </c>
      <c r="D31" s="16"/>
      <c r="E31" s="16"/>
      <c r="F31" s="2"/>
      <c r="G31" s="2"/>
      <c r="H31" s="116" t="s">
        <v>501</v>
      </c>
      <c r="I31" s="16"/>
      <c r="J31" s="16"/>
      <c r="K31" s="115" t="s">
        <v>502</v>
      </c>
      <c r="L31" s="2"/>
      <c r="M31" s="2"/>
      <c r="N31" s="115" t="s">
        <v>503</v>
      </c>
      <c r="O31" s="16"/>
      <c r="P31" s="16"/>
      <c r="Q31" s="115" t="s">
        <v>504</v>
      </c>
      <c r="R31" s="16"/>
      <c r="S31" s="16"/>
      <c r="T31" s="16"/>
      <c r="U31" s="12" t="s">
        <v>503</v>
      </c>
      <c r="V31" s="16"/>
      <c r="W31" s="16"/>
      <c r="X31" s="16"/>
      <c r="Y31" s="16"/>
      <c r="Z31" s="29" t="s">
        <v>505</v>
      </c>
      <c r="AA31" s="16"/>
      <c r="AB31" s="16"/>
      <c r="AC31" s="16"/>
      <c r="AD31" s="2"/>
      <c r="AE31" s="115" t="s">
        <v>506</v>
      </c>
      <c r="AF31" s="16"/>
      <c r="AG31" s="16"/>
      <c r="AH31" s="16"/>
      <c r="AI31" s="16"/>
      <c r="AJ31" s="16"/>
      <c r="AK31" s="16"/>
      <c r="AL31" s="2" t="s">
        <v>503</v>
      </c>
      <c r="AM31" s="35"/>
      <c r="AN31" s="35"/>
      <c r="AO31" s="35"/>
      <c r="AP31" s="29" t="s">
        <v>507</v>
      </c>
      <c r="AQ31" s="2"/>
      <c r="AR31" s="2"/>
      <c r="AS31" s="2"/>
      <c r="AT31" s="115" t="s">
        <v>503</v>
      </c>
      <c r="AU31" s="16"/>
      <c r="AV31" s="115" t="s">
        <v>503</v>
      </c>
      <c r="AW31" s="16"/>
      <c r="AX31" s="16"/>
      <c r="AY31" s="16"/>
      <c r="AZ31" s="16"/>
      <c r="BA31" s="2"/>
      <c r="BB31" s="2"/>
      <c r="BC31" s="2"/>
      <c r="BD31" s="16"/>
      <c r="BE31" s="16"/>
      <c r="BF31" s="16"/>
      <c r="BG31" s="16"/>
      <c r="BH31" s="16"/>
      <c r="BI31" s="16"/>
      <c r="BJ31" s="26"/>
      <c r="BK31" s="16"/>
      <c r="BL31" s="16"/>
      <c r="BM31" s="16"/>
      <c r="BN31" s="16"/>
      <c r="BO31" s="35"/>
      <c r="BP31" s="29" t="s">
        <v>508</v>
      </c>
      <c r="BQ31" s="115" t="s">
        <v>509</v>
      </c>
      <c r="BR31" s="35"/>
      <c r="BS31" s="15"/>
      <c r="BT31" s="16"/>
      <c r="BU31" s="16"/>
      <c r="BV31" s="35"/>
      <c r="BW31" s="16"/>
      <c r="BX31" s="16"/>
      <c r="BY31" s="16"/>
      <c r="BZ31" s="16"/>
      <c r="CA31" s="29" t="s">
        <v>510</v>
      </c>
      <c r="CB31" s="35" t="s">
        <v>511</v>
      </c>
      <c r="CC31" s="16"/>
      <c r="CD31" s="16"/>
      <c r="CE31" s="16"/>
      <c r="CF31" s="16"/>
      <c r="CG31" s="115" t="s">
        <v>503</v>
      </c>
      <c r="CH31" s="115" t="s">
        <v>512</v>
      </c>
      <c r="CI31" s="16"/>
      <c r="CJ31" s="16"/>
      <c r="CK31" s="16"/>
      <c r="CL31" s="35" t="s">
        <v>513</v>
      </c>
      <c r="CM31" s="16"/>
      <c r="CN31" s="16"/>
      <c r="CO31" s="16"/>
      <c r="CP31" s="2"/>
      <c r="CQ31" s="115" t="s">
        <v>514</v>
      </c>
      <c r="CR31" s="16"/>
      <c r="CS31" s="12" t="s">
        <v>515</v>
      </c>
      <c r="CT31" s="16"/>
      <c r="CU31" s="115" t="s">
        <v>153</v>
      </c>
      <c r="CV31" s="16"/>
      <c r="CW31" s="16"/>
      <c r="CX31" s="16"/>
      <c r="CY31" s="16"/>
      <c r="CZ31" s="35"/>
      <c r="DA31" s="35"/>
      <c r="DB31" s="29" t="s">
        <v>516</v>
      </c>
      <c r="DC31" s="16"/>
      <c r="DD31" s="16"/>
      <c r="DF31" s="7" t="s">
        <v>517</v>
      </c>
      <c r="DG31" s="12" t="s">
        <v>503</v>
      </c>
      <c r="DH31" s="16"/>
      <c r="DI31" s="16"/>
      <c r="DJ31" s="29" t="s">
        <v>518</v>
      </c>
      <c r="DK31" s="16"/>
      <c r="DL31" s="16"/>
      <c r="DM31" s="35" t="s">
        <v>519</v>
      </c>
      <c r="DN31" s="16"/>
      <c r="DO31" s="16"/>
      <c r="DP31" s="115" t="s">
        <v>164</v>
      </c>
      <c r="DQ31" s="34"/>
      <c r="DR31" s="34" t="s">
        <v>520</v>
      </c>
      <c r="DS31" s="16"/>
      <c r="DT31" s="16"/>
      <c r="DU31" s="16"/>
      <c r="DV31" s="16"/>
      <c r="DW31" s="35" t="s">
        <v>521</v>
      </c>
      <c r="DX31" s="16"/>
      <c r="DY31" s="16"/>
      <c r="DZ31" s="16"/>
    </row>
    <row r="32" customFormat="false" ht="15" hidden="false" customHeight="false" outlineLevel="0" collapsed="false">
      <c r="A32" s="13" t="s">
        <v>135</v>
      </c>
      <c r="B32" s="2"/>
      <c r="C32" s="117"/>
      <c r="D32" s="117"/>
      <c r="E32" s="117"/>
      <c r="F32" s="2"/>
      <c r="G32" s="2"/>
      <c r="H32" s="116" t="s">
        <v>522</v>
      </c>
      <c r="I32" s="2"/>
      <c r="J32" s="2"/>
      <c r="K32" s="15" t="s">
        <v>143</v>
      </c>
      <c r="L32" s="2"/>
      <c r="M32" s="2"/>
      <c r="N32" s="2"/>
      <c r="O32" s="15"/>
      <c r="P32" s="10"/>
      <c r="Q32" s="10"/>
      <c r="R32" s="15"/>
      <c r="S32" s="15"/>
      <c r="T32" s="15"/>
      <c r="U32" s="15"/>
      <c r="V32" s="15"/>
      <c r="W32" s="15"/>
      <c r="X32" s="15"/>
      <c r="Y32" s="15"/>
      <c r="Z32" s="2"/>
      <c r="AA32" s="12"/>
      <c r="AB32" s="12"/>
      <c r="AC32" s="12"/>
      <c r="AD32" s="15"/>
      <c r="AE32" s="15"/>
      <c r="AF32" s="15"/>
      <c r="AG32" s="15"/>
      <c r="AH32" s="15"/>
      <c r="AI32" s="15"/>
      <c r="AJ32" s="15"/>
      <c r="AK32" s="15"/>
      <c r="AL32" s="2"/>
      <c r="AM32" s="35"/>
      <c r="AN32" s="35"/>
      <c r="AO32" s="35"/>
      <c r="AP32" s="29" t="s">
        <v>523</v>
      </c>
      <c r="AQ32" s="2"/>
      <c r="AR32" s="2"/>
      <c r="AS32" s="2"/>
      <c r="AT32" s="2"/>
      <c r="AU32" s="15"/>
      <c r="AV32" s="2"/>
      <c r="AW32" s="15"/>
      <c r="AX32" s="15"/>
      <c r="AY32" s="15"/>
      <c r="AZ32" s="15"/>
      <c r="BA32" s="2"/>
      <c r="BB32" s="2"/>
      <c r="BC32" s="2"/>
      <c r="BD32" s="15"/>
      <c r="BE32" s="15"/>
      <c r="BF32" s="15"/>
      <c r="BG32" s="15"/>
      <c r="BH32" s="15"/>
      <c r="BI32" s="118" t="s">
        <v>524</v>
      </c>
      <c r="BJ32" s="118" t="n">
        <v>0.6033333333</v>
      </c>
      <c r="BK32" s="15"/>
      <c r="BL32" s="15"/>
      <c r="BM32" s="15"/>
      <c r="BN32" s="15"/>
      <c r="BO32" s="35"/>
      <c r="BP32" s="35"/>
      <c r="BQ32" s="115" t="s">
        <v>525</v>
      </c>
      <c r="BR32" s="26"/>
      <c r="BS32" s="12"/>
      <c r="BT32" s="15"/>
      <c r="BU32" s="15"/>
      <c r="BV32" s="35"/>
      <c r="BW32" s="15"/>
      <c r="BX32" s="15"/>
      <c r="BY32" s="15"/>
      <c r="BZ32" s="119" t="s">
        <v>524</v>
      </c>
      <c r="CA32" s="120" t="n">
        <v>0.41</v>
      </c>
      <c r="CB32" s="26"/>
      <c r="CC32" s="15"/>
      <c r="CD32" s="15"/>
      <c r="CE32" s="15"/>
      <c r="CF32" s="119" t="s">
        <v>524</v>
      </c>
      <c r="CG32" s="119" t="n">
        <v>0.73</v>
      </c>
      <c r="CH32" s="2"/>
      <c r="CI32" s="15"/>
      <c r="CJ32" s="15"/>
      <c r="CK32" s="15"/>
      <c r="CL32" s="15"/>
      <c r="CM32" s="15"/>
      <c r="CN32" s="15"/>
      <c r="CO32" s="15"/>
      <c r="CP32" s="2"/>
      <c r="CQ32" s="2"/>
      <c r="CR32" s="15"/>
      <c r="CS32" s="10"/>
      <c r="CT32" s="15"/>
      <c r="CU32" s="2"/>
      <c r="CV32" s="15"/>
      <c r="CW32" s="15"/>
      <c r="CX32" s="15"/>
      <c r="CY32" s="15"/>
      <c r="CZ32" s="2"/>
      <c r="DA32" s="2"/>
      <c r="DB32" s="2"/>
      <c r="DC32" s="15"/>
      <c r="DD32" s="15"/>
      <c r="DE32" s="16"/>
      <c r="DF32" s="12" t="s">
        <v>503</v>
      </c>
      <c r="DH32" s="15"/>
      <c r="DK32" s="15"/>
      <c r="DL32" s="15"/>
      <c r="DM32" s="15"/>
      <c r="DN32" s="15"/>
      <c r="DO32" s="15"/>
      <c r="DP32" s="2"/>
      <c r="DQ32" s="15"/>
      <c r="DR32" s="15"/>
      <c r="DS32" s="15"/>
      <c r="DT32" s="15"/>
      <c r="DU32" s="15"/>
      <c r="DV32" s="15"/>
      <c r="DW32" s="15"/>
      <c r="DX32" s="15"/>
      <c r="DY32" s="15"/>
      <c r="DZ32" s="16"/>
    </row>
    <row r="33" customFormat="false" ht="15" hidden="false" customHeight="false" outlineLevel="0" collapsed="false">
      <c r="A33" s="13"/>
      <c r="B33" s="15"/>
      <c r="C33" s="12"/>
      <c r="D33" s="12"/>
      <c r="E33" s="12"/>
      <c r="F33" s="26"/>
      <c r="G33" s="118" t="s">
        <v>524</v>
      </c>
      <c r="H33" s="118" t="n">
        <v>0.8</v>
      </c>
      <c r="I33" s="26"/>
      <c r="J33" s="26"/>
      <c r="K33" s="15"/>
      <c r="L33" s="15"/>
      <c r="M33" s="118" t="s">
        <v>524</v>
      </c>
      <c r="N33" s="118" t="n">
        <v>0.8</v>
      </c>
      <c r="O33" s="15"/>
      <c r="P33" s="119" t="s">
        <v>524</v>
      </c>
      <c r="Q33" s="119" t="n">
        <f aca="false">403/1000</f>
        <v>0.403</v>
      </c>
      <c r="R33" s="15"/>
      <c r="S33" s="15"/>
      <c r="T33" s="119" t="s">
        <v>524</v>
      </c>
      <c r="U33" s="119" t="n">
        <v>0.2184490194</v>
      </c>
      <c r="V33" s="15"/>
      <c r="W33" s="15"/>
      <c r="X33" s="15"/>
      <c r="Y33" s="119" t="s">
        <v>524</v>
      </c>
      <c r="Z33" s="119" t="n">
        <v>0.79</v>
      </c>
      <c r="AA33" s="12"/>
      <c r="AB33" s="12"/>
      <c r="AC33" s="12"/>
      <c r="AD33" s="15"/>
      <c r="AE33" s="15"/>
      <c r="AF33" s="15"/>
      <c r="AG33" s="15"/>
      <c r="AH33" s="15"/>
      <c r="AI33" s="15"/>
      <c r="AJ33" s="15"/>
      <c r="AK33" s="119" t="s">
        <v>524</v>
      </c>
      <c r="AL33" s="119" t="n">
        <v>0.85</v>
      </c>
      <c r="AM33" s="26"/>
      <c r="AN33" s="26"/>
      <c r="AO33" s="26"/>
      <c r="AP33" s="26"/>
      <c r="AQ33" s="15"/>
      <c r="AR33" s="15"/>
      <c r="AS33" s="15"/>
      <c r="AT33" s="15"/>
      <c r="AU33" s="119" t="s">
        <v>524</v>
      </c>
      <c r="AV33" s="119" t="n">
        <v>0.81</v>
      </c>
      <c r="AW33" s="15"/>
      <c r="AX33" s="15"/>
      <c r="AY33" s="15"/>
      <c r="AZ33" s="15"/>
      <c r="BA33" s="15"/>
      <c r="BB33" s="15"/>
      <c r="BC33" s="15"/>
      <c r="BD33" s="15"/>
      <c r="BE33" s="15"/>
      <c r="BF33" s="15"/>
      <c r="BG33" s="15"/>
      <c r="BH33" s="15"/>
      <c r="BI33" s="15"/>
      <c r="BJ33" s="2"/>
      <c r="BK33" s="15"/>
      <c r="BL33" s="15"/>
      <c r="BM33" s="15"/>
      <c r="BN33" s="15"/>
      <c r="BO33" s="12"/>
      <c r="BP33" s="12"/>
      <c r="BQ33" s="115" t="s">
        <v>526</v>
      </c>
      <c r="BR33" s="26"/>
      <c r="BS33" s="12"/>
      <c r="BT33" s="15"/>
      <c r="BU33" s="15"/>
      <c r="BV33" s="15"/>
      <c r="BW33" s="15"/>
      <c r="BX33" s="15"/>
      <c r="BY33" s="15"/>
      <c r="BZ33" s="15"/>
      <c r="CA33" s="12"/>
      <c r="CB33" s="12"/>
      <c r="CC33" s="12"/>
      <c r="CD33" s="12"/>
      <c r="CE33" s="15"/>
      <c r="CF33" s="15"/>
      <c r="CG33" s="119" t="s">
        <v>524</v>
      </c>
      <c r="CH33" s="119" t="n">
        <v>0.85</v>
      </c>
      <c r="CI33" s="15"/>
      <c r="CJ33" s="15"/>
      <c r="CK33" s="15"/>
      <c r="CL33" s="15"/>
      <c r="CM33" s="15"/>
      <c r="CN33" s="15"/>
      <c r="CO33" s="15"/>
      <c r="CP33" s="15"/>
      <c r="CQ33" s="15"/>
      <c r="CR33" s="121" t="s">
        <v>524</v>
      </c>
      <c r="CS33" s="122" t="n">
        <v>0.49</v>
      </c>
      <c r="CT33" s="12"/>
      <c r="CU33" s="15"/>
      <c r="CV33" s="15"/>
      <c r="CW33" s="15"/>
      <c r="CX33" s="15"/>
      <c r="CY33" s="15"/>
      <c r="CZ33" s="15"/>
      <c r="DA33" s="15"/>
      <c r="DB33" s="15"/>
      <c r="DC33" s="15"/>
      <c r="DD33" s="15"/>
      <c r="DE33" s="119" t="s">
        <v>524</v>
      </c>
      <c r="DF33" s="119" t="n">
        <v>0.9</v>
      </c>
      <c r="DG33" s="15"/>
      <c r="DH33" s="15"/>
      <c r="DI33" s="119" t="s">
        <v>524</v>
      </c>
      <c r="DJ33" s="119" t="n">
        <v>0.4375</v>
      </c>
      <c r="DK33" s="15"/>
      <c r="DL33" s="119" t="s">
        <v>524</v>
      </c>
      <c r="DM33" s="119" t="n">
        <v>0.61</v>
      </c>
      <c r="DN33" s="15"/>
      <c r="DO33" s="12"/>
      <c r="DP33" s="15"/>
      <c r="DQ33" s="15"/>
      <c r="DR33" s="15"/>
      <c r="DS33" s="15"/>
      <c r="DT33" s="15"/>
      <c r="DU33" s="15"/>
      <c r="DV33" s="119" t="s">
        <v>524</v>
      </c>
      <c r="DW33" s="119" t="n">
        <v>0.14</v>
      </c>
      <c r="DX33" s="15"/>
      <c r="DY33" s="15"/>
      <c r="DZ33" s="16"/>
    </row>
    <row r="34" customFormat="false" ht="15" hidden="false" customHeight="false" outlineLevel="0" collapsed="false">
      <c r="A34" s="13"/>
      <c r="B34" s="12"/>
      <c r="C34" s="12"/>
      <c r="D34" s="12"/>
      <c r="E34" s="12"/>
      <c r="F34" s="26"/>
      <c r="G34" s="26"/>
      <c r="H34" s="26"/>
      <c r="I34" s="26"/>
      <c r="J34" s="26"/>
      <c r="K34" s="15"/>
      <c r="L34" s="15"/>
      <c r="M34" s="15"/>
      <c r="N34" s="15"/>
      <c r="O34" s="15"/>
      <c r="P34" s="15"/>
      <c r="Q34" s="16"/>
      <c r="R34" s="15"/>
      <c r="S34" s="15"/>
      <c r="T34" s="15"/>
      <c r="U34" s="16"/>
      <c r="V34" s="15"/>
      <c r="W34" s="15"/>
      <c r="X34" s="15"/>
      <c r="Y34" s="15"/>
      <c r="Z34" s="15"/>
      <c r="AA34" s="12"/>
      <c r="AB34" s="12"/>
      <c r="AC34" s="12"/>
      <c r="AD34" s="15"/>
      <c r="AE34" s="15"/>
      <c r="AF34" s="15"/>
      <c r="AG34" s="15"/>
      <c r="AH34" s="15"/>
      <c r="AI34" s="15"/>
      <c r="AJ34" s="15"/>
      <c r="AK34" s="15"/>
      <c r="AL34" s="15"/>
      <c r="AM34" s="26"/>
      <c r="AN34" s="26"/>
      <c r="AO34" s="26"/>
      <c r="AP34" s="26"/>
      <c r="AQ34" s="15"/>
      <c r="AR34" s="15"/>
      <c r="AS34" s="15"/>
      <c r="AT34" s="15"/>
      <c r="AU34" s="15"/>
      <c r="AV34" s="12"/>
      <c r="AW34" s="15"/>
      <c r="AX34" s="15"/>
      <c r="AY34" s="15"/>
      <c r="AZ34" s="15"/>
      <c r="BA34" s="15"/>
      <c r="BB34" s="15"/>
      <c r="BC34" s="15"/>
      <c r="BD34" s="15"/>
      <c r="BE34" s="15"/>
      <c r="BF34" s="15"/>
      <c r="BG34" s="15"/>
      <c r="BH34" s="15"/>
      <c r="BI34" s="15"/>
      <c r="BJ34" s="2"/>
      <c r="BK34" s="15"/>
      <c r="BL34" s="15"/>
      <c r="BM34" s="15"/>
      <c r="BN34" s="15"/>
      <c r="BO34" s="15"/>
      <c r="BP34" s="118" t="s">
        <v>524</v>
      </c>
      <c r="BQ34" s="118" t="n">
        <v>0.36</v>
      </c>
      <c r="BR34" s="15"/>
      <c r="BS34" s="12"/>
      <c r="BT34" s="15"/>
      <c r="BU34" s="15"/>
      <c r="BV34" s="15"/>
      <c r="BW34" s="15"/>
      <c r="BX34" s="15"/>
      <c r="BY34" s="15"/>
      <c r="BZ34" s="15"/>
      <c r="CA34" s="15"/>
      <c r="CB34" s="15"/>
      <c r="CC34" s="15"/>
      <c r="CD34" s="15"/>
      <c r="CE34" s="15"/>
      <c r="CF34" s="15"/>
      <c r="CG34" s="15"/>
      <c r="CH34" s="15"/>
      <c r="CI34" s="15"/>
      <c r="CJ34" s="15"/>
      <c r="CK34" s="15"/>
      <c r="CL34" s="15" t="s">
        <v>135</v>
      </c>
      <c r="CM34" s="15"/>
      <c r="CN34" s="15"/>
      <c r="CO34" s="15"/>
      <c r="CP34" s="15"/>
      <c r="CQ34" s="15"/>
      <c r="CR34" s="15"/>
      <c r="CS34" s="12"/>
      <c r="CT34" s="12"/>
      <c r="CU34" s="15"/>
      <c r="CV34" s="15"/>
      <c r="CW34" s="15"/>
      <c r="CX34" s="15"/>
      <c r="CY34" s="15"/>
      <c r="CZ34" s="15"/>
      <c r="DA34" s="15"/>
      <c r="DB34" s="15"/>
      <c r="DC34" s="15"/>
      <c r="DD34" s="15"/>
      <c r="DF34" s="119" t="s">
        <v>524</v>
      </c>
      <c r="DG34" s="119" t="n">
        <v>0.67</v>
      </c>
      <c r="DH34" s="15"/>
      <c r="DI34" s="15"/>
      <c r="DJ34" s="15"/>
      <c r="DK34" s="15"/>
      <c r="DL34" s="15"/>
      <c r="DM34" s="15"/>
      <c r="DN34" s="15"/>
      <c r="DO34" s="12"/>
      <c r="DP34" s="15"/>
      <c r="DQ34" s="15"/>
      <c r="DR34" s="15"/>
      <c r="DS34" s="15"/>
      <c r="DT34" s="15"/>
      <c r="DU34" s="15"/>
      <c r="DV34" s="15"/>
      <c r="DW34" s="15"/>
      <c r="DX34" s="15"/>
      <c r="DY34" s="15"/>
      <c r="DZ34" s="16"/>
    </row>
    <row r="35" customFormat="false" ht="15" hidden="false" customHeight="false" outlineLevel="0" collapsed="false">
      <c r="A35" s="12"/>
      <c r="B35" s="15"/>
      <c r="C35" s="12"/>
      <c r="D35" s="12"/>
      <c r="E35" s="12"/>
      <c r="F35" s="26"/>
      <c r="G35" s="26"/>
      <c r="H35" s="26"/>
      <c r="I35" s="26"/>
      <c r="J35" s="26"/>
      <c r="K35" s="15"/>
      <c r="L35" s="15"/>
      <c r="M35" s="15"/>
      <c r="N35" s="15"/>
      <c r="O35" s="15"/>
      <c r="P35" s="15"/>
      <c r="Q35" s="16"/>
      <c r="R35" s="15"/>
      <c r="S35" s="15"/>
      <c r="T35" s="15"/>
      <c r="U35" s="15"/>
      <c r="V35" s="15"/>
      <c r="W35" s="15"/>
      <c r="X35" s="15"/>
      <c r="Y35" s="15"/>
      <c r="Z35" s="15"/>
      <c r="AA35" s="12"/>
      <c r="AB35" s="12"/>
      <c r="AC35" s="12"/>
      <c r="AD35" s="15"/>
      <c r="AE35" s="15"/>
      <c r="AF35" s="15"/>
      <c r="AG35" s="15"/>
      <c r="AH35" s="15"/>
      <c r="AI35" s="15"/>
      <c r="AJ35" s="15"/>
      <c r="AK35" s="15"/>
      <c r="AL35" s="15"/>
      <c r="AM35" s="15"/>
      <c r="AN35" s="15"/>
      <c r="AO35" s="15"/>
      <c r="AP35" s="15"/>
      <c r="AQ35" s="15"/>
      <c r="AR35" s="15"/>
      <c r="AS35" s="15"/>
      <c r="AT35" s="15"/>
      <c r="AU35" s="15"/>
      <c r="AV35" s="12"/>
      <c r="AW35" s="15"/>
      <c r="AX35" s="15"/>
      <c r="AY35" s="15"/>
      <c r="AZ35" s="15"/>
      <c r="BA35" s="15"/>
      <c r="BB35" s="15"/>
      <c r="BC35" s="15"/>
      <c r="BD35" s="15"/>
      <c r="BE35" s="15"/>
      <c r="BF35" s="15"/>
      <c r="BG35" s="15"/>
      <c r="BH35" s="15"/>
      <c r="BI35" s="15"/>
      <c r="BJ35" s="10"/>
      <c r="BK35" s="15"/>
      <c r="BL35" s="15"/>
      <c r="BM35" s="15"/>
      <c r="BN35" s="15"/>
      <c r="BO35" s="15"/>
      <c r="BP35" s="15"/>
      <c r="BQ35" s="15"/>
      <c r="BR35" s="15"/>
      <c r="BS35" s="12"/>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2"/>
      <c r="CT35" s="12"/>
      <c r="CU35" s="15"/>
      <c r="CV35" s="15"/>
      <c r="CW35" s="15"/>
      <c r="CX35" s="15"/>
      <c r="CY35" s="15"/>
      <c r="CZ35" s="15"/>
      <c r="DA35" s="15"/>
      <c r="DB35" s="15"/>
      <c r="DC35" s="15"/>
      <c r="DD35" s="15"/>
      <c r="DE35" s="15"/>
      <c r="DF35" s="15"/>
      <c r="DG35" s="15"/>
      <c r="DH35" s="15"/>
      <c r="DI35" s="15"/>
      <c r="DJ35" s="15"/>
      <c r="DK35" s="15"/>
      <c r="DL35" s="15"/>
      <c r="DM35" s="15"/>
      <c r="DN35" s="15"/>
      <c r="DO35" s="12"/>
      <c r="DP35" s="15"/>
      <c r="DQ35" s="12"/>
      <c r="DR35" s="12"/>
      <c r="DS35" s="15"/>
      <c r="DT35" s="15"/>
      <c r="DU35" s="15"/>
      <c r="DV35" s="15"/>
      <c r="DW35" s="15"/>
      <c r="DX35" s="15"/>
      <c r="DY35" s="15"/>
      <c r="DZ35" s="16"/>
    </row>
    <row r="36" customFormat="false" ht="15" hidden="false" customHeight="false" outlineLevel="0" collapsed="false">
      <c r="A36" s="123" t="s">
        <v>527</v>
      </c>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24"/>
      <c r="BU36" s="124"/>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c r="CZ36" s="124"/>
      <c r="DA36" s="124"/>
      <c r="DB36" s="124"/>
      <c r="DC36" s="124"/>
      <c r="DD36" s="124"/>
      <c r="DE36" s="124"/>
      <c r="DF36" s="124"/>
      <c r="DG36" s="124"/>
      <c r="DH36" s="124"/>
      <c r="DI36" s="124"/>
      <c r="DJ36" s="124"/>
      <c r="DK36" s="124"/>
      <c r="DL36" s="124"/>
      <c r="DM36" s="124"/>
      <c r="DN36" s="124"/>
      <c r="DO36" s="124"/>
      <c r="DP36" s="124"/>
      <c r="DQ36" s="125"/>
      <c r="DR36" s="125"/>
      <c r="DS36" s="124"/>
      <c r="DT36" s="124"/>
      <c r="DU36" s="124"/>
      <c r="DV36" s="124"/>
      <c r="DW36" s="124"/>
      <c r="DX36" s="124"/>
      <c r="DY36" s="124"/>
      <c r="DZ36" s="124"/>
    </row>
    <row r="37" customFormat="false" ht="15" hidden="false" customHeight="false" outlineLevel="0" collapsed="false">
      <c r="A37" s="13" t="n">
        <v>1990</v>
      </c>
      <c r="B37" s="16" t="n">
        <v>0.007727</v>
      </c>
      <c r="C37" s="16"/>
      <c r="D37" s="16" t="n">
        <v>0.5</v>
      </c>
      <c r="E37" s="16" t="n">
        <v>0.2</v>
      </c>
      <c r="F37" s="16" t="s">
        <v>528</v>
      </c>
      <c r="G37" s="16" t="n">
        <v>0.1</v>
      </c>
      <c r="H37" s="16"/>
      <c r="I37" s="16"/>
      <c r="J37" s="16" t="n">
        <v>1.6</v>
      </c>
      <c r="K37" s="16"/>
      <c r="L37" s="16" t="n">
        <v>0.2</v>
      </c>
      <c r="M37" s="16" t="s">
        <v>528</v>
      </c>
      <c r="N37" s="16"/>
      <c r="O37" s="16" t="s">
        <v>528</v>
      </c>
      <c r="P37" s="16" t="n">
        <v>0.2</v>
      </c>
      <c r="Q37" s="16" t="s">
        <v>528</v>
      </c>
      <c r="R37" s="16" t="n">
        <v>0.2</v>
      </c>
      <c r="S37" s="16" t="n">
        <v>6</v>
      </c>
      <c r="T37" s="16" t="n">
        <v>0.4</v>
      </c>
      <c r="U37" s="16"/>
      <c r="V37" s="16" t="n">
        <v>3.4</v>
      </c>
      <c r="W37" s="16" t="n">
        <v>0.9</v>
      </c>
      <c r="X37" s="16"/>
      <c r="Y37" s="16" t="n">
        <v>2</v>
      </c>
      <c r="Z37" s="16" t="n">
        <v>0.218492</v>
      </c>
      <c r="AA37" s="16" t="n">
        <v>0.8</v>
      </c>
      <c r="AB37" s="16" t="n">
        <v>4</v>
      </c>
      <c r="AC37" s="16" t="n">
        <v>1.2</v>
      </c>
      <c r="AD37" s="16" t="n">
        <v>0.1</v>
      </c>
      <c r="AE37" s="16"/>
      <c r="AF37" s="15" t="n">
        <v>0.1</v>
      </c>
      <c r="AG37" s="16" t="n">
        <v>3.9</v>
      </c>
      <c r="AH37" s="16" t="s">
        <v>528</v>
      </c>
      <c r="AI37" s="16"/>
      <c r="AJ37" s="16" t="n">
        <v>3</v>
      </c>
      <c r="AK37" s="16" t="n">
        <v>1.7</v>
      </c>
      <c r="AL37" s="16" t="n">
        <v>0.048577265</v>
      </c>
      <c r="AM37" s="16" t="n">
        <v>0.2</v>
      </c>
      <c r="AN37" s="16" t="n">
        <v>0.6</v>
      </c>
      <c r="AO37" s="16" t="n">
        <v>0.2</v>
      </c>
      <c r="AP37" s="16"/>
      <c r="AQ37" s="16" t="n">
        <v>0.1</v>
      </c>
      <c r="AR37" s="16" t="n">
        <v>0.7</v>
      </c>
      <c r="AS37" s="16" t="n">
        <v>0.5</v>
      </c>
      <c r="AT37" s="16"/>
      <c r="AU37" s="16" t="n">
        <v>1.3</v>
      </c>
      <c r="AV37" s="16" t="n">
        <v>0.308351</v>
      </c>
      <c r="AW37" s="16" t="n">
        <v>0.9</v>
      </c>
      <c r="AX37" s="16" t="n">
        <v>0.2</v>
      </c>
      <c r="AY37" s="16" t="n">
        <v>0.1</v>
      </c>
      <c r="AZ37" s="16" t="n">
        <v>1.5</v>
      </c>
      <c r="BA37" s="16" t="n">
        <v>0.1</v>
      </c>
      <c r="BB37" s="16" t="s">
        <v>528</v>
      </c>
      <c r="BC37" s="16" t="n">
        <v>0.5</v>
      </c>
      <c r="BD37" s="16"/>
      <c r="BE37" s="16" t="n">
        <v>2.2</v>
      </c>
      <c r="BF37" s="16" t="n">
        <v>1.8</v>
      </c>
      <c r="BG37" s="15" t="s">
        <v>528</v>
      </c>
      <c r="BH37" s="16"/>
      <c r="BI37" s="16" t="n">
        <v>0.1</v>
      </c>
      <c r="BJ37" s="16"/>
      <c r="BK37" s="15" t="s">
        <v>528</v>
      </c>
      <c r="BL37" s="16" t="n">
        <v>0.9</v>
      </c>
      <c r="BM37" s="16" t="n">
        <v>0.1</v>
      </c>
      <c r="BN37" s="16" t="n">
        <v>6.4</v>
      </c>
      <c r="BO37" s="16" t="s">
        <v>528</v>
      </c>
      <c r="BP37" s="16" t="n">
        <v>0.1</v>
      </c>
      <c r="BQ37" s="16"/>
      <c r="BR37" s="16" t="n">
        <v>2.6</v>
      </c>
      <c r="BS37" s="16" t="n">
        <v>0.7</v>
      </c>
      <c r="BT37" s="16" t="s">
        <v>528</v>
      </c>
      <c r="BU37" s="16" t="n">
        <v>8.8</v>
      </c>
      <c r="BV37" s="16" t="s">
        <v>528</v>
      </c>
      <c r="BW37" s="16" t="n">
        <v>1.8</v>
      </c>
      <c r="BX37" s="16" t="n">
        <v>0.3</v>
      </c>
      <c r="BY37" s="16"/>
      <c r="BZ37" s="16" t="n">
        <v>0.1</v>
      </c>
      <c r="CA37" s="16"/>
      <c r="CB37" s="16" t="n">
        <v>0.1</v>
      </c>
      <c r="CC37" s="16" t="n">
        <v>1.6</v>
      </c>
      <c r="CD37" s="16"/>
      <c r="CE37" s="16" t="n">
        <v>1.4</v>
      </c>
      <c r="CF37" s="16" t="n">
        <v>0.1</v>
      </c>
      <c r="CG37" s="16" t="n">
        <v>0.094583</v>
      </c>
      <c r="CH37" s="16" t="n">
        <v>0.06</v>
      </c>
      <c r="CI37" s="16" t="n">
        <v>0.3</v>
      </c>
      <c r="CJ37" s="16" t="n">
        <v>0.2</v>
      </c>
      <c r="CK37" s="16" t="n">
        <v>1.4</v>
      </c>
      <c r="CL37" s="16" t="n">
        <v>0.004732</v>
      </c>
      <c r="CM37" s="16" t="n">
        <v>0.3</v>
      </c>
      <c r="CN37" s="16" t="s">
        <v>528</v>
      </c>
      <c r="CO37" s="16" t="n">
        <v>0.1</v>
      </c>
      <c r="CP37" s="16" t="n">
        <v>0.5</v>
      </c>
      <c r="CQ37" s="16"/>
      <c r="CR37" s="16"/>
      <c r="CS37" s="16"/>
      <c r="CT37" s="16" t="n">
        <v>5.2</v>
      </c>
      <c r="CU37" s="16"/>
      <c r="CV37" s="16" t="n">
        <v>0.2</v>
      </c>
      <c r="CW37" s="16" t="n">
        <v>0.1</v>
      </c>
      <c r="CX37" s="16" t="s">
        <v>528</v>
      </c>
      <c r="CY37" s="16" t="n">
        <v>1</v>
      </c>
      <c r="CZ37" s="16" t="n">
        <v>0.1</v>
      </c>
      <c r="DA37" s="16" t="n">
        <v>0.4</v>
      </c>
      <c r="DB37" s="16"/>
      <c r="DC37" s="16" t="s">
        <v>528</v>
      </c>
      <c r="DD37" s="16" t="n">
        <v>0.1</v>
      </c>
      <c r="DE37" s="16" t="n">
        <v>2.2</v>
      </c>
      <c r="DF37" s="11" t="n">
        <v>0.0893711488482442</v>
      </c>
      <c r="DG37" s="11" t="n">
        <v>0.263882577102923</v>
      </c>
      <c r="DH37" s="16" t="s">
        <v>528</v>
      </c>
      <c r="DI37" s="16" t="n">
        <v>0.5</v>
      </c>
      <c r="DJ37" s="16"/>
      <c r="DK37" s="16" t="n">
        <v>1.2</v>
      </c>
      <c r="DL37" s="16" t="n">
        <v>0.4</v>
      </c>
      <c r="DM37" s="16"/>
      <c r="DN37" s="16" t="n">
        <v>13.1</v>
      </c>
      <c r="DO37" s="16"/>
      <c r="DP37" s="16"/>
      <c r="DQ37" s="16" t="n">
        <v>5.1</v>
      </c>
      <c r="DR37" s="15"/>
      <c r="DS37" s="16" t="n">
        <v>0.1</v>
      </c>
      <c r="DT37" s="16" t="s">
        <v>528</v>
      </c>
      <c r="DU37" s="16" t="s">
        <v>528</v>
      </c>
      <c r="DV37" s="16" t="n">
        <v>0.1</v>
      </c>
      <c r="DW37" s="16"/>
      <c r="DX37" s="16" t="n">
        <v>12.4</v>
      </c>
      <c r="DY37" s="16" t="n">
        <v>15</v>
      </c>
      <c r="DZ37" s="16" t="n">
        <v>0.435869149</v>
      </c>
    </row>
    <row r="38" customFormat="false" ht="15" hidden="false" customHeight="false" outlineLevel="0" collapsed="false">
      <c r="A38" s="13" t="n">
        <v>1991</v>
      </c>
      <c r="B38" s="16" t="n">
        <v>0.009451</v>
      </c>
      <c r="C38" s="16"/>
      <c r="D38" s="16" t="n">
        <v>0.5</v>
      </c>
      <c r="E38" s="16" t="n">
        <v>0.2</v>
      </c>
      <c r="F38" s="16" t="s">
        <v>528</v>
      </c>
      <c r="G38" s="16" t="n">
        <v>0.1</v>
      </c>
      <c r="H38" s="16"/>
      <c r="I38" s="16"/>
      <c r="J38" s="16" t="n">
        <v>1.8</v>
      </c>
      <c r="K38" s="16"/>
      <c r="L38" s="16" t="n">
        <v>0.2</v>
      </c>
      <c r="M38" s="16" t="s">
        <v>528</v>
      </c>
      <c r="N38" s="16"/>
      <c r="O38" s="16" t="s">
        <v>528</v>
      </c>
      <c r="P38" s="16" t="n">
        <v>0.3</v>
      </c>
      <c r="Q38" s="16" t="s">
        <v>528</v>
      </c>
      <c r="R38" s="16" t="n">
        <v>0.2</v>
      </c>
      <c r="S38" s="16" t="n">
        <v>8.4</v>
      </c>
      <c r="T38" s="16" t="n">
        <v>0.4</v>
      </c>
      <c r="U38" s="16"/>
      <c r="V38" s="16" t="n">
        <v>3.6</v>
      </c>
      <c r="W38" s="16" t="n">
        <v>1.1</v>
      </c>
      <c r="X38" s="16" t="n">
        <v>0.1</v>
      </c>
      <c r="Y38" s="16" t="n">
        <v>2.5</v>
      </c>
      <c r="Z38" s="16" t="n">
        <v>0.22402</v>
      </c>
      <c r="AA38" s="16" t="n">
        <v>0.9</v>
      </c>
      <c r="AB38" s="16" t="n">
        <v>4.8</v>
      </c>
      <c r="AC38" s="16" t="n">
        <v>1.3</v>
      </c>
      <c r="AD38" s="16" t="n">
        <v>0.1</v>
      </c>
      <c r="AE38" s="16"/>
      <c r="AF38" s="15" t="n">
        <v>0.1</v>
      </c>
      <c r="AG38" s="16" t="n">
        <v>4.3</v>
      </c>
      <c r="AH38" s="16" t="s">
        <v>528</v>
      </c>
      <c r="AI38" s="16"/>
      <c r="AJ38" s="16" t="n">
        <v>3.5</v>
      </c>
      <c r="AK38" s="16" t="n">
        <v>1.7</v>
      </c>
      <c r="AL38" s="16" t="n">
        <v>0.05602538</v>
      </c>
      <c r="AM38" s="16" t="n">
        <v>0.3</v>
      </c>
      <c r="AN38" s="16" t="n">
        <v>0.8</v>
      </c>
      <c r="AO38" s="16" t="n">
        <v>0.2</v>
      </c>
      <c r="AP38" s="16"/>
      <c r="AQ38" s="16" t="n">
        <v>0.2</v>
      </c>
      <c r="AR38" s="16" t="n">
        <v>0.7</v>
      </c>
      <c r="AS38" s="16" t="n">
        <v>0.6</v>
      </c>
      <c r="AT38" s="16"/>
      <c r="AU38" s="16" t="n">
        <v>1.7</v>
      </c>
      <c r="AV38" s="16" t="n">
        <v>0.30561</v>
      </c>
      <c r="AW38" s="16" t="n">
        <v>1.2</v>
      </c>
      <c r="AX38" s="16" t="n">
        <v>0.2</v>
      </c>
      <c r="AY38" s="16" t="n">
        <v>0.1</v>
      </c>
      <c r="AZ38" s="16" t="n">
        <v>1.7</v>
      </c>
      <c r="BA38" s="16" t="n">
        <v>0.1</v>
      </c>
      <c r="BB38" s="16" t="s">
        <v>528</v>
      </c>
      <c r="BC38" s="16" t="n">
        <v>0.6</v>
      </c>
      <c r="BD38" s="16" t="n">
        <v>0.1</v>
      </c>
      <c r="BE38" s="16" t="n">
        <v>2.7</v>
      </c>
      <c r="BF38" s="16" t="n">
        <v>1.9</v>
      </c>
      <c r="BG38" s="15" t="s">
        <v>528</v>
      </c>
      <c r="BH38" s="16"/>
      <c r="BI38" s="16" t="n">
        <v>0.1</v>
      </c>
      <c r="BJ38" s="16" t="n">
        <v>0.0694</v>
      </c>
      <c r="BK38" s="15" t="s">
        <v>528</v>
      </c>
      <c r="BL38" s="16" t="n">
        <v>1.2</v>
      </c>
      <c r="BM38" s="16" t="n">
        <v>0.1</v>
      </c>
      <c r="BN38" s="16" t="n">
        <v>8</v>
      </c>
      <c r="BO38" s="16" t="s">
        <v>528</v>
      </c>
      <c r="BP38" s="16" t="n">
        <v>0.1</v>
      </c>
      <c r="BQ38" s="16"/>
      <c r="BR38" s="16" t="n">
        <v>3.6</v>
      </c>
      <c r="BS38" s="16" t="n">
        <v>0.9</v>
      </c>
      <c r="BT38" s="16" t="s">
        <v>528</v>
      </c>
      <c r="BU38" s="16" t="n">
        <v>10.4</v>
      </c>
      <c r="BV38" s="16" t="n">
        <v>0.3</v>
      </c>
      <c r="BW38" s="16" t="n">
        <v>2</v>
      </c>
      <c r="BX38" s="16" t="n">
        <v>0.3</v>
      </c>
      <c r="BY38" s="16"/>
      <c r="BZ38" s="16" t="n">
        <v>0.2</v>
      </c>
      <c r="CA38" s="16"/>
      <c r="CB38" s="16" t="n">
        <v>0.1</v>
      </c>
      <c r="CC38" s="16" t="n">
        <v>2</v>
      </c>
      <c r="CD38" s="16" t="n">
        <v>0.1</v>
      </c>
      <c r="CE38" s="16" t="n">
        <v>2.2</v>
      </c>
      <c r="CF38" s="16" t="n">
        <v>0.1</v>
      </c>
      <c r="CG38" s="16" t="n">
        <v>0.122014</v>
      </c>
      <c r="CH38" s="16" t="n">
        <v>0.06</v>
      </c>
      <c r="CI38" s="16" t="n">
        <v>0.3</v>
      </c>
      <c r="CJ38" s="16" t="n">
        <v>0.3</v>
      </c>
      <c r="CK38" s="16" t="n">
        <v>1.6</v>
      </c>
      <c r="CL38" s="16" t="n">
        <v>0.005417</v>
      </c>
      <c r="CM38" s="16" t="n">
        <v>0.4</v>
      </c>
      <c r="CN38" s="16" t="s">
        <v>528</v>
      </c>
      <c r="CO38" s="16" t="n">
        <v>0.2</v>
      </c>
      <c r="CP38" s="16" t="n">
        <v>0.5</v>
      </c>
      <c r="CQ38" s="16"/>
      <c r="CR38" s="16"/>
      <c r="CS38" s="16"/>
      <c r="CT38" s="16" t="n">
        <v>5.7</v>
      </c>
      <c r="CU38" s="16"/>
      <c r="CV38" s="16" t="n">
        <v>0.2</v>
      </c>
      <c r="CW38" s="16" t="n">
        <v>0.1</v>
      </c>
      <c r="CX38" s="16" t="n">
        <v>0.1</v>
      </c>
      <c r="CY38" s="16" t="n">
        <v>1.6</v>
      </c>
      <c r="CZ38" s="16" t="n">
        <v>0.3</v>
      </c>
      <c r="DA38" s="16" t="n">
        <v>0.4</v>
      </c>
      <c r="DB38" s="16"/>
      <c r="DC38" s="16" t="s">
        <v>528</v>
      </c>
      <c r="DD38" s="16" t="n">
        <v>0.2</v>
      </c>
      <c r="DE38" s="16" t="n">
        <v>4</v>
      </c>
      <c r="DF38" s="11" t="n">
        <v>0.111748420543069</v>
      </c>
      <c r="DG38" s="11" t="n">
        <v>0.287894461277489</v>
      </c>
      <c r="DH38" s="16" t="s">
        <v>528</v>
      </c>
      <c r="DI38" s="16" t="n">
        <v>0.9</v>
      </c>
      <c r="DJ38" s="16"/>
      <c r="DK38" s="16" t="n">
        <v>1.5</v>
      </c>
      <c r="DL38" s="16" t="n">
        <v>0.5</v>
      </c>
      <c r="DM38" s="16"/>
      <c r="DN38" s="16" t="n">
        <v>13.3</v>
      </c>
      <c r="DO38" s="16"/>
      <c r="DP38" s="16"/>
      <c r="DQ38" s="16" t="n">
        <v>5.8</v>
      </c>
      <c r="DR38" s="15"/>
      <c r="DS38" s="16" t="n">
        <v>0.1</v>
      </c>
      <c r="DT38" s="16" t="s">
        <v>528</v>
      </c>
      <c r="DU38" s="16" t="s">
        <v>528</v>
      </c>
      <c r="DV38" s="16" t="n">
        <v>0.1</v>
      </c>
      <c r="DW38" s="16" t="n">
        <v>0.021633</v>
      </c>
      <c r="DX38" s="16" t="n">
        <v>13.5</v>
      </c>
      <c r="DY38" s="16" t="n">
        <v>17.7</v>
      </c>
      <c r="DZ38" s="16" t="n">
        <v>0.517562522</v>
      </c>
    </row>
    <row r="39" customFormat="false" ht="15" hidden="false" customHeight="false" outlineLevel="0" collapsed="false">
      <c r="A39" s="13" t="n">
        <v>1992</v>
      </c>
      <c r="B39" s="16" t="n">
        <v>0.010412</v>
      </c>
      <c r="C39" s="16"/>
      <c r="D39" s="16" t="n">
        <v>0.6</v>
      </c>
      <c r="E39" s="16" t="n">
        <v>0.2</v>
      </c>
      <c r="F39" s="16" t="s">
        <v>528</v>
      </c>
      <c r="G39" s="16" t="n">
        <v>0.1</v>
      </c>
      <c r="H39" s="16"/>
      <c r="I39" s="16"/>
      <c r="J39" s="16" t="n">
        <v>2</v>
      </c>
      <c r="K39" s="16"/>
      <c r="L39" s="16" t="n">
        <v>0.2</v>
      </c>
      <c r="M39" s="16" t="s">
        <v>528</v>
      </c>
      <c r="N39" s="16" t="n">
        <v>0.044757513</v>
      </c>
      <c r="O39" s="16" t="s">
        <v>528</v>
      </c>
      <c r="P39" s="16" t="n">
        <v>0.4</v>
      </c>
      <c r="Q39" s="16" t="s">
        <v>528</v>
      </c>
      <c r="R39" s="16" t="n">
        <v>0.2</v>
      </c>
      <c r="S39" s="16" t="n">
        <v>11.2</v>
      </c>
      <c r="T39" s="16" t="n">
        <v>0.4</v>
      </c>
      <c r="U39" s="16"/>
      <c r="V39" s="16" t="n">
        <v>3.7</v>
      </c>
      <c r="W39" s="16" t="n">
        <v>1.4</v>
      </c>
      <c r="X39" s="16" t="n">
        <v>0.3</v>
      </c>
      <c r="Y39" s="16" t="n">
        <v>3</v>
      </c>
      <c r="Z39" s="16" t="n">
        <v>0.239125</v>
      </c>
      <c r="AA39" s="16" t="n">
        <v>1</v>
      </c>
      <c r="AB39" s="16" t="n">
        <v>5.6</v>
      </c>
      <c r="AC39" s="16" t="n">
        <v>1.5</v>
      </c>
      <c r="AD39" s="16" t="n">
        <v>0.1</v>
      </c>
      <c r="AE39" s="16"/>
      <c r="AF39" s="15" t="n">
        <v>0.1</v>
      </c>
      <c r="AG39" s="16" t="n">
        <v>4.8</v>
      </c>
      <c r="AH39" s="16" t="s">
        <v>528</v>
      </c>
      <c r="AI39" s="16"/>
      <c r="AJ39" s="16" t="n">
        <v>3.9</v>
      </c>
      <c r="AK39" s="16" t="n">
        <v>1.7</v>
      </c>
      <c r="AL39" s="16" t="n">
        <v>0.059776012</v>
      </c>
      <c r="AM39" s="16" t="n">
        <v>0.5</v>
      </c>
      <c r="AN39" s="16" t="n">
        <v>1</v>
      </c>
      <c r="AO39" s="16" t="n">
        <v>0.2</v>
      </c>
      <c r="AP39" s="16"/>
      <c r="AQ39" s="16" t="n">
        <v>0.2</v>
      </c>
      <c r="AR39" s="16" t="n">
        <v>0.8</v>
      </c>
      <c r="AS39" s="16" t="n">
        <v>0.8</v>
      </c>
      <c r="AT39" s="16"/>
      <c r="AU39" s="16" t="n">
        <v>2.1</v>
      </c>
      <c r="AV39" s="16" t="n">
        <v>0.301845</v>
      </c>
      <c r="AW39" s="16" t="n">
        <v>1.5</v>
      </c>
      <c r="AX39" s="16" t="n">
        <v>0.3</v>
      </c>
      <c r="AY39" s="16" t="n">
        <v>0.1</v>
      </c>
      <c r="AZ39" s="16" t="n">
        <v>1.9</v>
      </c>
      <c r="BA39" s="16" t="n">
        <v>0.1</v>
      </c>
      <c r="BB39" s="16" t="s">
        <v>528</v>
      </c>
      <c r="BC39" s="16" t="n">
        <v>0.8</v>
      </c>
      <c r="BD39" s="16" t="n">
        <v>0.2</v>
      </c>
      <c r="BE39" s="16" t="n">
        <v>3.2</v>
      </c>
      <c r="BF39" s="16" t="n">
        <v>1.9</v>
      </c>
      <c r="BG39" s="15" t="s">
        <v>528</v>
      </c>
      <c r="BH39" s="16"/>
      <c r="BI39" s="16" t="n">
        <v>0.1</v>
      </c>
      <c r="BJ39" s="16" t="n">
        <v>0.08614</v>
      </c>
      <c r="BK39" s="15" t="s">
        <v>528</v>
      </c>
      <c r="BL39" s="16" t="n">
        <v>1.5</v>
      </c>
      <c r="BM39" s="16" t="n">
        <v>0.1</v>
      </c>
      <c r="BN39" s="16" t="n">
        <v>9.5</v>
      </c>
      <c r="BO39" s="16" t="s">
        <v>528</v>
      </c>
      <c r="BP39" s="16" t="n">
        <v>0.1</v>
      </c>
      <c r="BQ39" s="16"/>
      <c r="BR39" s="16" t="n">
        <v>4.9</v>
      </c>
      <c r="BS39" s="16" t="n">
        <v>1.1</v>
      </c>
      <c r="BT39" s="16" t="s">
        <v>528</v>
      </c>
      <c r="BU39" s="16" t="n">
        <v>12</v>
      </c>
      <c r="BV39" s="16" t="n">
        <v>0.4</v>
      </c>
      <c r="BW39" s="16" t="n">
        <v>2.1</v>
      </c>
      <c r="BX39" s="16" t="n">
        <v>0.4</v>
      </c>
      <c r="BY39" s="16"/>
      <c r="BZ39" s="16" t="n">
        <v>0.2</v>
      </c>
      <c r="CA39" s="16"/>
      <c r="CB39" s="16" t="n">
        <v>0.1</v>
      </c>
      <c r="CC39" s="16" t="n">
        <v>2.4</v>
      </c>
      <c r="CD39" s="16" t="n">
        <v>0.2</v>
      </c>
      <c r="CE39" s="16" t="n">
        <v>3.3</v>
      </c>
      <c r="CF39" s="16" t="n">
        <v>0.1</v>
      </c>
      <c r="CG39" s="16" t="n">
        <v>0.14324</v>
      </c>
      <c r="CH39" s="16" t="n">
        <v>0.06</v>
      </c>
      <c r="CI39" s="16" t="n">
        <v>0.3</v>
      </c>
      <c r="CJ39" s="16" t="n">
        <v>0.4</v>
      </c>
      <c r="CK39" s="16" t="n">
        <v>1.9</v>
      </c>
      <c r="CL39" s="16" t="n">
        <v>0.006254</v>
      </c>
      <c r="CM39" s="16" t="n">
        <v>0.5</v>
      </c>
      <c r="CN39" s="16" t="n">
        <v>0.1</v>
      </c>
      <c r="CO39" s="16" t="n">
        <v>0.2</v>
      </c>
      <c r="CP39" s="16" t="n">
        <v>0.5</v>
      </c>
      <c r="CQ39" s="16"/>
      <c r="CR39" s="16"/>
      <c r="CS39" s="16"/>
      <c r="CT39" s="16" t="n">
        <v>6.1</v>
      </c>
      <c r="CU39" s="16"/>
      <c r="CV39" s="16" t="n">
        <v>0.2</v>
      </c>
      <c r="CW39" s="16" t="n">
        <v>0.1</v>
      </c>
      <c r="CX39" s="16" t="n">
        <v>0.2</v>
      </c>
      <c r="CY39" s="16" t="n">
        <v>2.6</v>
      </c>
      <c r="CZ39" s="16" t="n">
        <v>0.4</v>
      </c>
      <c r="DA39" s="16" t="n">
        <v>0.4</v>
      </c>
      <c r="DB39" s="16"/>
      <c r="DC39" s="16" t="s">
        <v>528</v>
      </c>
      <c r="DD39" s="16" t="n">
        <v>0.3</v>
      </c>
      <c r="DE39" s="16" t="n">
        <v>6.5</v>
      </c>
      <c r="DF39" s="11" t="n">
        <v>0.129618429505055</v>
      </c>
      <c r="DG39" s="11" t="n">
        <v>0.312393709091133</v>
      </c>
      <c r="DH39" s="16" t="s">
        <v>528</v>
      </c>
      <c r="DI39" s="16" t="n">
        <v>1.3</v>
      </c>
      <c r="DJ39" s="16"/>
      <c r="DK39" s="16" t="n">
        <v>1.9</v>
      </c>
      <c r="DL39" s="16" t="n">
        <v>0.5</v>
      </c>
      <c r="DM39" s="16"/>
      <c r="DN39" s="16" t="n">
        <v>13.1</v>
      </c>
      <c r="DO39" s="16"/>
      <c r="DP39" s="16"/>
      <c r="DQ39" s="16" t="n">
        <v>6.4</v>
      </c>
      <c r="DR39" s="15"/>
      <c r="DS39" s="16" t="n">
        <v>0.2</v>
      </c>
      <c r="DT39" s="16" t="s">
        <v>528</v>
      </c>
      <c r="DU39" s="16" t="s">
        <v>528</v>
      </c>
      <c r="DV39" s="16" t="n">
        <v>0.1</v>
      </c>
      <c r="DW39" s="16" t="n">
        <v>0.024191</v>
      </c>
      <c r="DX39" s="16" t="n">
        <v>14.3</v>
      </c>
      <c r="DY39" s="16" t="n">
        <v>20.3</v>
      </c>
      <c r="DZ39" s="16" t="n">
        <v>0.600924961</v>
      </c>
    </row>
    <row r="40" customFormat="false" ht="15" hidden="false" customHeight="false" outlineLevel="0" collapsed="false">
      <c r="A40" s="13" t="n">
        <v>1993</v>
      </c>
      <c r="B40" s="16" t="n">
        <v>0.011534</v>
      </c>
      <c r="C40" s="16"/>
      <c r="D40" s="16" t="n">
        <v>0.7</v>
      </c>
      <c r="E40" s="16" t="n">
        <v>0.2</v>
      </c>
      <c r="F40" s="16" t="s">
        <v>528</v>
      </c>
      <c r="G40" s="16" t="n">
        <v>0.1</v>
      </c>
      <c r="H40" s="16"/>
      <c r="I40" s="16"/>
      <c r="J40" s="16" t="n">
        <v>2.3</v>
      </c>
      <c r="K40" s="16"/>
      <c r="L40" s="16" t="n">
        <v>0.3</v>
      </c>
      <c r="M40" s="16" t="s">
        <v>528</v>
      </c>
      <c r="N40" s="16" t="n">
        <v>0.057427846</v>
      </c>
      <c r="O40" s="16" t="n">
        <v>0.1</v>
      </c>
      <c r="P40" s="16" t="n">
        <v>0.6</v>
      </c>
      <c r="Q40" s="16" t="s">
        <v>528</v>
      </c>
      <c r="R40" s="16" t="n">
        <v>0.3</v>
      </c>
      <c r="S40" s="16" t="n">
        <v>14.2</v>
      </c>
      <c r="T40" s="16" t="n">
        <v>0.4</v>
      </c>
      <c r="U40" s="16"/>
      <c r="V40" s="16" t="n">
        <v>3.8</v>
      </c>
      <c r="W40" s="16" t="n">
        <v>1.8</v>
      </c>
      <c r="X40" s="16" t="n">
        <v>0.6</v>
      </c>
      <c r="Y40" s="16" t="n">
        <v>3.5</v>
      </c>
      <c r="Z40" s="16" t="n">
        <v>0.243876</v>
      </c>
      <c r="AA40" s="16" t="n">
        <v>1.1</v>
      </c>
      <c r="AB40" s="16" t="n">
        <v>6.4</v>
      </c>
      <c r="AC40" s="16" t="n">
        <v>1.7</v>
      </c>
      <c r="AD40" s="16" t="n">
        <v>0.1</v>
      </c>
      <c r="AE40" s="16"/>
      <c r="AF40" s="15" t="n">
        <v>0.2</v>
      </c>
      <c r="AG40" s="16" t="n">
        <v>5.1</v>
      </c>
      <c r="AH40" s="16" t="n">
        <v>0.1</v>
      </c>
      <c r="AI40" s="16"/>
      <c r="AJ40" s="16" t="n">
        <v>4.3</v>
      </c>
      <c r="AK40" s="16" t="n">
        <v>1.7</v>
      </c>
      <c r="AL40" s="16" t="n">
        <v>0.065505632</v>
      </c>
      <c r="AM40" s="16" t="n">
        <v>0.8</v>
      </c>
      <c r="AN40" s="16" t="n">
        <v>1.2</v>
      </c>
      <c r="AO40" s="16" t="n">
        <v>0.3</v>
      </c>
      <c r="AP40" s="16"/>
      <c r="AQ40" s="16" t="n">
        <v>0.2</v>
      </c>
      <c r="AR40" s="16" t="n">
        <v>0.9</v>
      </c>
      <c r="AS40" s="16" t="n">
        <v>1</v>
      </c>
      <c r="AT40" s="16"/>
      <c r="AU40" s="16" t="n">
        <v>2.5</v>
      </c>
      <c r="AV40" s="16" t="n">
        <v>0.2853</v>
      </c>
      <c r="AW40" s="16" t="n">
        <v>1.9</v>
      </c>
      <c r="AX40" s="16" t="n">
        <v>0.4</v>
      </c>
      <c r="AY40" s="16" t="n">
        <v>0.1</v>
      </c>
      <c r="AZ40" s="16" t="n">
        <v>2.2</v>
      </c>
      <c r="BA40" s="16" t="n">
        <v>0.1</v>
      </c>
      <c r="BB40" s="16" t="s">
        <v>528</v>
      </c>
      <c r="BC40" s="16" t="n">
        <v>1.1</v>
      </c>
      <c r="BD40" s="16" t="n">
        <v>0.3</v>
      </c>
      <c r="BE40" s="16" t="n">
        <v>3.7</v>
      </c>
      <c r="BF40" s="16" t="n">
        <v>2</v>
      </c>
      <c r="BG40" s="15" t="s">
        <v>528</v>
      </c>
      <c r="BH40" s="16"/>
      <c r="BI40" s="16" t="n">
        <v>0.1</v>
      </c>
      <c r="BJ40" s="16" t="n">
        <v>0.104135</v>
      </c>
      <c r="BK40" s="15" t="s">
        <v>528</v>
      </c>
      <c r="BL40" s="16" t="n">
        <v>1.7</v>
      </c>
      <c r="BM40" s="16" t="n">
        <v>0.1</v>
      </c>
      <c r="BN40" s="16" t="n">
        <v>10.9</v>
      </c>
      <c r="BO40" s="16" t="s">
        <v>528</v>
      </c>
      <c r="BP40" s="16" t="n">
        <v>0.1</v>
      </c>
      <c r="BQ40" s="16"/>
      <c r="BR40" s="16" t="n">
        <v>6.8</v>
      </c>
      <c r="BS40" s="16" t="n">
        <v>1.4</v>
      </c>
      <c r="BT40" s="16" t="n">
        <v>0.1</v>
      </c>
      <c r="BU40" s="16" t="n">
        <v>13.3</v>
      </c>
      <c r="BV40" s="16" t="n">
        <v>0.5</v>
      </c>
      <c r="BW40" s="16" t="n">
        <v>2.2</v>
      </c>
      <c r="BX40" s="16" t="n">
        <v>0.4</v>
      </c>
      <c r="BY40" s="16" t="n">
        <v>0.1</v>
      </c>
      <c r="BZ40" s="16" t="n">
        <v>0.3</v>
      </c>
      <c r="CA40" s="16"/>
      <c r="CB40" s="16" t="n">
        <v>0.1</v>
      </c>
      <c r="CC40" s="16" t="n">
        <v>2.9</v>
      </c>
      <c r="CD40" s="16" t="n">
        <v>0.3</v>
      </c>
      <c r="CE40" s="16" t="n">
        <v>4.8</v>
      </c>
      <c r="CF40" s="16" t="n">
        <v>0.1</v>
      </c>
      <c r="CG40" s="16" t="n">
        <v>0.168224</v>
      </c>
      <c r="CH40" s="16" t="n">
        <v>0.06</v>
      </c>
      <c r="CI40" s="16" t="n">
        <v>0.3</v>
      </c>
      <c r="CJ40" s="16" t="n">
        <v>0.5</v>
      </c>
      <c r="CK40" s="16" t="n">
        <v>2.2</v>
      </c>
      <c r="CL40" s="16" t="n">
        <v>0.007039</v>
      </c>
      <c r="CM40" s="16" t="n">
        <v>0.6</v>
      </c>
      <c r="CN40" s="16" t="n">
        <v>0.2</v>
      </c>
      <c r="CO40" s="16" t="n">
        <v>0.2</v>
      </c>
      <c r="CP40" s="16" t="n">
        <v>0.5</v>
      </c>
      <c r="CQ40" s="16"/>
      <c r="CR40" s="16"/>
      <c r="CS40" s="16"/>
      <c r="CT40" s="16" t="n">
        <v>6.3</v>
      </c>
      <c r="CU40" s="16"/>
      <c r="CV40" s="16" t="n">
        <v>0.3</v>
      </c>
      <c r="CW40" s="16" t="n">
        <v>0.1</v>
      </c>
      <c r="CX40" s="16" t="n">
        <v>0.2</v>
      </c>
      <c r="CY40" s="16" t="n">
        <v>3.9</v>
      </c>
      <c r="CZ40" s="16" t="n">
        <v>0.6</v>
      </c>
      <c r="DA40" s="16" t="n">
        <v>0.5</v>
      </c>
      <c r="DB40" s="16"/>
      <c r="DC40" s="16" t="s">
        <v>528</v>
      </c>
      <c r="DD40" s="16" t="n">
        <v>0.3</v>
      </c>
      <c r="DE40" s="16" t="n">
        <v>9.4</v>
      </c>
      <c r="DF40" s="11" t="n">
        <v>0.141766139241034</v>
      </c>
      <c r="DG40" s="11" t="n">
        <v>0.334786959713132</v>
      </c>
      <c r="DH40" s="16" t="s">
        <v>528</v>
      </c>
      <c r="DI40" s="16" t="n">
        <v>1.6</v>
      </c>
      <c r="DJ40" s="16"/>
      <c r="DK40" s="16" t="n">
        <v>2.3</v>
      </c>
      <c r="DL40" s="16" t="n">
        <v>0.6</v>
      </c>
      <c r="DM40" s="16"/>
      <c r="DN40" s="16" t="n">
        <v>12.7</v>
      </c>
      <c r="DO40" s="16" t="n">
        <v>0.1</v>
      </c>
      <c r="DP40" s="16"/>
      <c r="DQ40" s="16" t="n">
        <v>7</v>
      </c>
      <c r="DR40" s="15"/>
      <c r="DS40" s="16" t="n">
        <v>0.2</v>
      </c>
      <c r="DT40" s="16" t="s">
        <v>528</v>
      </c>
      <c r="DU40" s="16" t="s">
        <v>528</v>
      </c>
      <c r="DV40" s="16" t="n">
        <v>0.1</v>
      </c>
      <c r="DW40" s="16" t="n">
        <v>0.026413</v>
      </c>
      <c r="DX40" s="16" t="n">
        <v>14.9</v>
      </c>
      <c r="DY40" s="16" t="n">
        <v>22.5</v>
      </c>
      <c r="DZ40" s="16" t="n">
        <v>0.683424724</v>
      </c>
    </row>
    <row r="41" customFormat="false" ht="15" hidden="false" customHeight="false" outlineLevel="0" collapsed="false">
      <c r="A41" s="13" t="n">
        <v>1994</v>
      </c>
      <c r="B41" s="16" t="n">
        <v>0.012896</v>
      </c>
      <c r="C41" s="16" t="n">
        <v>0.007879</v>
      </c>
      <c r="D41" s="16" t="n">
        <v>0.8</v>
      </c>
      <c r="E41" s="16" t="n">
        <v>0.2</v>
      </c>
      <c r="F41" s="16" t="s">
        <v>528</v>
      </c>
      <c r="G41" s="16" t="n">
        <v>0.1</v>
      </c>
      <c r="H41" s="16"/>
      <c r="I41" s="16"/>
      <c r="J41" s="16" t="n">
        <v>2.5</v>
      </c>
      <c r="K41" s="16"/>
      <c r="L41" s="16" t="n">
        <v>0.3</v>
      </c>
      <c r="M41" s="16" t="s">
        <v>528</v>
      </c>
      <c r="N41" s="16" t="n">
        <v>0.07210385</v>
      </c>
      <c r="O41" s="16" t="n">
        <v>0.2</v>
      </c>
      <c r="P41" s="16" t="n">
        <v>0.8</v>
      </c>
      <c r="Q41" s="16" t="s">
        <v>528</v>
      </c>
      <c r="R41" s="16" t="n">
        <v>0.3</v>
      </c>
      <c r="S41" s="16" t="n">
        <v>17.2</v>
      </c>
      <c r="T41" s="16" t="n">
        <v>0.4</v>
      </c>
      <c r="U41" s="16"/>
      <c r="V41" s="16" t="n">
        <v>3.7</v>
      </c>
      <c r="W41" s="16" t="n">
        <v>2.1</v>
      </c>
      <c r="X41" s="16" t="n">
        <v>1</v>
      </c>
      <c r="Y41" s="16" t="n">
        <v>3.9</v>
      </c>
      <c r="Z41" s="16" t="n">
        <v>0.246308</v>
      </c>
      <c r="AA41" s="16" t="n">
        <v>1.2</v>
      </c>
      <c r="AB41" s="16" t="n">
        <v>7.2</v>
      </c>
      <c r="AC41" s="16" t="n">
        <v>1.9</v>
      </c>
      <c r="AD41" s="16" t="n">
        <v>0.1</v>
      </c>
      <c r="AE41" s="16"/>
      <c r="AF41" s="15" t="n">
        <v>0.2</v>
      </c>
      <c r="AG41" s="16" t="n">
        <v>5.4</v>
      </c>
      <c r="AH41" s="16" t="n">
        <v>0.1</v>
      </c>
      <c r="AI41" s="16" t="n">
        <v>0.016478</v>
      </c>
      <c r="AJ41" s="16" t="n">
        <v>4.7</v>
      </c>
      <c r="AK41" s="16" t="n">
        <v>1.7</v>
      </c>
      <c r="AL41" s="16" t="n">
        <v>0.071388127</v>
      </c>
      <c r="AM41" s="16" t="n">
        <v>1.1</v>
      </c>
      <c r="AN41" s="16" t="n">
        <v>1.5</v>
      </c>
      <c r="AO41" s="16" t="n">
        <v>0.3</v>
      </c>
      <c r="AP41" s="16"/>
      <c r="AQ41" s="16" t="n">
        <v>0.2</v>
      </c>
      <c r="AR41" s="16" t="n">
        <v>1</v>
      </c>
      <c r="AS41" s="16" t="n">
        <v>1.2</v>
      </c>
      <c r="AT41" s="16"/>
      <c r="AU41" s="16" t="n">
        <v>2.8</v>
      </c>
      <c r="AV41" s="16" t="n">
        <v>0.286145</v>
      </c>
      <c r="AW41" s="16" t="n">
        <v>2.3</v>
      </c>
      <c r="AX41" s="16" t="n">
        <v>0.5</v>
      </c>
      <c r="AY41" s="16" t="n">
        <v>0.1</v>
      </c>
      <c r="AZ41" s="16" t="n">
        <v>2.4</v>
      </c>
      <c r="BA41" s="16" t="n">
        <v>0.1</v>
      </c>
      <c r="BB41" s="16" t="s">
        <v>528</v>
      </c>
      <c r="BC41" s="16" t="n">
        <v>1.3</v>
      </c>
      <c r="BD41" s="16" t="n">
        <v>0.4</v>
      </c>
      <c r="BE41" s="16" t="n">
        <v>4.2</v>
      </c>
      <c r="BF41" s="16" t="n">
        <v>1.9</v>
      </c>
      <c r="BG41" s="15" t="n">
        <v>0.1</v>
      </c>
      <c r="BH41" s="109" t="n">
        <v>0.00167</v>
      </c>
      <c r="BI41" s="16" t="n">
        <v>0.1</v>
      </c>
      <c r="BJ41" s="16" t="n">
        <v>0.119325</v>
      </c>
      <c r="BK41" s="15" t="s">
        <v>528</v>
      </c>
      <c r="BL41" s="16" t="n">
        <v>1.9</v>
      </c>
      <c r="BM41" s="16" t="n">
        <v>0.1</v>
      </c>
      <c r="BN41" s="16" t="n">
        <v>11.9</v>
      </c>
      <c r="BO41" s="16" t="s">
        <v>528</v>
      </c>
      <c r="BP41" s="16" t="n">
        <v>0.1</v>
      </c>
      <c r="BQ41" s="16"/>
      <c r="BR41" s="16" t="n">
        <v>9</v>
      </c>
      <c r="BS41" s="16" t="n">
        <v>1.6</v>
      </c>
      <c r="BT41" s="16" t="n">
        <v>0.2</v>
      </c>
      <c r="BU41" s="16" t="n">
        <v>14.5</v>
      </c>
      <c r="BV41" s="16" t="n">
        <v>0.6</v>
      </c>
      <c r="BW41" s="16" t="n">
        <v>2.2</v>
      </c>
      <c r="BX41" s="16" t="n">
        <v>0.5</v>
      </c>
      <c r="BY41" s="16" t="n">
        <v>0.2</v>
      </c>
      <c r="BZ41" s="16" t="n">
        <v>0.3</v>
      </c>
      <c r="CA41" s="16"/>
      <c r="CB41" s="16" t="n">
        <v>0.1</v>
      </c>
      <c r="CC41" s="16" t="n">
        <v>3.5</v>
      </c>
      <c r="CD41" s="16" t="n">
        <v>0.3</v>
      </c>
      <c r="CE41" s="16" t="n">
        <v>6.8</v>
      </c>
      <c r="CF41" s="16" t="n">
        <v>0.1</v>
      </c>
      <c r="CG41" s="16" t="n">
        <v>0.186315</v>
      </c>
      <c r="CH41" s="16" t="n">
        <v>0.06</v>
      </c>
      <c r="CI41" s="16" t="n">
        <v>0.3</v>
      </c>
      <c r="CJ41" s="16" t="n">
        <v>0.6</v>
      </c>
      <c r="CK41" s="16" t="n">
        <v>2.5</v>
      </c>
      <c r="CL41" s="16" t="n">
        <v>0.007588</v>
      </c>
      <c r="CM41" s="16" t="n">
        <v>0.7</v>
      </c>
      <c r="CN41" s="16" t="n">
        <v>0.3</v>
      </c>
      <c r="CO41" s="16" t="n">
        <v>0.2</v>
      </c>
      <c r="CP41" s="16" t="n">
        <v>0.5</v>
      </c>
      <c r="CQ41" s="16"/>
      <c r="CR41" s="16"/>
      <c r="CS41" s="16"/>
      <c r="CT41" s="16" t="n">
        <v>6.3</v>
      </c>
      <c r="CU41" s="16"/>
      <c r="CV41" s="16" t="n">
        <v>0.3</v>
      </c>
      <c r="CW41" s="16" t="n">
        <v>0.1</v>
      </c>
      <c r="CX41" s="16" t="n">
        <v>0.3</v>
      </c>
      <c r="CY41" s="16" t="n">
        <v>5.7</v>
      </c>
      <c r="CZ41" s="16" t="n">
        <v>0.9</v>
      </c>
      <c r="DA41" s="16" t="n">
        <v>0.5</v>
      </c>
      <c r="DB41" s="16"/>
      <c r="DC41" s="16" t="s">
        <v>528</v>
      </c>
      <c r="DD41" s="16" t="n">
        <v>0.4</v>
      </c>
      <c r="DE41" s="16" t="n">
        <v>12.6</v>
      </c>
      <c r="DF41" s="11" t="n">
        <v>0.152676126224987</v>
      </c>
      <c r="DG41" s="11" t="n">
        <v>0.340765830172325</v>
      </c>
      <c r="DH41" s="16" t="s">
        <v>528</v>
      </c>
      <c r="DI41" s="16" t="n">
        <v>1.8</v>
      </c>
      <c r="DJ41" s="16"/>
      <c r="DK41" s="16" t="n">
        <v>2.8</v>
      </c>
      <c r="DL41" s="16" t="n">
        <v>0.7</v>
      </c>
      <c r="DM41" s="16"/>
      <c r="DN41" s="16" t="n">
        <v>12.1</v>
      </c>
      <c r="DO41" s="16" t="n">
        <v>0.1</v>
      </c>
      <c r="DP41" s="16"/>
      <c r="DQ41" s="16" t="n">
        <v>7.4</v>
      </c>
      <c r="DR41" s="15"/>
      <c r="DS41" s="16" t="n">
        <v>0.2</v>
      </c>
      <c r="DT41" s="16" t="s">
        <v>528</v>
      </c>
      <c r="DU41" s="16" t="s">
        <v>528</v>
      </c>
      <c r="DV41" s="16" t="n">
        <v>0.1</v>
      </c>
      <c r="DW41" s="16" t="n">
        <v>0.028403</v>
      </c>
      <c r="DX41" s="16" t="n">
        <v>15.3</v>
      </c>
      <c r="DY41" s="16" t="n">
        <v>24.2</v>
      </c>
      <c r="DZ41" s="16" t="n">
        <v>0.759883887</v>
      </c>
    </row>
    <row r="42" customFormat="false" ht="15" hidden="false" customHeight="false" outlineLevel="0" collapsed="false">
      <c r="A42" s="13" t="n">
        <v>1995</v>
      </c>
      <c r="B42" s="16" t="n">
        <v>0.014197</v>
      </c>
      <c r="C42" s="16" t="n">
        <v>0.008293</v>
      </c>
      <c r="D42" s="16" t="n">
        <v>0.9</v>
      </c>
      <c r="E42" s="16" t="n">
        <v>0.3</v>
      </c>
      <c r="F42" s="16" t="s">
        <v>528</v>
      </c>
      <c r="G42" s="16" t="n">
        <v>0.1</v>
      </c>
      <c r="H42" s="16"/>
      <c r="I42" s="16"/>
      <c r="J42" s="16" t="n">
        <v>2.7</v>
      </c>
      <c r="K42" s="16"/>
      <c r="L42" s="16" t="n">
        <v>0.4</v>
      </c>
      <c r="M42" s="16" t="s">
        <v>528</v>
      </c>
      <c r="N42" s="16" t="n">
        <v>0.083964599</v>
      </c>
      <c r="O42" s="16" t="n">
        <v>0.2</v>
      </c>
      <c r="P42" s="16" t="n">
        <v>0.9</v>
      </c>
      <c r="Q42" s="16" t="s">
        <v>528</v>
      </c>
      <c r="R42" s="16" t="n">
        <v>0.3</v>
      </c>
      <c r="S42" s="16" t="n">
        <v>19.9</v>
      </c>
      <c r="T42" s="16" t="n">
        <v>0.4</v>
      </c>
      <c r="U42" s="16"/>
      <c r="V42" s="16" t="n">
        <v>3.6</v>
      </c>
      <c r="W42" s="16" t="n">
        <v>2.5</v>
      </c>
      <c r="X42" s="16" t="n">
        <v>1.4</v>
      </c>
      <c r="Y42" s="16" t="n">
        <v>4.3</v>
      </c>
      <c r="Z42" s="16" t="n">
        <v>0.25421</v>
      </c>
      <c r="AA42" s="16" t="n">
        <v>1.3</v>
      </c>
      <c r="AB42" s="16" t="n">
        <v>7.8</v>
      </c>
      <c r="AC42" s="16" t="n">
        <v>2.1</v>
      </c>
      <c r="AD42" s="16" t="n">
        <v>0.2</v>
      </c>
      <c r="AE42" s="16"/>
      <c r="AF42" s="15" t="n">
        <v>0.2</v>
      </c>
      <c r="AG42" s="16" t="n">
        <v>5.5</v>
      </c>
      <c r="AH42" s="16" t="n">
        <v>0.1</v>
      </c>
      <c r="AI42" s="16" t="n">
        <v>0.019762</v>
      </c>
      <c r="AJ42" s="16" t="n">
        <v>5.1</v>
      </c>
      <c r="AK42" s="16" t="n">
        <v>1.8</v>
      </c>
      <c r="AL42" s="16" t="n">
        <v>0.077306127</v>
      </c>
      <c r="AM42" s="16" t="n">
        <v>1.5</v>
      </c>
      <c r="AN42" s="16" t="n">
        <v>1.7</v>
      </c>
      <c r="AO42" s="16" t="n">
        <v>0.3</v>
      </c>
      <c r="AP42" s="16"/>
      <c r="AQ42" s="16" t="n">
        <v>0.3</v>
      </c>
      <c r="AR42" s="16" t="n">
        <v>1.1</v>
      </c>
      <c r="AS42" s="16" t="n">
        <v>1.3</v>
      </c>
      <c r="AT42" s="16"/>
      <c r="AU42" s="16" t="n">
        <v>3.1</v>
      </c>
      <c r="AV42" s="16" t="n">
        <v>0.289228</v>
      </c>
      <c r="AW42" s="16" t="n">
        <v>2.8</v>
      </c>
      <c r="AX42" s="16" t="n">
        <v>0.6</v>
      </c>
      <c r="AY42" s="16" t="n">
        <v>0.1</v>
      </c>
      <c r="AZ42" s="16" t="n">
        <v>2.6</v>
      </c>
      <c r="BA42" s="16" t="n">
        <v>0.1</v>
      </c>
      <c r="BB42" s="16" t="s">
        <v>528</v>
      </c>
      <c r="BC42" s="16" t="n">
        <v>1.5</v>
      </c>
      <c r="BD42" s="16" t="n">
        <v>0.5</v>
      </c>
      <c r="BE42" s="16" t="n">
        <v>4.6</v>
      </c>
      <c r="BF42" s="16" t="n">
        <v>1.9</v>
      </c>
      <c r="BG42" s="15" t="n">
        <v>0.2</v>
      </c>
      <c r="BH42" s="109" t="n">
        <v>0.00337</v>
      </c>
      <c r="BI42" s="16" t="n">
        <v>0.1</v>
      </c>
      <c r="BJ42" s="16" t="n">
        <v>0.128396</v>
      </c>
      <c r="BK42" s="15" t="s">
        <v>528</v>
      </c>
      <c r="BL42" s="16" t="n">
        <v>2</v>
      </c>
      <c r="BM42" s="16" t="n">
        <v>0.1</v>
      </c>
      <c r="BN42" s="16" t="n">
        <v>12.6</v>
      </c>
      <c r="BO42" s="16" t="s">
        <v>528</v>
      </c>
      <c r="BP42" s="16" t="n">
        <v>0.1</v>
      </c>
      <c r="BQ42" s="16"/>
      <c r="BR42" s="16" t="n">
        <v>11.5</v>
      </c>
      <c r="BS42" s="16" t="n">
        <v>1.8</v>
      </c>
      <c r="BT42" s="16" t="n">
        <v>0.2</v>
      </c>
      <c r="BU42" s="16" t="n">
        <v>15.4</v>
      </c>
      <c r="BV42" s="16" t="n">
        <v>0.6</v>
      </c>
      <c r="BW42" s="16" t="n">
        <v>2.2</v>
      </c>
      <c r="BX42" s="16" t="n">
        <v>0.6</v>
      </c>
      <c r="BY42" s="16" t="n">
        <v>0.3</v>
      </c>
      <c r="BZ42" s="16" t="n">
        <v>0.3</v>
      </c>
      <c r="CA42" s="16"/>
      <c r="CB42" s="16" t="n">
        <v>0.1</v>
      </c>
      <c r="CC42" s="16" t="n">
        <v>4.1</v>
      </c>
      <c r="CD42" s="16" t="n">
        <v>0.4</v>
      </c>
      <c r="CE42" s="16" t="n">
        <v>9.1</v>
      </c>
      <c r="CF42" s="16" t="n">
        <v>0.1</v>
      </c>
      <c r="CG42" s="16" t="n">
        <v>0.194059</v>
      </c>
      <c r="CH42" s="16" t="n">
        <v>0.06</v>
      </c>
      <c r="CI42" s="16" t="n">
        <v>0.4</v>
      </c>
      <c r="CJ42" s="16" t="n">
        <v>0.7</v>
      </c>
      <c r="CK42" s="16" t="n">
        <v>2.9</v>
      </c>
      <c r="CL42" s="16" t="n">
        <v>0.008276</v>
      </c>
      <c r="CM42" s="16" t="n">
        <v>0.7</v>
      </c>
      <c r="CN42" s="16" t="n">
        <v>0.3</v>
      </c>
      <c r="CO42" s="16" t="n">
        <v>0.2</v>
      </c>
      <c r="CP42" s="16" t="n">
        <v>0.5</v>
      </c>
      <c r="CQ42" s="16"/>
      <c r="CR42" s="16"/>
      <c r="CS42" s="16"/>
      <c r="CT42" s="16" t="n">
        <v>6.3</v>
      </c>
      <c r="CU42" s="16"/>
      <c r="CV42" s="16" t="n">
        <v>0.4</v>
      </c>
      <c r="CW42" s="16" t="n">
        <v>0.2</v>
      </c>
      <c r="CX42" s="16" t="n">
        <v>0.4</v>
      </c>
      <c r="CY42" s="16" t="n">
        <v>7.9</v>
      </c>
      <c r="CZ42" s="16" t="n">
        <v>1.1</v>
      </c>
      <c r="DA42" s="16" t="n">
        <v>0.5</v>
      </c>
      <c r="DB42" s="16"/>
      <c r="DC42" s="16" t="s">
        <v>528</v>
      </c>
      <c r="DD42" s="16" t="n">
        <v>0.5</v>
      </c>
      <c r="DE42" s="16" t="n">
        <v>15.7</v>
      </c>
      <c r="DF42" s="11" t="n">
        <v>0.159120258784575</v>
      </c>
      <c r="DG42" s="11" t="n">
        <v>0.344193661118579</v>
      </c>
      <c r="DH42" s="16" t="s">
        <v>528</v>
      </c>
      <c r="DI42" s="16" t="n">
        <v>1.9</v>
      </c>
      <c r="DJ42" s="16"/>
      <c r="DK42" s="16" t="n">
        <v>3.2</v>
      </c>
      <c r="DL42" s="16" t="n">
        <v>0.8</v>
      </c>
      <c r="DM42" s="16"/>
      <c r="DN42" s="16" t="n">
        <v>11.4</v>
      </c>
      <c r="DO42" s="16" t="n">
        <v>0.2</v>
      </c>
      <c r="DP42" s="16"/>
      <c r="DQ42" s="16" t="n">
        <v>7.7</v>
      </c>
      <c r="DR42" s="15"/>
      <c r="DS42" s="16" t="n">
        <v>0.2</v>
      </c>
      <c r="DT42" s="16" t="s">
        <v>528</v>
      </c>
      <c r="DU42" s="16" t="n">
        <v>0.1</v>
      </c>
      <c r="DV42" s="16" t="n">
        <v>0.1</v>
      </c>
      <c r="DW42" s="16" t="n">
        <v>0.031837</v>
      </c>
      <c r="DX42" s="16" t="n">
        <v>15.6</v>
      </c>
      <c r="DY42" s="16" t="n">
        <v>25.3</v>
      </c>
      <c r="DZ42" s="16" t="n">
        <v>0.833170706</v>
      </c>
    </row>
    <row r="43" customFormat="false" ht="15" hidden="false" customHeight="false" outlineLevel="0" collapsed="false">
      <c r="A43" s="13" t="n">
        <v>1996</v>
      </c>
      <c r="B43" s="16" t="n">
        <v>0.014322</v>
      </c>
      <c r="C43" s="16" t="n">
        <v>0.009361</v>
      </c>
      <c r="D43" s="16" t="n">
        <v>1.1</v>
      </c>
      <c r="E43" s="16" t="n">
        <v>0.3</v>
      </c>
      <c r="F43" s="16" t="s">
        <v>528</v>
      </c>
      <c r="G43" s="16" t="n">
        <v>0.1</v>
      </c>
      <c r="H43" s="16"/>
      <c r="I43" s="16"/>
      <c r="J43" s="16" t="n">
        <v>2.8</v>
      </c>
      <c r="K43" s="16"/>
      <c r="L43" s="16" t="n">
        <v>0.4</v>
      </c>
      <c r="M43" s="16" t="s">
        <v>528</v>
      </c>
      <c r="N43" s="16" t="n">
        <v>0.096977143</v>
      </c>
      <c r="O43" s="16" t="n">
        <v>0.3</v>
      </c>
      <c r="P43" s="16" t="n">
        <v>1.1</v>
      </c>
      <c r="Q43" s="16" t="s">
        <v>528</v>
      </c>
      <c r="R43" s="16" t="n">
        <v>0.3</v>
      </c>
      <c r="S43" s="16" t="n">
        <v>22.2</v>
      </c>
      <c r="T43" s="16" t="n">
        <v>0.4</v>
      </c>
      <c r="U43" s="16"/>
      <c r="V43" s="16" t="n">
        <v>3.4</v>
      </c>
      <c r="W43" s="16" t="n">
        <v>2.7</v>
      </c>
      <c r="X43" s="16" t="n">
        <v>1.7</v>
      </c>
      <c r="Y43" s="16" t="n">
        <v>4.7</v>
      </c>
      <c r="Z43" s="16" t="n">
        <v>0.253888</v>
      </c>
      <c r="AA43" s="16" t="n">
        <v>1.4</v>
      </c>
      <c r="AB43" s="16" t="n">
        <v>8.3</v>
      </c>
      <c r="AC43" s="16" t="n">
        <v>2.4</v>
      </c>
      <c r="AD43" s="16" t="n">
        <v>0.2</v>
      </c>
      <c r="AE43" s="16"/>
      <c r="AF43" s="15" t="n">
        <v>0.2</v>
      </c>
      <c r="AG43" s="16" t="n">
        <v>5.6</v>
      </c>
      <c r="AH43" s="16" t="n">
        <v>0.1</v>
      </c>
      <c r="AI43" s="16" t="n">
        <v>0.022994</v>
      </c>
      <c r="AJ43" s="16" t="n">
        <v>5.4</v>
      </c>
      <c r="AK43" s="16" t="n">
        <v>1.8</v>
      </c>
      <c r="AL43" s="16" t="n">
        <v>0.085289204</v>
      </c>
      <c r="AM43" s="16" t="n">
        <v>1.8</v>
      </c>
      <c r="AN43" s="16" t="n">
        <v>1.9</v>
      </c>
      <c r="AO43" s="16" t="n">
        <v>0.3</v>
      </c>
      <c r="AP43" s="16"/>
      <c r="AQ43" s="16" t="n">
        <v>0.3</v>
      </c>
      <c r="AR43" s="16" t="n">
        <v>1.3</v>
      </c>
      <c r="AS43" s="16" t="n">
        <v>1.5</v>
      </c>
      <c r="AT43" s="16"/>
      <c r="AU43" s="16" t="n">
        <v>3.3</v>
      </c>
      <c r="AV43" s="16" t="n">
        <v>0.292844</v>
      </c>
      <c r="AW43" s="16" t="n">
        <v>3.3</v>
      </c>
      <c r="AX43" s="16" t="n">
        <v>0.8</v>
      </c>
      <c r="AY43" s="16" t="n">
        <v>0.1</v>
      </c>
      <c r="AZ43" s="16" t="n">
        <v>2.7</v>
      </c>
      <c r="BA43" s="16" t="n">
        <v>0.1</v>
      </c>
      <c r="BB43" s="16" t="n">
        <v>0.1</v>
      </c>
      <c r="BC43" s="16" t="n">
        <v>1.6</v>
      </c>
      <c r="BD43" s="16" t="n">
        <v>0.7</v>
      </c>
      <c r="BE43" s="16" t="n">
        <v>5</v>
      </c>
      <c r="BF43" s="16" t="n">
        <v>1.8</v>
      </c>
      <c r="BG43" s="15" t="n">
        <v>0.2</v>
      </c>
      <c r="BH43" s="109" t="n">
        <v>0.00626</v>
      </c>
      <c r="BI43" s="16" t="n">
        <v>0.1</v>
      </c>
      <c r="BJ43" s="16" t="n">
        <v>0.138832</v>
      </c>
      <c r="BK43" s="15" t="s">
        <v>528</v>
      </c>
      <c r="BL43" s="16" t="n">
        <v>2.1</v>
      </c>
      <c r="BM43" s="16" t="n">
        <v>0.1</v>
      </c>
      <c r="BN43" s="16" t="n">
        <v>12.8</v>
      </c>
      <c r="BO43" s="16" t="s">
        <v>528</v>
      </c>
      <c r="BP43" s="16" t="n">
        <v>0.1</v>
      </c>
      <c r="BQ43" s="16"/>
      <c r="BR43" s="16" t="n">
        <v>13.7</v>
      </c>
      <c r="BS43" s="16" t="n">
        <v>2</v>
      </c>
      <c r="BT43" s="16" t="n">
        <v>0.3</v>
      </c>
      <c r="BU43" s="16" t="n">
        <v>16</v>
      </c>
      <c r="BV43" s="16" t="n">
        <v>0.6</v>
      </c>
      <c r="BW43" s="16" t="n">
        <v>2.1</v>
      </c>
      <c r="BX43" s="16" t="n">
        <v>0.6</v>
      </c>
      <c r="BY43" s="16" t="n">
        <v>0.4</v>
      </c>
      <c r="BZ43" s="16" t="n">
        <v>0.3</v>
      </c>
      <c r="CA43" s="16"/>
      <c r="CB43" s="16" t="n">
        <v>0.1</v>
      </c>
      <c r="CC43" s="16" t="n">
        <v>4.8</v>
      </c>
      <c r="CD43" s="16" t="n">
        <v>0.4</v>
      </c>
      <c r="CE43" s="16" t="n">
        <v>11.4</v>
      </c>
      <c r="CF43" s="16" t="n">
        <v>0.1</v>
      </c>
      <c r="CG43" s="16" t="n">
        <v>0.201018</v>
      </c>
      <c r="CH43" s="16" t="n">
        <v>0.06</v>
      </c>
      <c r="CI43" s="16" t="n">
        <v>0.4</v>
      </c>
      <c r="CJ43" s="16" t="n">
        <v>0.9</v>
      </c>
      <c r="CK43" s="16" t="n">
        <v>3.2</v>
      </c>
      <c r="CL43" s="16" t="n">
        <v>0.008905</v>
      </c>
      <c r="CM43" s="16" t="n">
        <v>0.7</v>
      </c>
      <c r="CN43" s="16" t="n">
        <v>0.4</v>
      </c>
      <c r="CO43" s="16" t="n">
        <v>0.3</v>
      </c>
      <c r="CP43" s="16" t="n">
        <v>0.5</v>
      </c>
      <c r="CQ43" s="16"/>
      <c r="CR43" s="16" t="n">
        <v>0.1</v>
      </c>
      <c r="CS43" s="16"/>
      <c r="CT43" s="16" t="n">
        <v>6.1</v>
      </c>
      <c r="CU43" s="16"/>
      <c r="CV43" s="16" t="n">
        <v>0.4</v>
      </c>
      <c r="CW43" s="16" t="n">
        <v>0.3</v>
      </c>
      <c r="CX43" s="16" t="n">
        <v>0.4</v>
      </c>
      <c r="CY43" s="16" t="n">
        <v>10.3</v>
      </c>
      <c r="CZ43" s="16" t="n">
        <v>1.4</v>
      </c>
      <c r="DA43" s="16" t="n">
        <v>0.5</v>
      </c>
      <c r="DB43" s="16"/>
      <c r="DC43" s="16" t="s">
        <v>528</v>
      </c>
      <c r="DD43" s="16" t="n">
        <v>0.6</v>
      </c>
      <c r="DE43" s="16" t="n">
        <v>18.5</v>
      </c>
      <c r="DF43" s="11" t="n">
        <v>0.16516642506556</v>
      </c>
      <c r="DG43" s="11" t="n">
        <v>0.331410410297228</v>
      </c>
      <c r="DH43" s="16" t="s">
        <v>528</v>
      </c>
      <c r="DI43" s="16" t="n">
        <v>2</v>
      </c>
      <c r="DJ43" s="16"/>
      <c r="DK43" s="16" t="n">
        <v>3.6</v>
      </c>
      <c r="DL43" s="16" t="n">
        <v>0.8</v>
      </c>
      <c r="DM43" s="16"/>
      <c r="DN43" s="16" t="n">
        <v>10.6</v>
      </c>
      <c r="DO43" s="16" t="n">
        <v>0.3</v>
      </c>
      <c r="DP43" s="16"/>
      <c r="DQ43" s="16" t="n">
        <v>7.9</v>
      </c>
      <c r="DR43" s="16"/>
      <c r="DS43" s="16" t="n">
        <v>0.3</v>
      </c>
      <c r="DT43" s="16" t="s">
        <v>528</v>
      </c>
      <c r="DU43" s="16" t="n">
        <v>0.2</v>
      </c>
      <c r="DV43" s="16" t="n">
        <v>0.1</v>
      </c>
      <c r="DW43" s="16" t="n">
        <v>0.032142</v>
      </c>
      <c r="DX43" s="16" t="n">
        <v>15.7</v>
      </c>
      <c r="DY43" s="16" t="n">
        <v>26</v>
      </c>
      <c r="DZ43" s="16" t="n">
        <v>0.894702952</v>
      </c>
    </row>
    <row r="44" customFormat="false" ht="15" hidden="false" customHeight="false" outlineLevel="0" collapsed="false">
      <c r="A44" s="13" t="n">
        <v>1997</v>
      </c>
      <c r="B44" s="16" t="n">
        <v>0.014878</v>
      </c>
      <c r="C44" s="16" t="n">
        <v>0.01035</v>
      </c>
      <c r="D44" s="16" t="n">
        <v>1.2</v>
      </c>
      <c r="E44" s="16" t="n">
        <v>0.3</v>
      </c>
      <c r="F44" s="16" t="s">
        <v>528</v>
      </c>
      <c r="G44" s="16" t="n">
        <v>0.1</v>
      </c>
      <c r="H44" s="15" t="n">
        <v>0.0622965395019865</v>
      </c>
      <c r="I44" s="16"/>
      <c r="J44" s="16" t="n">
        <v>2.9</v>
      </c>
      <c r="K44" s="16"/>
      <c r="L44" s="16" t="n">
        <v>0.5</v>
      </c>
      <c r="M44" s="16" t="s">
        <v>528</v>
      </c>
      <c r="N44" s="16" t="n">
        <v>0.109142294</v>
      </c>
      <c r="O44" s="16" t="n">
        <v>0.5</v>
      </c>
      <c r="P44" s="16" t="n">
        <v>1.2</v>
      </c>
      <c r="Q44" s="16" t="s">
        <v>528</v>
      </c>
      <c r="R44" s="16" t="n">
        <v>0.3</v>
      </c>
      <c r="S44" s="16" t="n">
        <v>24</v>
      </c>
      <c r="T44" s="16" t="n">
        <v>0.4</v>
      </c>
      <c r="U44" s="16"/>
      <c r="V44" s="16" t="n">
        <v>3.2</v>
      </c>
      <c r="W44" s="16" t="n">
        <v>2.9</v>
      </c>
      <c r="X44" s="16" t="n">
        <v>1.8</v>
      </c>
      <c r="Y44" s="16" t="n">
        <v>5</v>
      </c>
      <c r="Z44" s="16" t="n">
        <v>0.258771</v>
      </c>
      <c r="AA44" s="16" t="n">
        <v>1.5</v>
      </c>
      <c r="AB44" s="16" t="n">
        <v>8.7</v>
      </c>
      <c r="AC44" s="16" t="n">
        <v>2.6</v>
      </c>
      <c r="AD44" s="16" t="n">
        <v>0.2</v>
      </c>
      <c r="AE44" s="16"/>
      <c r="AF44" s="15" t="n">
        <v>0.2</v>
      </c>
      <c r="AG44" s="16" t="n">
        <v>5.7</v>
      </c>
      <c r="AH44" s="16" t="n">
        <v>0.1</v>
      </c>
      <c r="AI44" s="16" t="n">
        <v>0.026264</v>
      </c>
      <c r="AJ44" s="16" t="n">
        <v>5.6</v>
      </c>
      <c r="AK44" s="16" t="n">
        <v>1.9</v>
      </c>
      <c r="AL44" s="16" t="n">
        <v>0.089778747</v>
      </c>
      <c r="AM44" s="16" t="n">
        <v>2.2</v>
      </c>
      <c r="AN44" s="16" t="n">
        <v>2.1</v>
      </c>
      <c r="AO44" s="16" t="n">
        <v>0.3</v>
      </c>
      <c r="AP44" s="16" t="n">
        <v>0.003530804</v>
      </c>
      <c r="AQ44" s="16" t="n">
        <v>0.3</v>
      </c>
      <c r="AR44" s="16" t="n">
        <v>1.5</v>
      </c>
      <c r="AS44" s="16" t="n">
        <v>1.5</v>
      </c>
      <c r="AT44" s="16"/>
      <c r="AU44" s="16" t="n">
        <v>3.4</v>
      </c>
      <c r="AV44" s="16" t="n">
        <v>0.318894</v>
      </c>
      <c r="AW44" s="16" t="n">
        <v>3.7</v>
      </c>
      <c r="AX44" s="16" t="n">
        <v>1</v>
      </c>
      <c r="AY44" s="16" t="n">
        <v>0.1</v>
      </c>
      <c r="AZ44" s="16" t="n">
        <v>2.8</v>
      </c>
      <c r="BA44" s="16" t="n">
        <v>0.1</v>
      </c>
      <c r="BB44" s="16" t="n">
        <v>0.2</v>
      </c>
      <c r="BC44" s="16" t="n">
        <v>1.7</v>
      </c>
      <c r="BD44" s="16" t="n">
        <v>0.8</v>
      </c>
      <c r="BE44" s="16" t="n">
        <v>5.2</v>
      </c>
      <c r="BF44" s="16" t="n">
        <v>1.7</v>
      </c>
      <c r="BG44" s="15" t="n">
        <v>0.3</v>
      </c>
      <c r="BH44" s="109" t="n">
        <v>0.0109</v>
      </c>
      <c r="BI44" s="16" t="n">
        <v>0.1</v>
      </c>
      <c r="BJ44" s="16" t="n">
        <v>0.149193</v>
      </c>
      <c r="BK44" s="15" t="n">
        <v>0.1</v>
      </c>
      <c r="BL44" s="16" t="n">
        <v>2.2</v>
      </c>
      <c r="BM44" s="16" t="n">
        <v>0.1</v>
      </c>
      <c r="BN44" s="16" t="n">
        <v>12.7</v>
      </c>
      <c r="BO44" s="16" t="s">
        <v>528</v>
      </c>
      <c r="BP44" s="16" t="n">
        <v>0.1</v>
      </c>
      <c r="BQ44" s="16"/>
      <c r="BR44" s="16" t="n">
        <v>15.6</v>
      </c>
      <c r="BS44" s="16" t="n">
        <v>2.2</v>
      </c>
      <c r="BT44" s="16" t="n">
        <v>0.4</v>
      </c>
      <c r="BU44" s="16" t="n">
        <v>16.5</v>
      </c>
      <c r="BV44" s="16" t="n">
        <v>0.7</v>
      </c>
      <c r="BW44" s="16" t="n">
        <v>2</v>
      </c>
      <c r="BX44" s="16" t="n">
        <v>0.7</v>
      </c>
      <c r="BY44" s="16" t="n">
        <v>0.6</v>
      </c>
      <c r="BZ44" s="16" t="n">
        <v>0.3</v>
      </c>
      <c r="CA44" s="16"/>
      <c r="CB44" s="16" t="n">
        <v>0.1</v>
      </c>
      <c r="CC44" s="16" t="n">
        <v>5.5</v>
      </c>
      <c r="CD44" s="16" t="n">
        <v>0.5</v>
      </c>
      <c r="CE44" s="16" t="n">
        <v>13.5</v>
      </c>
      <c r="CF44" s="16" t="n">
        <v>0.1</v>
      </c>
      <c r="CG44" s="16" t="n">
        <v>0.208264</v>
      </c>
      <c r="CH44" s="16" t="n">
        <v>0.06</v>
      </c>
      <c r="CI44" s="16" t="n">
        <v>0.4</v>
      </c>
      <c r="CJ44" s="16" t="n">
        <v>1</v>
      </c>
      <c r="CK44" s="16" t="n">
        <v>3.5</v>
      </c>
      <c r="CL44" s="16" t="n">
        <v>0.009828</v>
      </c>
      <c r="CM44" s="16" t="n">
        <v>0.7</v>
      </c>
      <c r="CN44" s="16" t="n">
        <v>0.5</v>
      </c>
      <c r="CO44" s="16" t="n">
        <v>0.3</v>
      </c>
      <c r="CP44" s="16" t="n">
        <v>0.4</v>
      </c>
      <c r="CQ44" s="16"/>
      <c r="CR44" s="16" t="n">
        <v>0.1</v>
      </c>
      <c r="CS44" s="16" t="n">
        <f aca="false">0.0034/CS67</f>
        <v>0.00693877551</v>
      </c>
      <c r="CT44" s="16" t="n">
        <v>5.9</v>
      </c>
      <c r="CU44" s="16"/>
      <c r="CV44" s="16" t="n">
        <v>0.5</v>
      </c>
      <c r="CW44" s="16" t="n">
        <v>0.4</v>
      </c>
      <c r="CX44" s="16" t="n">
        <v>0.5</v>
      </c>
      <c r="CY44" s="16" t="n">
        <v>12.8</v>
      </c>
      <c r="CZ44" s="16" t="n">
        <v>1.6</v>
      </c>
      <c r="DA44" s="16" t="n">
        <v>0.5</v>
      </c>
      <c r="DB44" s="16"/>
      <c r="DC44" s="16" t="s">
        <v>528</v>
      </c>
      <c r="DD44" s="16" t="n">
        <v>0.8</v>
      </c>
      <c r="DE44" s="16" t="n">
        <v>20.9</v>
      </c>
      <c r="DF44" s="11" t="n">
        <v>0.171349531899814</v>
      </c>
      <c r="DG44" s="11" t="n">
        <v>0.353965561529288</v>
      </c>
      <c r="DH44" s="16" t="s">
        <v>528</v>
      </c>
      <c r="DI44" s="16" t="n">
        <v>1.9</v>
      </c>
      <c r="DJ44" s="16"/>
      <c r="DK44" s="16" t="n">
        <v>4</v>
      </c>
      <c r="DL44" s="16" t="n">
        <v>0.9</v>
      </c>
      <c r="DM44" s="16"/>
      <c r="DN44" s="16" t="n">
        <v>9.8</v>
      </c>
      <c r="DO44" s="16" t="n">
        <v>0.3</v>
      </c>
      <c r="DP44" s="16"/>
      <c r="DQ44" s="16" t="n">
        <v>8</v>
      </c>
      <c r="DR44" s="16"/>
      <c r="DS44" s="16" t="n">
        <v>0.3</v>
      </c>
      <c r="DT44" s="16" t="s">
        <v>528</v>
      </c>
      <c r="DU44" s="16" t="n">
        <v>0.2</v>
      </c>
      <c r="DV44" s="16" t="n">
        <v>0.1</v>
      </c>
      <c r="DW44" s="16" t="n">
        <v>0.033881</v>
      </c>
      <c r="DX44" s="16" t="n">
        <v>15.8</v>
      </c>
      <c r="DY44" s="16" t="n">
        <v>26</v>
      </c>
      <c r="DZ44" s="16" t="n">
        <v>0.940594491</v>
      </c>
    </row>
    <row r="45" customFormat="false" ht="15" hidden="false" customHeight="false" outlineLevel="0" collapsed="false">
      <c r="A45" s="13" t="n">
        <v>1998</v>
      </c>
      <c r="B45" s="16" t="n">
        <v>0.016082</v>
      </c>
      <c r="C45" s="16" t="n">
        <v>0.011271</v>
      </c>
      <c r="D45" s="16" t="n">
        <v>1.3</v>
      </c>
      <c r="E45" s="16" t="n">
        <v>0.3</v>
      </c>
      <c r="F45" s="16" t="s">
        <v>528</v>
      </c>
      <c r="G45" s="16" t="n">
        <v>0.1</v>
      </c>
      <c r="H45" s="15" t="n">
        <v>0.0759392754695973</v>
      </c>
      <c r="I45" s="16" t="n">
        <v>0.02545</v>
      </c>
      <c r="J45" s="16" t="n">
        <v>3</v>
      </c>
      <c r="K45" s="16"/>
      <c r="L45" s="16" t="n">
        <v>0.5</v>
      </c>
      <c r="M45" s="16" t="s">
        <v>528</v>
      </c>
      <c r="N45" s="16" t="n">
        <v>0.122519503</v>
      </c>
      <c r="O45" s="16" t="n">
        <v>0.6</v>
      </c>
      <c r="P45" s="16" t="n">
        <v>1.3</v>
      </c>
      <c r="Q45" s="16" t="s">
        <v>528</v>
      </c>
      <c r="R45" s="16" t="n">
        <v>0.3</v>
      </c>
      <c r="S45" s="16" t="n">
        <v>25.1</v>
      </c>
      <c r="T45" s="16" t="n">
        <v>0.4</v>
      </c>
      <c r="U45" s="16"/>
      <c r="V45" s="16" t="n">
        <v>2.9</v>
      </c>
      <c r="W45" s="16" t="n">
        <v>3.1</v>
      </c>
      <c r="X45" s="16" t="n">
        <v>1.9</v>
      </c>
      <c r="Y45" s="16" t="n">
        <v>5.2</v>
      </c>
      <c r="Z45" s="16" t="n">
        <v>0.265377</v>
      </c>
      <c r="AA45" s="16" t="n">
        <v>1.5</v>
      </c>
      <c r="AB45" s="16" t="n">
        <v>8.8</v>
      </c>
      <c r="AC45" s="16" t="n">
        <v>2.8</v>
      </c>
      <c r="AD45" s="16" t="n">
        <v>0.2</v>
      </c>
      <c r="AE45" s="16"/>
      <c r="AF45" s="15" t="n">
        <v>0.2</v>
      </c>
      <c r="AG45" s="16" t="n">
        <v>5.6</v>
      </c>
      <c r="AH45" s="16" t="n">
        <v>0.1</v>
      </c>
      <c r="AI45" s="16" t="n">
        <v>0.029558</v>
      </c>
      <c r="AJ45" s="16" t="n">
        <v>5.7</v>
      </c>
      <c r="AK45" s="16" t="n">
        <v>1.9</v>
      </c>
      <c r="AL45" s="16" t="n">
        <v>0.104068781</v>
      </c>
      <c r="AM45" s="16" t="n">
        <v>2.4</v>
      </c>
      <c r="AN45" s="16" t="n">
        <v>2.2</v>
      </c>
      <c r="AO45" s="16" t="n">
        <v>0.3</v>
      </c>
      <c r="AP45" s="16" t="n">
        <v>0.003749399</v>
      </c>
      <c r="AQ45" s="16" t="n">
        <v>0.4</v>
      </c>
      <c r="AR45" s="16" t="n">
        <v>1.8</v>
      </c>
      <c r="AS45" s="16" t="n">
        <v>1.6</v>
      </c>
      <c r="AT45" s="16" t="n">
        <v>0.557749</v>
      </c>
      <c r="AU45" s="16" t="n">
        <v>3.4</v>
      </c>
      <c r="AV45" s="16" t="n">
        <v>0.328805</v>
      </c>
      <c r="AW45" s="16" t="n">
        <v>4.2</v>
      </c>
      <c r="AX45" s="16" t="n">
        <v>1.3</v>
      </c>
      <c r="AY45" s="16" t="n">
        <v>0.1</v>
      </c>
      <c r="AZ45" s="16" t="n">
        <v>2.9</v>
      </c>
      <c r="BA45" s="16" t="n">
        <v>0.1</v>
      </c>
      <c r="BB45" s="16" t="n">
        <v>0.2</v>
      </c>
      <c r="BC45" s="16" t="n">
        <v>1.8</v>
      </c>
      <c r="BD45" s="16" t="n">
        <v>0.9</v>
      </c>
      <c r="BE45" s="16" t="n">
        <v>5.4</v>
      </c>
      <c r="BF45" s="16" t="n">
        <v>1.5</v>
      </c>
      <c r="BG45" s="15" t="n">
        <v>0.3</v>
      </c>
      <c r="BH45" s="109" t="n">
        <v>0.017</v>
      </c>
      <c r="BI45" s="16" t="n">
        <v>0.1</v>
      </c>
      <c r="BJ45" s="16" t="n">
        <v>0.156352</v>
      </c>
      <c r="BK45" s="15" t="n">
        <v>0.2</v>
      </c>
      <c r="BL45" s="16" t="n">
        <v>2.2</v>
      </c>
      <c r="BM45" s="16" t="n">
        <v>0.1</v>
      </c>
      <c r="BN45" s="16" t="n">
        <v>12.2</v>
      </c>
      <c r="BO45" s="16" t="s">
        <v>528</v>
      </c>
      <c r="BP45" s="16" t="n">
        <v>0.1</v>
      </c>
      <c r="BQ45" s="16"/>
      <c r="BR45" s="16" t="n">
        <v>17.3</v>
      </c>
      <c r="BS45" s="16" t="n">
        <v>2.4</v>
      </c>
      <c r="BT45" s="16" t="n">
        <v>0.5</v>
      </c>
      <c r="BU45" s="16" t="n">
        <v>16.7</v>
      </c>
      <c r="BV45" s="16" t="n">
        <v>0.7</v>
      </c>
      <c r="BW45" s="16" t="n">
        <v>1.9</v>
      </c>
      <c r="BX45" s="16" t="n">
        <v>0.7</v>
      </c>
      <c r="BY45" s="16" t="n">
        <v>0.7</v>
      </c>
      <c r="BZ45" s="16" t="n">
        <v>0.3</v>
      </c>
      <c r="CA45" s="16"/>
      <c r="CB45" s="16" t="n">
        <v>0.1</v>
      </c>
      <c r="CC45" s="16" t="n">
        <v>6.3</v>
      </c>
      <c r="CD45" s="16" t="n">
        <v>0.6</v>
      </c>
      <c r="CE45" s="16" t="n">
        <v>15.1</v>
      </c>
      <c r="CF45" s="16" t="n">
        <v>0.1</v>
      </c>
      <c r="CG45" s="16" t="n">
        <v>0.221701</v>
      </c>
      <c r="CH45" s="16" t="n">
        <v>0.06</v>
      </c>
      <c r="CI45" s="16" t="n">
        <v>0.4</v>
      </c>
      <c r="CJ45" s="16" t="n">
        <v>1.1</v>
      </c>
      <c r="CK45" s="16" t="n">
        <v>3.7</v>
      </c>
      <c r="CL45" s="16" t="n">
        <v>0.010849</v>
      </c>
      <c r="CM45" s="16" t="n">
        <v>0.7</v>
      </c>
      <c r="CN45" s="16" t="n">
        <v>0.6</v>
      </c>
      <c r="CO45" s="16" t="n">
        <v>0.3</v>
      </c>
      <c r="CP45" s="16" t="n">
        <v>0.4</v>
      </c>
      <c r="CQ45" s="16"/>
      <c r="CR45" s="16" t="n">
        <v>0.2</v>
      </c>
      <c r="CS45" s="16" t="n">
        <f aca="false">0.0057/CS67</f>
        <v>0.01163265306</v>
      </c>
      <c r="CT45" s="16" t="n">
        <v>5.6</v>
      </c>
      <c r="CU45" s="16"/>
      <c r="CV45" s="16" t="n">
        <v>0.6</v>
      </c>
      <c r="CW45" s="16" t="n">
        <v>0.6</v>
      </c>
      <c r="CX45" s="16" t="n">
        <v>0.6</v>
      </c>
      <c r="CY45" s="16" t="n">
        <v>15.1</v>
      </c>
      <c r="CZ45" s="16" t="n">
        <v>1.9</v>
      </c>
      <c r="DA45" s="16" t="n">
        <v>0.5</v>
      </c>
      <c r="DB45" s="16"/>
      <c r="DC45" s="16" t="s">
        <v>528</v>
      </c>
      <c r="DD45" s="16" t="n">
        <v>0.9</v>
      </c>
      <c r="DE45" s="16" t="n">
        <v>22.7</v>
      </c>
      <c r="DF45" s="11" t="n">
        <v>0.177457598036756</v>
      </c>
      <c r="DG45" s="11" t="n">
        <v>0.360781556734514</v>
      </c>
      <c r="DH45" s="16" t="n">
        <v>0.1</v>
      </c>
      <c r="DI45" s="16" t="n">
        <v>1.9</v>
      </c>
      <c r="DJ45" s="16"/>
      <c r="DK45" s="16" t="n">
        <v>4.4</v>
      </c>
      <c r="DL45" s="16" t="n">
        <v>0.9</v>
      </c>
      <c r="DM45" s="16"/>
      <c r="DN45" s="16" t="n">
        <v>9</v>
      </c>
      <c r="DO45" s="16" t="n">
        <v>0.4</v>
      </c>
      <c r="DP45" s="16"/>
      <c r="DQ45" s="16" t="n">
        <v>7.9</v>
      </c>
      <c r="DR45" s="16"/>
      <c r="DS45" s="16" t="n">
        <v>0.3</v>
      </c>
      <c r="DT45" s="16" t="s">
        <v>528</v>
      </c>
      <c r="DU45" s="16" t="n">
        <v>0.3</v>
      </c>
      <c r="DV45" s="16" t="n">
        <v>0.1</v>
      </c>
      <c r="DW45" s="16" t="n">
        <v>0.034048</v>
      </c>
      <c r="DX45" s="16" t="n">
        <v>15.7</v>
      </c>
      <c r="DY45" s="16" t="n">
        <v>25.7</v>
      </c>
      <c r="DZ45" s="16" t="n">
        <v>0.977702245</v>
      </c>
    </row>
    <row r="46" customFormat="false" ht="15" hidden="false" customHeight="false" outlineLevel="0" collapsed="false">
      <c r="A46" s="13" t="n">
        <v>1999</v>
      </c>
      <c r="B46" s="16" t="n">
        <v>0.017466</v>
      </c>
      <c r="C46" s="16" t="n">
        <v>0.012749</v>
      </c>
      <c r="D46" s="16" t="n">
        <v>1.4</v>
      </c>
      <c r="E46" s="16" t="n">
        <v>0.3</v>
      </c>
      <c r="F46" s="16" t="s">
        <v>528</v>
      </c>
      <c r="G46" s="16" t="n">
        <v>0.1</v>
      </c>
      <c r="H46" s="15" t="n">
        <v>0.0931917580712139</v>
      </c>
      <c r="I46" s="16" t="n">
        <v>0.031632</v>
      </c>
      <c r="J46" s="16" t="n">
        <v>3</v>
      </c>
      <c r="K46" s="16"/>
      <c r="L46" s="16" t="n">
        <v>0.6</v>
      </c>
      <c r="M46" s="16" t="s">
        <v>528</v>
      </c>
      <c r="N46" s="16" t="n">
        <v>0.140012797</v>
      </c>
      <c r="O46" s="16" t="n">
        <v>0.9</v>
      </c>
      <c r="P46" s="16" t="n">
        <v>1.4</v>
      </c>
      <c r="Q46" s="16" t="s">
        <v>528</v>
      </c>
      <c r="R46" s="16" t="n">
        <v>0.3</v>
      </c>
      <c r="S46" s="16" t="n">
        <v>25.8</v>
      </c>
      <c r="T46" s="16" t="n">
        <v>0.4</v>
      </c>
      <c r="U46" s="16"/>
      <c r="V46" s="16" t="n">
        <v>2.7</v>
      </c>
      <c r="W46" s="16" t="n">
        <v>3.2</v>
      </c>
      <c r="X46" s="16" t="n">
        <v>1.8</v>
      </c>
      <c r="Y46" s="16" t="n">
        <v>5.3</v>
      </c>
      <c r="Z46" s="16" t="n">
        <v>0.269524</v>
      </c>
      <c r="AA46" s="16" t="n">
        <v>1.6</v>
      </c>
      <c r="AB46" s="16" t="n">
        <v>8.8</v>
      </c>
      <c r="AC46" s="16" t="n">
        <v>3</v>
      </c>
      <c r="AD46" s="16" t="n">
        <v>0.2</v>
      </c>
      <c r="AE46" s="16"/>
      <c r="AF46" s="15" t="n">
        <v>0.2</v>
      </c>
      <c r="AG46" s="16" t="n">
        <v>5.5</v>
      </c>
      <c r="AH46" s="16" t="n">
        <v>0.2</v>
      </c>
      <c r="AI46" s="16" t="n">
        <v>0.034486</v>
      </c>
      <c r="AJ46" s="16" t="n">
        <v>5.7</v>
      </c>
      <c r="AK46" s="16" t="n">
        <v>1.9</v>
      </c>
      <c r="AL46" s="16" t="n">
        <v>0.114686523</v>
      </c>
      <c r="AM46" s="16" t="n">
        <v>2.7</v>
      </c>
      <c r="AN46" s="16" t="n">
        <v>2.3</v>
      </c>
      <c r="AO46" s="16" t="n">
        <v>0.3</v>
      </c>
      <c r="AP46" s="16" t="n">
        <v>0.004253044</v>
      </c>
      <c r="AQ46" s="16" t="n">
        <v>0.4</v>
      </c>
      <c r="AR46" s="16" t="n">
        <v>2.1</v>
      </c>
      <c r="AS46" s="16" t="n">
        <v>1.6</v>
      </c>
      <c r="AT46" s="16" t="n">
        <v>0.73328</v>
      </c>
      <c r="AU46" s="16" t="n">
        <v>3.4</v>
      </c>
      <c r="AV46" s="16" t="n">
        <v>0.355202</v>
      </c>
      <c r="AW46" s="16" t="n">
        <v>4.6</v>
      </c>
      <c r="AX46" s="16" t="n">
        <v>1.5</v>
      </c>
      <c r="AY46" s="16" t="n">
        <v>0.1</v>
      </c>
      <c r="AZ46" s="16" t="n">
        <v>2.9</v>
      </c>
      <c r="BA46" s="16" t="n">
        <v>0.1</v>
      </c>
      <c r="BB46" s="16" t="n">
        <v>0.2</v>
      </c>
      <c r="BC46" s="16" t="n">
        <v>1.8</v>
      </c>
      <c r="BD46" s="16" t="n">
        <v>0.9</v>
      </c>
      <c r="BE46" s="16" t="n">
        <v>5.5</v>
      </c>
      <c r="BF46" s="16" t="n">
        <v>1.4</v>
      </c>
      <c r="BG46" s="15" t="n">
        <v>0.4</v>
      </c>
      <c r="BH46" s="109" t="n">
        <v>0.0243</v>
      </c>
      <c r="BI46" s="16" t="n">
        <v>0.1</v>
      </c>
      <c r="BJ46" s="16" t="n">
        <v>0.166203</v>
      </c>
      <c r="BK46" s="15" t="n">
        <v>0.2</v>
      </c>
      <c r="BL46" s="16" t="n">
        <v>2.3</v>
      </c>
      <c r="BM46" s="16" t="n">
        <v>0.1</v>
      </c>
      <c r="BN46" s="16" t="n">
        <v>11.6</v>
      </c>
      <c r="BO46" s="16" t="s">
        <v>528</v>
      </c>
      <c r="BP46" s="16" t="n">
        <v>0.1</v>
      </c>
      <c r="BQ46" s="16"/>
      <c r="BR46" s="16" t="n">
        <v>18.7</v>
      </c>
      <c r="BS46" s="16" t="n">
        <v>2.4</v>
      </c>
      <c r="BT46" s="16" t="n">
        <v>0.5</v>
      </c>
      <c r="BU46" s="16" t="n">
        <v>16.7</v>
      </c>
      <c r="BV46" s="16" t="n">
        <v>0.7</v>
      </c>
      <c r="BW46" s="16" t="n">
        <v>1.8</v>
      </c>
      <c r="BX46" s="16" t="n">
        <v>0.8</v>
      </c>
      <c r="BY46" s="16" t="n">
        <v>0.9</v>
      </c>
      <c r="BZ46" s="16" t="n">
        <v>0.3</v>
      </c>
      <c r="CA46" s="16"/>
      <c r="CB46" s="16" t="n">
        <v>0.1</v>
      </c>
      <c r="CC46" s="16" t="n">
        <v>7.1</v>
      </c>
      <c r="CD46" s="16" t="n">
        <v>0.7</v>
      </c>
      <c r="CE46" s="16" t="n">
        <v>16.3</v>
      </c>
      <c r="CF46" s="16" t="n">
        <v>0.1</v>
      </c>
      <c r="CG46" s="16" t="n">
        <v>0.222713</v>
      </c>
      <c r="CH46" s="16" t="n">
        <v>0.05</v>
      </c>
      <c r="CI46" s="16" t="n">
        <v>0.4</v>
      </c>
      <c r="CJ46" s="16" t="n">
        <v>1.2</v>
      </c>
      <c r="CK46" s="16" t="n">
        <v>3.8</v>
      </c>
      <c r="CL46" s="16" t="n">
        <v>0.011945</v>
      </c>
      <c r="CM46" s="16" t="n">
        <v>0.7</v>
      </c>
      <c r="CN46" s="16" t="n">
        <v>0.7</v>
      </c>
      <c r="CO46" s="16" t="n">
        <v>0.3</v>
      </c>
      <c r="CP46" s="16" t="n">
        <v>0.4</v>
      </c>
      <c r="CQ46" s="16"/>
      <c r="CR46" s="16" t="n">
        <v>0.2</v>
      </c>
      <c r="CS46" s="16" t="n">
        <f aca="false">0.0184/CS67</f>
        <v>0.03755102041</v>
      </c>
      <c r="CT46" s="16" t="n">
        <v>5.3</v>
      </c>
      <c r="CU46" s="16"/>
      <c r="CV46" s="16" t="n">
        <v>0.7</v>
      </c>
      <c r="CW46" s="16" t="n">
        <v>0.7</v>
      </c>
      <c r="CX46" s="16" t="n">
        <v>0.6</v>
      </c>
      <c r="CY46" s="16" t="n">
        <v>17.1</v>
      </c>
      <c r="CZ46" s="16" t="n">
        <v>2.2</v>
      </c>
      <c r="DA46" s="16" t="n">
        <v>0.5</v>
      </c>
      <c r="DB46" s="16"/>
      <c r="DC46" s="16" t="s">
        <v>528</v>
      </c>
      <c r="DD46" s="16" t="n">
        <v>1</v>
      </c>
      <c r="DE46" s="16" t="n">
        <v>24</v>
      </c>
      <c r="DF46" s="11" t="n">
        <v>0.182176222999453</v>
      </c>
      <c r="DG46" s="11" t="n">
        <v>0.365288694680188</v>
      </c>
      <c r="DH46" s="16" t="n">
        <v>0.1</v>
      </c>
      <c r="DI46" s="16" t="n">
        <v>1.8</v>
      </c>
      <c r="DJ46" s="16"/>
      <c r="DK46" s="16" t="n">
        <v>4.6</v>
      </c>
      <c r="DL46" s="16" t="n">
        <v>1</v>
      </c>
      <c r="DM46" s="16"/>
      <c r="DN46" s="16" t="n">
        <v>8.4</v>
      </c>
      <c r="DO46" s="16" t="n">
        <v>0.6</v>
      </c>
      <c r="DP46" s="16"/>
      <c r="DQ46" s="16" t="n">
        <v>7.8</v>
      </c>
      <c r="DR46" s="16"/>
      <c r="DS46" s="16" t="n">
        <v>0.3</v>
      </c>
      <c r="DT46" s="16" t="n">
        <v>0.1</v>
      </c>
      <c r="DU46" s="16" t="n">
        <v>0.3</v>
      </c>
      <c r="DV46" s="16" t="n">
        <v>0.2</v>
      </c>
      <c r="DW46" s="16" t="n">
        <v>0.035533</v>
      </c>
      <c r="DX46" s="16" t="n">
        <v>15.6</v>
      </c>
      <c r="DY46" s="16" t="n">
        <v>24.9</v>
      </c>
      <c r="DZ46" s="16" t="n">
        <v>0.996800987</v>
      </c>
    </row>
    <row r="47" customFormat="false" ht="15" hidden="false" customHeight="false" outlineLevel="0" collapsed="false">
      <c r="A47" s="13" t="n">
        <v>2000</v>
      </c>
      <c r="B47" s="16" t="n">
        <v>0.018352</v>
      </c>
      <c r="C47" s="16" t="n">
        <v>0.013567</v>
      </c>
      <c r="D47" s="16" t="n">
        <v>1.5</v>
      </c>
      <c r="E47" s="16" t="n">
        <v>0.3</v>
      </c>
      <c r="F47" s="16" t="s">
        <v>528</v>
      </c>
      <c r="G47" s="16" t="n">
        <v>0.1</v>
      </c>
      <c r="H47" s="15" t="n">
        <v>0.109169818118121</v>
      </c>
      <c r="I47" s="16" t="n">
        <v>0.039732</v>
      </c>
      <c r="J47" s="16" t="n">
        <v>3.1</v>
      </c>
      <c r="K47" s="16" t="n">
        <v>0.001644</v>
      </c>
      <c r="L47" s="16" t="n">
        <v>0.7</v>
      </c>
      <c r="M47" s="16" t="s">
        <v>528</v>
      </c>
      <c r="N47" s="16" t="n">
        <v>0.156574817</v>
      </c>
      <c r="O47" s="16" t="n">
        <v>1.1</v>
      </c>
      <c r="P47" s="16" t="n">
        <v>1.5</v>
      </c>
      <c r="Q47" s="16" t="s">
        <v>528</v>
      </c>
      <c r="R47" s="16" t="n">
        <v>0.3</v>
      </c>
      <c r="S47" s="16" t="n">
        <v>26</v>
      </c>
      <c r="T47" s="16" t="n">
        <v>0.4</v>
      </c>
      <c r="U47" s="16"/>
      <c r="V47" s="16" t="n">
        <v>2.4</v>
      </c>
      <c r="W47" s="16" t="n">
        <v>3.2</v>
      </c>
      <c r="X47" s="16" t="n">
        <v>1.8</v>
      </c>
      <c r="Y47" s="16" t="n">
        <v>5.4</v>
      </c>
      <c r="Z47" s="16" t="n">
        <v>0.282478</v>
      </c>
      <c r="AA47" s="16" t="n">
        <v>1.6</v>
      </c>
      <c r="AB47" s="16" t="n">
        <v>8.7</v>
      </c>
      <c r="AC47" s="16" t="n">
        <v>3.2</v>
      </c>
      <c r="AD47" s="16" t="n">
        <v>0.2</v>
      </c>
      <c r="AE47" s="16"/>
      <c r="AF47" s="15" t="n">
        <v>0.3</v>
      </c>
      <c r="AG47" s="16" t="n">
        <v>5.4</v>
      </c>
      <c r="AH47" s="16" t="n">
        <v>0.2</v>
      </c>
      <c r="AI47" s="16" t="n">
        <v>0.039384</v>
      </c>
      <c r="AJ47" s="16" t="n">
        <v>5.6</v>
      </c>
      <c r="AK47" s="16" t="n">
        <v>1.9</v>
      </c>
      <c r="AL47" s="16" t="n">
        <v>0.125292627</v>
      </c>
      <c r="AM47" s="16" t="n">
        <v>2.8</v>
      </c>
      <c r="AN47" s="16" t="n">
        <v>2.3</v>
      </c>
      <c r="AO47" s="16" t="n">
        <v>0.3</v>
      </c>
      <c r="AP47" s="16" t="n">
        <v>0.005012623</v>
      </c>
      <c r="AQ47" s="16" t="n">
        <v>0.4</v>
      </c>
      <c r="AR47" s="16" t="n">
        <v>2.5</v>
      </c>
      <c r="AS47" s="16" t="n">
        <v>1.6</v>
      </c>
      <c r="AT47" s="16" t="n">
        <v>0.980285</v>
      </c>
      <c r="AU47" s="16" t="n">
        <v>3.2</v>
      </c>
      <c r="AV47" s="16" t="n">
        <v>0.362359</v>
      </c>
      <c r="AW47" s="16" t="n">
        <v>5</v>
      </c>
      <c r="AX47" s="16" t="n">
        <v>1.7</v>
      </c>
      <c r="AY47" s="16" t="n">
        <v>0.1</v>
      </c>
      <c r="AZ47" s="16" t="n">
        <v>2.9</v>
      </c>
      <c r="BA47" s="16" t="n">
        <v>0.1</v>
      </c>
      <c r="BB47" s="16" t="n">
        <v>0.3</v>
      </c>
      <c r="BC47" s="16" t="n">
        <v>1.8</v>
      </c>
      <c r="BD47" s="16" t="n">
        <v>1</v>
      </c>
      <c r="BE47" s="16" t="n">
        <v>5.5</v>
      </c>
      <c r="BF47" s="16" t="n">
        <v>1.3</v>
      </c>
      <c r="BG47" s="15" t="n">
        <v>0.4</v>
      </c>
      <c r="BH47" s="109" t="n">
        <v>0.035</v>
      </c>
      <c r="BI47" s="16" t="n">
        <v>0.1</v>
      </c>
      <c r="BJ47" s="16" t="n">
        <v>0.173908</v>
      </c>
      <c r="BK47" s="15" t="n">
        <v>0.2</v>
      </c>
      <c r="BL47" s="16" t="n">
        <v>2.2</v>
      </c>
      <c r="BM47" s="16" t="n">
        <v>0.1</v>
      </c>
      <c r="BN47" s="16" t="n">
        <v>10.7</v>
      </c>
      <c r="BO47" s="16" t="s">
        <v>528</v>
      </c>
      <c r="BP47" s="16" t="n">
        <v>0.1</v>
      </c>
      <c r="BQ47" s="16"/>
      <c r="BR47" s="16" t="n">
        <v>19.9</v>
      </c>
      <c r="BS47" s="16" t="n">
        <v>2.5</v>
      </c>
      <c r="BT47" s="16" t="n">
        <v>0.6</v>
      </c>
      <c r="BU47" s="16" t="n">
        <v>16.6</v>
      </c>
      <c r="BV47" s="16" t="n">
        <v>0.7</v>
      </c>
      <c r="BW47" s="16" t="n">
        <v>1.7</v>
      </c>
      <c r="BX47" s="16" t="n">
        <v>0.8</v>
      </c>
      <c r="BY47" s="16" t="n">
        <v>1</v>
      </c>
      <c r="BZ47" s="16" t="n">
        <v>0.3</v>
      </c>
      <c r="CA47" s="16"/>
      <c r="CB47" s="16" t="n">
        <v>0.1</v>
      </c>
      <c r="CC47" s="16" t="n">
        <v>7.8</v>
      </c>
      <c r="CD47" s="16" t="n">
        <v>0.8</v>
      </c>
      <c r="CE47" s="16" t="n">
        <v>17.1</v>
      </c>
      <c r="CF47" s="16" t="n">
        <v>0.2</v>
      </c>
      <c r="CG47" s="16" t="n">
        <v>0.235799</v>
      </c>
      <c r="CH47" s="16" t="n">
        <v>0.05</v>
      </c>
      <c r="CI47" s="16" t="n">
        <v>0.4</v>
      </c>
      <c r="CJ47" s="16" t="n">
        <v>1.2</v>
      </c>
      <c r="CK47" s="16" t="n">
        <v>3.9</v>
      </c>
      <c r="CL47" s="16" t="n">
        <v>0.013256</v>
      </c>
      <c r="CM47" s="16" t="n">
        <v>0.7</v>
      </c>
      <c r="CN47" s="16" t="n">
        <v>0.8</v>
      </c>
      <c r="CO47" s="16" t="n">
        <v>0.4</v>
      </c>
      <c r="CP47" s="16" t="n">
        <v>0.4</v>
      </c>
      <c r="CQ47" s="16"/>
      <c r="CR47" s="16" t="n">
        <v>0.3</v>
      </c>
      <c r="CS47" s="16" t="n">
        <f aca="false">0.0566/CS67</f>
        <v>0.1155102041</v>
      </c>
      <c r="CT47" s="16" t="n">
        <v>4.9</v>
      </c>
      <c r="CU47" s="16"/>
      <c r="CV47" s="16" t="n">
        <v>0.7</v>
      </c>
      <c r="CW47" s="16" t="n">
        <v>0.9</v>
      </c>
      <c r="CX47" s="16" t="n">
        <v>0.6</v>
      </c>
      <c r="CY47" s="16" t="n">
        <v>18.7</v>
      </c>
      <c r="CZ47" s="16" t="n">
        <v>2.4</v>
      </c>
      <c r="DA47" s="16" t="n">
        <v>0.5</v>
      </c>
      <c r="DB47" s="16"/>
      <c r="DC47" s="16" t="n">
        <v>0.1</v>
      </c>
      <c r="DD47" s="16" t="n">
        <v>1.1</v>
      </c>
      <c r="DE47" s="16" t="n">
        <v>24.8</v>
      </c>
      <c r="DF47" s="11" t="n">
        <v>0.18780549281644</v>
      </c>
      <c r="DG47" s="11" t="n">
        <v>0.379027482861641</v>
      </c>
      <c r="DH47" s="16" t="n">
        <v>0.2</v>
      </c>
      <c r="DI47" s="16" t="n">
        <v>1.7</v>
      </c>
      <c r="DJ47" s="16"/>
      <c r="DK47" s="16" t="n">
        <v>4.8</v>
      </c>
      <c r="DL47" s="16" t="n">
        <v>1</v>
      </c>
      <c r="DM47" s="16"/>
      <c r="DN47" s="16" t="n">
        <v>7.8</v>
      </c>
      <c r="DO47" s="16" t="n">
        <v>0.7</v>
      </c>
      <c r="DP47" s="16"/>
      <c r="DQ47" s="16" t="n">
        <v>7.7</v>
      </c>
      <c r="DR47" s="16"/>
      <c r="DS47" s="16" t="n">
        <v>0.4</v>
      </c>
      <c r="DT47" s="16" t="n">
        <v>0.2</v>
      </c>
      <c r="DU47" s="16" t="n">
        <v>0.4</v>
      </c>
      <c r="DV47" s="16" t="n">
        <v>0.2</v>
      </c>
      <c r="DW47" s="16" t="n">
        <v>0.036853</v>
      </c>
      <c r="DX47" s="16" t="n">
        <v>15.4</v>
      </c>
      <c r="DY47" s="16" t="n">
        <v>24</v>
      </c>
      <c r="DZ47" s="16" t="n">
        <v>1.011697037</v>
      </c>
    </row>
    <row r="48" customFormat="false" ht="15" hidden="false" customHeight="false" outlineLevel="0" collapsed="false">
      <c r="A48" s="13" t="n">
        <v>2001</v>
      </c>
      <c r="B48" s="16" t="n">
        <v>0.018673</v>
      </c>
      <c r="C48" s="16" t="n">
        <v>0.014907</v>
      </c>
      <c r="D48" s="16" t="n">
        <v>1.6</v>
      </c>
      <c r="E48" s="16" t="n">
        <v>0.3</v>
      </c>
      <c r="F48" s="16" t="s">
        <v>528</v>
      </c>
      <c r="G48" s="16" t="n">
        <v>0.1</v>
      </c>
      <c r="H48" s="15" t="n">
        <v>0.133408338465849</v>
      </c>
      <c r="I48" s="16" t="n">
        <v>0.047515</v>
      </c>
      <c r="J48" s="16" t="n">
        <v>3.1</v>
      </c>
      <c r="K48" s="16" t="n">
        <v>0.002179</v>
      </c>
      <c r="L48" s="16" t="n">
        <v>0.7</v>
      </c>
      <c r="M48" s="16" t="n">
        <v>0.1</v>
      </c>
      <c r="N48" s="16" t="n">
        <v>0.176548891</v>
      </c>
      <c r="O48" s="16" t="n">
        <v>1.4</v>
      </c>
      <c r="P48" s="16" t="n">
        <v>1.5</v>
      </c>
      <c r="Q48" s="16" t="s">
        <v>528</v>
      </c>
      <c r="R48" s="16" t="n">
        <v>0.3</v>
      </c>
      <c r="S48" s="16" t="n">
        <v>26</v>
      </c>
      <c r="T48" s="16" t="n">
        <v>0.4</v>
      </c>
      <c r="U48" s="11" t="n">
        <v>0.0421379412321287</v>
      </c>
      <c r="V48" s="16" t="n">
        <v>2.2</v>
      </c>
      <c r="W48" s="16" t="n">
        <v>3.1</v>
      </c>
      <c r="X48" s="16" t="n">
        <v>1.6</v>
      </c>
      <c r="Y48" s="16" t="n">
        <v>5.4</v>
      </c>
      <c r="Z48" s="16" t="n">
        <v>0.287135</v>
      </c>
      <c r="AA48" s="16" t="n">
        <v>1.6</v>
      </c>
      <c r="AB48" s="16" t="n">
        <v>8.4</v>
      </c>
      <c r="AC48" s="16" t="n">
        <v>3.3</v>
      </c>
      <c r="AD48" s="16" t="n">
        <v>0.2</v>
      </c>
      <c r="AE48" s="16"/>
      <c r="AF48" s="15" t="n">
        <v>0.3</v>
      </c>
      <c r="AG48" s="16" t="n">
        <v>5.2</v>
      </c>
      <c r="AH48" s="16" t="n">
        <v>0.2</v>
      </c>
      <c r="AI48" s="16" t="n">
        <v>0.045898</v>
      </c>
      <c r="AJ48" s="16" t="n">
        <v>5.5</v>
      </c>
      <c r="AK48" s="16" t="n">
        <v>1.9</v>
      </c>
      <c r="AL48" s="16" t="n">
        <v>0.137764089</v>
      </c>
      <c r="AM48" s="16" t="n">
        <v>2.8</v>
      </c>
      <c r="AN48" s="16" t="n">
        <v>2.3</v>
      </c>
      <c r="AO48" s="16" t="n">
        <v>0.3</v>
      </c>
      <c r="AP48" s="16" t="n">
        <v>0.005435434</v>
      </c>
      <c r="AQ48" s="16" t="n">
        <v>0.5</v>
      </c>
      <c r="AR48" s="16" t="n">
        <v>3</v>
      </c>
      <c r="AS48" s="16" t="n">
        <v>1.5</v>
      </c>
      <c r="AT48" s="16" t="n">
        <v>1.272971</v>
      </c>
      <c r="AU48" s="16" t="n">
        <v>3.1</v>
      </c>
      <c r="AV48" s="16" t="n">
        <v>0.384625</v>
      </c>
      <c r="AW48" s="16" t="n">
        <v>5.2</v>
      </c>
      <c r="AX48" s="16" t="n">
        <v>1.9</v>
      </c>
      <c r="AY48" s="16" t="n">
        <v>0.1</v>
      </c>
      <c r="AZ48" s="16" t="n">
        <v>2.8</v>
      </c>
      <c r="BA48" s="16" t="n">
        <v>0.2</v>
      </c>
      <c r="BB48" s="16" t="n">
        <v>0.3</v>
      </c>
      <c r="BC48" s="16" t="n">
        <v>1.8</v>
      </c>
      <c r="BD48" s="16" t="n">
        <v>1.1</v>
      </c>
      <c r="BE48" s="16" t="n">
        <v>5.4</v>
      </c>
      <c r="BF48" s="16" t="n">
        <v>1.1</v>
      </c>
      <c r="BG48" s="15" t="n">
        <v>0.4</v>
      </c>
      <c r="BH48" s="109" t="n">
        <v>0.0521</v>
      </c>
      <c r="BI48" s="16" t="n">
        <v>0.1</v>
      </c>
      <c r="BJ48" s="16" t="n">
        <v>0.180164</v>
      </c>
      <c r="BK48" s="15" t="n">
        <v>0.3</v>
      </c>
      <c r="BL48" s="16" t="n">
        <v>2.2</v>
      </c>
      <c r="BM48" s="16" t="n">
        <v>0.1</v>
      </c>
      <c r="BN48" s="16" t="n">
        <v>9.9</v>
      </c>
      <c r="BO48" s="16" t="s">
        <v>528</v>
      </c>
      <c r="BP48" s="16" t="n">
        <v>0.1</v>
      </c>
      <c r="BQ48" s="16" t="n">
        <v>0.055658</v>
      </c>
      <c r="BR48" s="16" t="n">
        <v>20.9</v>
      </c>
      <c r="BS48" s="16" t="n">
        <v>2.5</v>
      </c>
      <c r="BT48" s="16" t="n">
        <v>0.6</v>
      </c>
      <c r="BU48" s="16" t="n">
        <v>16.3</v>
      </c>
      <c r="BV48" s="16" t="n">
        <v>0.7</v>
      </c>
      <c r="BW48" s="16" t="n">
        <v>1.6</v>
      </c>
      <c r="BX48" s="16" t="n">
        <v>0.9</v>
      </c>
      <c r="BY48" s="16" t="n">
        <v>1.1</v>
      </c>
      <c r="BZ48" s="16" t="n">
        <v>0.3</v>
      </c>
      <c r="CA48" s="16"/>
      <c r="CB48" s="16" t="n">
        <v>0.1</v>
      </c>
      <c r="CC48" s="16" t="n">
        <v>8.6</v>
      </c>
      <c r="CD48" s="16" t="n">
        <v>0.8</v>
      </c>
      <c r="CE48" s="16" t="n">
        <v>17.4</v>
      </c>
      <c r="CF48" s="16" t="n">
        <v>0.2</v>
      </c>
      <c r="CG48" s="16" t="n">
        <v>0.236077</v>
      </c>
      <c r="CH48" s="16" t="n">
        <v>0.05</v>
      </c>
      <c r="CI48" s="16" t="n">
        <v>0.4</v>
      </c>
      <c r="CJ48" s="16" t="n">
        <v>1.2</v>
      </c>
      <c r="CK48" s="16" t="n">
        <v>4</v>
      </c>
      <c r="CL48" s="16" t="n">
        <v>0.01478</v>
      </c>
      <c r="CM48" s="16" t="n">
        <v>0.7</v>
      </c>
      <c r="CN48" s="16" t="n">
        <v>0.9</v>
      </c>
      <c r="CO48" s="16" t="n">
        <v>0.4</v>
      </c>
      <c r="CP48" s="16" t="n">
        <v>0.4</v>
      </c>
      <c r="CQ48" s="16" t="n">
        <v>0.005998</v>
      </c>
      <c r="CR48" s="16" t="n">
        <v>0.3</v>
      </c>
      <c r="CS48" s="16" t="n">
        <f aca="false">0.1141/CS67</f>
        <v>0.2328571429</v>
      </c>
      <c r="CT48" s="16" t="n">
        <v>4.6</v>
      </c>
      <c r="CU48" s="16"/>
      <c r="CV48" s="16" t="n">
        <v>0.8</v>
      </c>
      <c r="CW48" s="16" t="n">
        <v>1.1</v>
      </c>
      <c r="CX48" s="16" t="n">
        <v>0.6</v>
      </c>
      <c r="CY48" s="16" t="n">
        <v>19.9</v>
      </c>
      <c r="CZ48" s="16" t="n">
        <v>2.6</v>
      </c>
      <c r="DA48" s="16" t="n">
        <v>0.5</v>
      </c>
      <c r="DB48" s="16"/>
      <c r="DC48" s="16" t="n">
        <v>0.1</v>
      </c>
      <c r="DD48" s="16" t="n">
        <v>1.2</v>
      </c>
      <c r="DE48" s="16" t="n">
        <v>25.4</v>
      </c>
      <c r="DF48" s="11" t="n">
        <v>0.189824799106196</v>
      </c>
      <c r="DG48" s="11" t="n">
        <v>0.391135309348916</v>
      </c>
      <c r="DH48" s="16" t="n">
        <v>0.2</v>
      </c>
      <c r="DI48" s="16" t="n">
        <v>1.7</v>
      </c>
      <c r="DJ48" s="16"/>
      <c r="DK48" s="16" t="n">
        <v>4.9</v>
      </c>
      <c r="DL48" s="16" t="n">
        <v>1</v>
      </c>
      <c r="DM48" s="16"/>
      <c r="DN48" s="16" t="n">
        <v>7.3</v>
      </c>
      <c r="DO48" s="16" t="n">
        <v>0.8</v>
      </c>
      <c r="DP48" s="16"/>
      <c r="DQ48" s="16" t="n">
        <v>7.5</v>
      </c>
      <c r="DR48" s="16" t="n">
        <v>0.209893</v>
      </c>
      <c r="DS48" s="16" t="n">
        <v>0.4</v>
      </c>
      <c r="DT48" s="16" t="n">
        <v>0.2</v>
      </c>
      <c r="DU48" s="16" t="n">
        <v>0.4</v>
      </c>
      <c r="DV48" s="16" t="n">
        <v>0.3</v>
      </c>
      <c r="DW48" s="16" t="n">
        <v>0.039213</v>
      </c>
      <c r="DX48" s="16" t="n">
        <v>15.2</v>
      </c>
      <c r="DY48" s="16" t="n">
        <v>22.8</v>
      </c>
      <c r="DZ48" s="16" t="n">
        <v>1.010847394</v>
      </c>
    </row>
    <row r="49" customFormat="false" ht="15" hidden="false" customHeight="false" outlineLevel="0" collapsed="false">
      <c r="A49" s="13" t="n">
        <v>2002</v>
      </c>
      <c r="B49" s="16" t="n">
        <v>0.019862</v>
      </c>
      <c r="C49" s="16" t="n">
        <v>0.016768</v>
      </c>
      <c r="D49" s="16" t="n">
        <v>1.7</v>
      </c>
      <c r="E49" s="16" t="n">
        <v>0.3</v>
      </c>
      <c r="F49" s="16" t="s">
        <v>528</v>
      </c>
      <c r="G49" s="16" t="n">
        <v>0.1</v>
      </c>
      <c r="H49" s="15" t="n">
        <v>0.161050749181038</v>
      </c>
      <c r="I49" s="16" t="n">
        <v>0.055008</v>
      </c>
      <c r="J49" s="16" t="n">
        <v>3.1</v>
      </c>
      <c r="K49" s="16" t="n">
        <v>0.002965</v>
      </c>
      <c r="L49" s="16" t="n">
        <v>0.8</v>
      </c>
      <c r="M49" s="16" t="n">
        <v>0.2</v>
      </c>
      <c r="N49" s="16" t="n">
        <v>0.193274334</v>
      </c>
      <c r="O49" s="16" t="n">
        <v>1.7</v>
      </c>
      <c r="P49" s="16" t="n">
        <v>1.5</v>
      </c>
      <c r="Q49" s="16" t="s">
        <v>528</v>
      </c>
      <c r="R49" s="16" t="n">
        <v>0.3</v>
      </c>
      <c r="S49" s="16" t="n">
        <v>25.7</v>
      </c>
      <c r="T49" s="16" t="n">
        <v>0.5</v>
      </c>
      <c r="U49" s="11" t="n">
        <v>0.0507812632242873</v>
      </c>
      <c r="V49" s="16" t="n">
        <v>1.9</v>
      </c>
      <c r="W49" s="16" t="n">
        <v>2.9</v>
      </c>
      <c r="X49" s="16" t="n">
        <v>1.5</v>
      </c>
      <c r="Y49" s="16" t="n">
        <v>5.4</v>
      </c>
      <c r="Z49" s="16" t="n">
        <v>0.303574</v>
      </c>
      <c r="AA49" s="16" t="n">
        <v>1.5</v>
      </c>
      <c r="AB49" s="16" t="n">
        <v>8</v>
      </c>
      <c r="AC49" s="16" t="n">
        <v>3.4</v>
      </c>
      <c r="AD49" s="16" t="n">
        <v>0.2</v>
      </c>
      <c r="AE49" s="16"/>
      <c r="AF49" s="15" t="n">
        <v>0.3</v>
      </c>
      <c r="AG49" s="16" t="n">
        <v>4.9</v>
      </c>
      <c r="AH49" s="16" t="n">
        <v>0.2</v>
      </c>
      <c r="AI49" s="16" t="n">
        <v>0.053992</v>
      </c>
      <c r="AJ49" s="16" t="n">
        <v>5.3</v>
      </c>
      <c r="AK49" s="16" t="n">
        <v>1.9</v>
      </c>
      <c r="AL49" s="16" t="n">
        <v>0.150237058</v>
      </c>
      <c r="AM49" s="16" t="n">
        <v>2.8</v>
      </c>
      <c r="AN49" s="16" t="n">
        <v>2.2</v>
      </c>
      <c r="AO49" s="16" t="n">
        <v>0.3</v>
      </c>
      <c r="AP49" s="16" t="n">
        <v>0.005822904</v>
      </c>
      <c r="AQ49" s="16" t="n">
        <v>0.5</v>
      </c>
      <c r="AR49" s="16" t="n">
        <v>3.5</v>
      </c>
      <c r="AS49" s="16" t="n">
        <v>1.4</v>
      </c>
      <c r="AT49" s="16" t="n">
        <v>1.553169</v>
      </c>
      <c r="AU49" s="16" t="n">
        <v>2.8</v>
      </c>
      <c r="AV49" s="16" t="n">
        <v>0.388018</v>
      </c>
      <c r="AW49" s="16" t="n">
        <v>5.4</v>
      </c>
      <c r="AX49" s="16" t="n">
        <v>2</v>
      </c>
      <c r="AY49" s="16" t="n">
        <v>0.1</v>
      </c>
      <c r="AZ49" s="16" t="n">
        <v>2.7</v>
      </c>
      <c r="BA49" s="16" t="n">
        <v>0.2</v>
      </c>
      <c r="BB49" s="16" t="n">
        <v>0.4</v>
      </c>
      <c r="BC49" s="16" t="n">
        <v>1.8</v>
      </c>
      <c r="BD49" s="16" t="n">
        <v>1.1</v>
      </c>
      <c r="BE49" s="16" t="n">
        <v>5.2</v>
      </c>
      <c r="BF49" s="16" t="n">
        <v>1</v>
      </c>
      <c r="BG49" s="15" t="n">
        <v>0.4</v>
      </c>
      <c r="BH49" s="109" t="n">
        <v>0.0793</v>
      </c>
      <c r="BI49" s="16" t="n">
        <v>0.1</v>
      </c>
      <c r="BJ49" s="16" t="n">
        <v>0.186792</v>
      </c>
      <c r="BK49" s="15" t="n">
        <v>0.3</v>
      </c>
      <c r="BL49" s="16" t="n">
        <v>2.2</v>
      </c>
      <c r="BM49" s="16" t="n">
        <v>0.1</v>
      </c>
      <c r="BN49" s="16" t="n">
        <v>9</v>
      </c>
      <c r="BO49" s="16" t="s">
        <v>528</v>
      </c>
      <c r="BP49" s="16" t="n">
        <v>0.1</v>
      </c>
      <c r="BQ49" s="16" t="n">
        <v>0.058608</v>
      </c>
      <c r="BR49" s="16" t="n">
        <v>21.7</v>
      </c>
      <c r="BS49" s="16" t="n">
        <v>2.4</v>
      </c>
      <c r="BT49" s="16" t="n">
        <v>0.6</v>
      </c>
      <c r="BU49" s="16" t="n">
        <v>15.8</v>
      </c>
      <c r="BV49" s="16" t="n">
        <v>0.7</v>
      </c>
      <c r="BW49" s="16" t="n">
        <v>1.5</v>
      </c>
      <c r="BX49" s="16" t="n">
        <v>0.9</v>
      </c>
      <c r="BY49" s="16" t="n">
        <v>1.1</v>
      </c>
      <c r="BZ49" s="16" t="n">
        <v>0.3</v>
      </c>
      <c r="CA49" s="16"/>
      <c r="CB49" s="16" t="n">
        <v>0.1</v>
      </c>
      <c r="CC49" s="16" t="n">
        <v>9.2</v>
      </c>
      <c r="CD49" s="16" t="n">
        <v>0.9</v>
      </c>
      <c r="CE49" s="16" t="n">
        <v>17.4</v>
      </c>
      <c r="CF49" s="16" t="n">
        <v>0.3</v>
      </c>
      <c r="CG49" s="16" t="n">
        <v>0.248882</v>
      </c>
      <c r="CH49" s="16" t="n">
        <v>0.05</v>
      </c>
      <c r="CI49" s="16" t="n">
        <v>0.4</v>
      </c>
      <c r="CJ49" s="16" t="n">
        <v>1.2</v>
      </c>
      <c r="CK49" s="16" t="n">
        <v>4</v>
      </c>
      <c r="CL49" s="16" t="n">
        <v>0.015884</v>
      </c>
      <c r="CM49" s="16" t="n">
        <v>0.7</v>
      </c>
      <c r="CN49" s="16" t="n">
        <v>0.9</v>
      </c>
      <c r="CO49" s="16" t="n">
        <v>0.4</v>
      </c>
      <c r="CP49" s="16" t="n">
        <v>0.4</v>
      </c>
      <c r="CQ49" s="16" t="n">
        <v>0.007123</v>
      </c>
      <c r="CR49" s="16" t="n">
        <v>0.3</v>
      </c>
      <c r="CS49" s="16" t="n">
        <f aca="false">0.1482/CS67</f>
        <v>0.3024489796</v>
      </c>
      <c r="CT49" s="16" t="n">
        <v>4.2</v>
      </c>
      <c r="CU49" s="16"/>
      <c r="CV49" s="16" t="n">
        <v>0.9</v>
      </c>
      <c r="CW49" s="16" t="n">
        <v>1.3</v>
      </c>
      <c r="CX49" s="16" t="n">
        <v>0.6</v>
      </c>
      <c r="CY49" s="16" t="n">
        <v>20.6</v>
      </c>
      <c r="CZ49" s="16" t="n">
        <v>2.8</v>
      </c>
      <c r="DA49" s="16" t="n">
        <v>0.5</v>
      </c>
      <c r="DB49" s="16"/>
      <c r="DC49" s="16" t="n">
        <v>0.1</v>
      </c>
      <c r="DD49" s="16" t="n">
        <v>1.3</v>
      </c>
      <c r="DE49" s="16" t="n">
        <v>25.6</v>
      </c>
      <c r="DF49" s="11" t="n">
        <v>0.191801565051591</v>
      </c>
      <c r="DG49" s="11" t="n">
        <v>0.402354634820159</v>
      </c>
      <c r="DH49" s="16" t="n">
        <v>0.2</v>
      </c>
      <c r="DI49" s="16" t="n">
        <v>1.6</v>
      </c>
      <c r="DJ49" s="16"/>
      <c r="DK49" s="16" t="n">
        <v>4.9</v>
      </c>
      <c r="DL49" s="16" t="n">
        <v>1.1</v>
      </c>
      <c r="DM49" s="16"/>
      <c r="DN49" s="16" t="n">
        <v>7</v>
      </c>
      <c r="DO49" s="16" t="n">
        <v>0.8</v>
      </c>
      <c r="DP49" s="16" t="n">
        <v>0.095619</v>
      </c>
      <c r="DQ49" s="16" t="n">
        <v>7.3</v>
      </c>
      <c r="DR49" s="16" t="n">
        <v>0.219976</v>
      </c>
      <c r="DS49" s="16" t="n">
        <v>0.4</v>
      </c>
      <c r="DT49" s="16" t="n">
        <v>0.3</v>
      </c>
      <c r="DU49" s="16" t="n">
        <v>0.4</v>
      </c>
      <c r="DV49" s="16" t="n">
        <v>0.3</v>
      </c>
      <c r="DW49" s="16" t="n">
        <v>0.040171</v>
      </c>
      <c r="DX49" s="16" t="n">
        <v>14.9</v>
      </c>
      <c r="DY49" s="16" t="n">
        <v>21.6</v>
      </c>
      <c r="DZ49" s="16" t="n">
        <v>1.003095351</v>
      </c>
    </row>
    <row r="50" customFormat="false" ht="15" hidden="false" customHeight="false" outlineLevel="0" collapsed="false">
      <c r="A50" s="13" t="n">
        <v>2003</v>
      </c>
      <c r="B50" s="16" t="n">
        <v>0.020341</v>
      </c>
      <c r="C50" s="16" t="n">
        <v>0.018019</v>
      </c>
      <c r="D50" s="16" t="n">
        <v>1.8</v>
      </c>
      <c r="E50" s="16" t="n">
        <v>0.4</v>
      </c>
      <c r="F50" s="16" t="n">
        <v>0.1</v>
      </c>
      <c r="G50" s="16" t="n">
        <v>0.1</v>
      </c>
      <c r="H50" s="15" t="n">
        <v>0.186107742669804</v>
      </c>
      <c r="I50" s="16" t="n">
        <v>0.06219</v>
      </c>
      <c r="J50" s="16" t="n">
        <v>3.1</v>
      </c>
      <c r="K50" s="16" t="n">
        <v>0.003846</v>
      </c>
      <c r="L50" s="16" t="n">
        <v>0.8</v>
      </c>
      <c r="M50" s="16" t="n">
        <v>0.2</v>
      </c>
      <c r="N50" s="16" t="n">
        <v>0.212024595</v>
      </c>
      <c r="O50" s="16" t="n">
        <v>1.9</v>
      </c>
      <c r="P50" s="16" t="n">
        <v>1.5</v>
      </c>
      <c r="Q50" s="16" t="n">
        <v>0.1</v>
      </c>
      <c r="R50" s="16" t="n">
        <v>0.3</v>
      </c>
      <c r="S50" s="16" t="n">
        <v>25.3</v>
      </c>
      <c r="T50" s="16" t="n">
        <v>0.5</v>
      </c>
      <c r="U50" s="11" t="n">
        <v>0.0576515383788912</v>
      </c>
      <c r="V50" s="16" t="n">
        <v>1.7</v>
      </c>
      <c r="W50" s="16" t="n">
        <v>2.7</v>
      </c>
      <c r="X50" s="16" t="n">
        <v>1.4</v>
      </c>
      <c r="Y50" s="16" t="n">
        <v>5.3</v>
      </c>
      <c r="Z50" s="16" t="n">
        <v>0.315987</v>
      </c>
      <c r="AA50" s="16" t="n">
        <v>1.5</v>
      </c>
      <c r="AB50" s="16" t="n">
        <v>7.5</v>
      </c>
      <c r="AC50" s="16" t="n">
        <v>3.4</v>
      </c>
      <c r="AD50" s="16" t="n">
        <v>0.2</v>
      </c>
      <c r="AE50" s="16"/>
      <c r="AF50" s="15" t="n">
        <v>0.3</v>
      </c>
      <c r="AG50" s="16" t="n">
        <v>4.7</v>
      </c>
      <c r="AH50" s="16" t="n">
        <v>0.2</v>
      </c>
      <c r="AI50" s="16" t="n">
        <v>0.062035</v>
      </c>
      <c r="AJ50" s="16" t="n">
        <v>5.1</v>
      </c>
      <c r="AK50" s="16" t="n">
        <v>1.8</v>
      </c>
      <c r="AL50" s="16" t="n">
        <v>0.16070319</v>
      </c>
      <c r="AM50" s="16" t="n">
        <v>2.7</v>
      </c>
      <c r="AN50" s="16" t="n">
        <v>2.1</v>
      </c>
      <c r="AO50" s="16" t="n">
        <v>0.3</v>
      </c>
      <c r="AP50" s="16" t="n">
        <v>0.006451388</v>
      </c>
      <c r="AQ50" s="16" t="n">
        <v>0.5</v>
      </c>
      <c r="AR50" s="16" t="n">
        <v>4.1</v>
      </c>
      <c r="AS50" s="16" t="n">
        <v>1.3</v>
      </c>
      <c r="AT50" s="16" t="n">
        <v>1.806811</v>
      </c>
      <c r="AU50" s="16" t="n">
        <v>2.6</v>
      </c>
      <c r="AV50" s="16" t="n">
        <v>0.387906</v>
      </c>
      <c r="AW50" s="16" t="n">
        <v>5.4</v>
      </c>
      <c r="AX50" s="16" t="n">
        <v>2.1</v>
      </c>
      <c r="AY50" s="16" t="n">
        <v>0.1</v>
      </c>
      <c r="AZ50" s="16" t="n">
        <v>2.6</v>
      </c>
      <c r="BA50" s="16" t="n">
        <v>0.2</v>
      </c>
      <c r="BB50" s="16" t="n">
        <v>0.4</v>
      </c>
      <c r="BC50" s="16" t="n">
        <v>1.7</v>
      </c>
      <c r="BD50" s="16" t="n">
        <v>1.2</v>
      </c>
      <c r="BE50" s="16" t="n">
        <v>5</v>
      </c>
      <c r="BF50" s="16" t="n">
        <v>0.9</v>
      </c>
      <c r="BG50" s="15" t="n">
        <v>0.4</v>
      </c>
      <c r="BH50" s="109" t="n">
        <v>0.115</v>
      </c>
      <c r="BI50" s="16" t="n">
        <v>0.1</v>
      </c>
      <c r="BJ50" s="16" t="n">
        <v>0.19361</v>
      </c>
      <c r="BK50" s="15" t="n">
        <v>0.3</v>
      </c>
      <c r="BL50" s="16" t="n">
        <v>2.1</v>
      </c>
      <c r="BM50" s="16" t="n">
        <v>0.1</v>
      </c>
      <c r="BN50" s="16" t="n">
        <v>8.3</v>
      </c>
      <c r="BO50" s="16" t="s">
        <v>528</v>
      </c>
      <c r="BP50" s="16" t="n">
        <v>0.1</v>
      </c>
      <c r="BQ50" s="16" t="n">
        <v>0.060988</v>
      </c>
      <c r="BR50" s="16" t="n">
        <v>22.2</v>
      </c>
      <c r="BS50" s="16" t="n">
        <v>2.3</v>
      </c>
      <c r="BT50" s="16" t="n">
        <v>0.6</v>
      </c>
      <c r="BU50" s="16" t="n">
        <v>15.2</v>
      </c>
      <c r="BV50" s="16" t="n">
        <v>0.7</v>
      </c>
      <c r="BW50" s="16" t="n">
        <v>1.5</v>
      </c>
      <c r="BX50" s="16" t="n">
        <v>0.9</v>
      </c>
      <c r="BY50" s="16" t="n">
        <v>1.2</v>
      </c>
      <c r="BZ50" s="16" t="n">
        <v>0.2</v>
      </c>
      <c r="CA50" s="16"/>
      <c r="CB50" s="16" t="n">
        <v>0.1</v>
      </c>
      <c r="CC50" s="16" t="n">
        <v>9.8</v>
      </c>
      <c r="CD50" s="16" t="n">
        <v>0.9</v>
      </c>
      <c r="CE50" s="16" t="n">
        <v>17.2</v>
      </c>
      <c r="CF50" s="16" t="n">
        <v>0.3</v>
      </c>
      <c r="CG50" s="16" t="n">
        <v>0.255754</v>
      </c>
      <c r="CH50" s="16" t="n">
        <v>0.05</v>
      </c>
      <c r="CI50" s="16" t="n">
        <v>0.3</v>
      </c>
      <c r="CJ50" s="16" t="n">
        <v>1.2</v>
      </c>
      <c r="CK50" s="16" t="n">
        <v>4</v>
      </c>
      <c r="CL50" s="16" t="n">
        <v>0.018149</v>
      </c>
      <c r="CM50" s="16" t="n">
        <v>0.6</v>
      </c>
      <c r="CN50" s="16" t="n">
        <v>0.9</v>
      </c>
      <c r="CO50" s="16" t="n">
        <v>0.4</v>
      </c>
      <c r="CP50" s="16" t="n">
        <v>0.4</v>
      </c>
      <c r="CQ50" s="16" t="n">
        <v>0.008455</v>
      </c>
      <c r="CR50" s="16" t="n">
        <v>0.4</v>
      </c>
      <c r="CS50" s="16" t="n">
        <f aca="false">0.1734/CS67</f>
        <v>0.353877551</v>
      </c>
      <c r="CT50" s="16" t="n">
        <v>3.9</v>
      </c>
      <c r="CU50" s="16"/>
      <c r="CV50" s="16" t="n">
        <v>0.9</v>
      </c>
      <c r="CW50" s="16" t="n">
        <v>1.4</v>
      </c>
      <c r="CX50" s="16" t="n">
        <v>0.6</v>
      </c>
      <c r="CY50" s="16" t="n">
        <v>21</v>
      </c>
      <c r="CZ50" s="16" t="n">
        <v>2.9</v>
      </c>
      <c r="DA50" s="16" t="n">
        <v>0.5</v>
      </c>
      <c r="DB50" s="16"/>
      <c r="DC50" s="16" t="n">
        <v>0.1</v>
      </c>
      <c r="DD50" s="16" t="n">
        <v>1.3</v>
      </c>
      <c r="DE50" s="16" t="n">
        <v>25.7</v>
      </c>
      <c r="DF50" s="11" t="n">
        <v>0.205871504320238</v>
      </c>
      <c r="DG50" s="11" t="n">
        <v>0.427081014237503</v>
      </c>
      <c r="DH50" s="16" t="n">
        <v>0.2</v>
      </c>
      <c r="DI50" s="16" t="n">
        <v>1.5</v>
      </c>
      <c r="DJ50" s="16"/>
      <c r="DK50" s="16" t="n">
        <v>4.8</v>
      </c>
      <c r="DL50" s="16" t="n">
        <v>1.1</v>
      </c>
      <c r="DM50" s="16"/>
      <c r="DN50" s="16" t="n">
        <v>6.7</v>
      </c>
      <c r="DO50" s="16" t="n">
        <v>0.9</v>
      </c>
      <c r="DP50" s="16" t="n">
        <v>0.107456</v>
      </c>
      <c r="DQ50" s="16" t="n">
        <v>7.1</v>
      </c>
      <c r="DR50" s="16" t="n">
        <v>0.22853</v>
      </c>
      <c r="DS50" s="16" t="n">
        <v>0.5</v>
      </c>
      <c r="DT50" s="16" t="n">
        <v>0.3</v>
      </c>
      <c r="DU50" s="16" t="n">
        <v>0.4</v>
      </c>
      <c r="DV50" s="16" t="n">
        <v>0.3</v>
      </c>
      <c r="DW50" s="16" t="n">
        <v>0.042175</v>
      </c>
      <c r="DX50" s="16" t="n">
        <v>14.6</v>
      </c>
      <c r="DY50" s="16" t="n">
        <v>20.4</v>
      </c>
      <c r="DZ50" s="16" t="n">
        <v>0.982957067</v>
      </c>
    </row>
    <row r="51" customFormat="false" ht="15" hidden="false" customHeight="false" outlineLevel="0" collapsed="false">
      <c r="A51" s="13" t="n">
        <v>2004</v>
      </c>
      <c r="B51" s="16" t="n">
        <v>0.021503</v>
      </c>
      <c r="C51" s="16" t="n">
        <v>0.019761</v>
      </c>
      <c r="D51" s="16" t="n">
        <v>1.8</v>
      </c>
      <c r="E51" s="16" t="n">
        <v>0.4</v>
      </c>
      <c r="F51" s="16" t="n">
        <v>0.1</v>
      </c>
      <c r="G51" s="16" t="n">
        <v>0.1</v>
      </c>
      <c r="H51" s="15" t="n">
        <v>0.216832011226538</v>
      </c>
      <c r="I51" s="16" t="n">
        <v>0.071116</v>
      </c>
      <c r="J51" s="16" t="n">
        <v>3.1</v>
      </c>
      <c r="K51" s="16" t="n">
        <v>0.004818</v>
      </c>
      <c r="L51" s="16" t="n">
        <v>0.9</v>
      </c>
      <c r="M51" s="16" t="n">
        <v>0.2</v>
      </c>
      <c r="N51" s="16" t="n">
        <v>0.229761783</v>
      </c>
      <c r="O51" s="16" t="n">
        <v>2</v>
      </c>
      <c r="P51" s="16" t="n">
        <v>1.4</v>
      </c>
      <c r="Q51" s="16" t="n">
        <v>0.1</v>
      </c>
      <c r="R51" s="16" t="n">
        <v>0.3</v>
      </c>
      <c r="S51" s="16" t="n">
        <v>24.9</v>
      </c>
      <c r="T51" s="16" t="n">
        <v>0.5</v>
      </c>
      <c r="U51" s="11" t="n">
        <v>0.0646666290104528</v>
      </c>
      <c r="V51" s="16" t="n">
        <v>1.6</v>
      </c>
      <c r="W51" s="16" t="n">
        <v>2.5</v>
      </c>
      <c r="X51" s="16" t="n">
        <v>1.2</v>
      </c>
      <c r="Y51" s="16" t="n">
        <v>5.3</v>
      </c>
      <c r="Z51" s="16" t="n">
        <v>0.325884</v>
      </c>
      <c r="AA51" s="16" t="n">
        <v>1.4</v>
      </c>
      <c r="AB51" s="16" t="n">
        <v>7</v>
      </c>
      <c r="AC51" s="16" t="n">
        <v>3.4</v>
      </c>
      <c r="AD51" s="16" t="n">
        <v>0.2</v>
      </c>
      <c r="AE51" s="16"/>
      <c r="AF51" s="15" t="n">
        <v>0.3</v>
      </c>
      <c r="AG51" s="16" t="n">
        <v>4.4</v>
      </c>
      <c r="AH51" s="16" t="n">
        <v>0.2</v>
      </c>
      <c r="AI51" s="16" t="n">
        <v>0.073338</v>
      </c>
      <c r="AJ51" s="16" t="n">
        <v>4.9</v>
      </c>
      <c r="AK51" s="16" t="n">
        <v>1.8</v>
      </c>
      <c r="AL51" s="16" t="n">
        <v>0.17107932</v>
      </c>
      <c r="AM51" s="16" t="n">
        <v>2.6</v>
      </c>
      <c r="AN51" s="16" t="n">
        <v>2</v>
      </c>
      <c r="AO51" s="16" t="n">
        <v>0.3</v>
      </c>
      <c r="AP51" s="16" t="n">
        <v>0.007048571</v>
      </c>
      <c r="AQ51" s="16" t="n">
        <v>0.5</v>
      </c>
      <c r="AR51" s="16" t="n">
        <v>4.6</v>
      </c>
      <c r="AS51" s="16" t="n">
        <v>1.2</v>
      </c>
      <c r="AT51" s="16" t="n">
        <v>2.020652</v>
      </c>
      <c r="AU51" s="16" t="n">
        <v>2.4</v>
      </c>
      <c r="AV51" s="16" t="n">
        <v>0.421415</v>
      </c>
      <c r="AW51" s="16" t="n">
        <v>5.5</v>
      </c>
      <c r="AX51" s="16" t="n">
        <v>2.2</v>
      </c>
      <c r="AY51" s="16" t="n">
        <v>0.1</v>
      </c>
      <c r="AZ51" s="16" t="n">
        <v>2.5</v>
      </c>
      <c r="BA51" s="16" t="n">
        <v>0.2</v>
      </c>
      <c r="BB51" s="16" t="n">
        <v>0.5</v>
      </c>
      <c r="BC51" s="16" t="n">
        <v>1.7</v>
      </c>
      <c r="BD51" s="16" t="n">
        <v>1.2</v>
      </c>
      <c r="BE51" s="16" t="n">
        <v>4.7</v>
      </c>
      <c r="BF51" s="16" t="n">
        <v>0.8</v>
      </c>
      <c r="BG51" s="15" t="n">
        <v>0.4</v>
      </c>
      <c r="BH51" s="109" t="n">
        <v>0.153</v>
      </c>
      <c r="BI51" s="16" t="n">
        <v>0.1</v>
      </c>
      <c r="BJ51" s="16" t="n">
        <v>0.198826</v>
      </c>
      <c r="BK51" s="15" t="n">
        <v>0.3</v>
      </c>
      <c r="BL51" s="16" t="n">
        <v>2</v>
      </c>
      <c r="BM51" s="16" t="n">
        <v>0.1</v>
      </c>
      <c r="BN51" s="16" t="n">
        <v>7.6</v>
      </c>
      <c r="BO51" s="16" t="s">
        <v>528</v>
      </c>
      <c r="BP51" s="16" t="n">
        <v>0.2</v>
      </c>
      <c r="BQ51" s="16" t="n">
        <v>0.063296</v>
      </c>
      <c r="BR51" s="16" t="n">
        <v>22.6</v>
      </c>
      <c r="BS51" s="16" t="n">
        <v>2.2</v>
      </c>
      <c r="BT51" s="16" t="n">
        <v>0.5</v>
      </c>
      <c r="BU51" s="16" t="n">
        <v>14.5</v>
      </c>
      <c r="BV51" s="16" t="n">
        <v>0.6</v>
      </c>
      <c r="BW51" s="16" t="n">
        <v>1.4</v>
      </c>
      <c r="BX51" s="16" t="n">
        <v>0.9</v>
      </c>
      <c r="BY51" s="16" t="n">
        <v>1.2</v>
      </c>
      <c r="BZ51" s="16" t="n">
        <v>0.2</v>
      </c>
      <c r="CA51" s="16"/>
      <c r="CB51" s="16" t="n">
        <v>0.1</v>
      </c>
      <c r="CC51" s="16" t="n">
        <v>10.2</v>
      </c>
      <c r="CD51" s="16" t="n">
        <v>0.9</v>
      </c>
      <c r="CE51" s="16" t="n">
        <v>16.8</v>
      </c>
      <c r="CF51" s="16" t="n">
        <v>0.3</v>
      </c>
      <c r="CG51" s="16" t="n">
        <v>0.269159</v>
      </c>
      <c r="CH51" s="16" t="n">
        <v>0.05</v>
      </c>
      <c r="CI51" s="16" t="n">
        <v>0.3</v>
      </c>
      <c r="CJ51" s="16" t="n">
        <v>1.2</v>
      </c>
      <c r="CK51" s="16" t="n">
        <v>3.9</v>
      </c>
      <c r="CL51" s="16" t="n">
        <v>0.02162</v>
      </c>
      <c r="CM51" s="16" t="n">
        <v>0.6</v>
      </c>
      <c r="CN51" s="16" t="n">
        <v>0.9</v>
      </c>
      <c r="CO51" s="16" t="n">
        <v>0.4</v>
      </c>
      <c r="CP51" s="16" t="n">
        <v>0.4</v>
      </c>
      <c r="CQ51" s="16" t="n">
        <v>0.010054</v>
      </c>
      <c r="CR51" s="16" t="n">
        <v>0.4</v>
      </c>
      <c r="CS51" s="16" t="n">
        <f aca="false">0.19466/CS67</f>
        <v>0.3972653061</v>
      </c>
      <c r="CT51" s="16" t="n">
        <v>3.6</v>
      </c>
      <c r="CU51" s="16"/>
      <c r="CV51" s="16" t="n">
        <v>0.9</v>
      </c>
      <c r="CW51" s="16" t="n">
        <v>1.5</v>
      </c>
      <c r="CX51" s="16" t="n">
        <v>0.6</v>
      </c>
      <c r="CY51" s="16" t="n">
        <v>21</v>
      </c>
      <c r="CZ51" s="16" t="n">
        <v>2.9</v>
      </c>
      <c r="DA51" s="16" t="n">
        <v>0.5</v>
      </c>
      <c r="DB51" s="16"/>
      <c r="DC51" s="16" t="n">
        <v>0.2</v>
      </c>
      <c r="DD51" s="16" t="n">
        <v>1.3</v>
      </c>
      <c r="DE51" s="16" t="n">
        <v>25.7</v>
      </c>
      <c r="DF51" s="11" t="n">
        <v>0.20735090676991</v>
      </c>
      <c r="DG51" s="11" t="n">
        <v>0.437987414979115</v>
      </c>
      <c r="DH51" s="16" t="n">
        <v>0.2</v>
      </c>
      <c r="DI51" s="16" t="n">
        <v>1.4</v>
      </c>
      <c r="DJ51" s="16" t="n">
        <v>0.01255</v>
      </c>
      <c r="DK51" s="16" t="n">
        <v>4.6</v>
      </c>
      <c r="DL51" s="16" t="n">
        <v>1.1</v>
      </c>
      <c r="DM51" s="16"/>
      <c r="DN51" s="16" t="n">
        <v>6.5</v>
      </c>
      <c r="DO51" s="16" t="n">
        <v>0.9</v>
      </c>
      <c r="DP51" s="16" t="n">
        <v>0.121004</v>
      </c>
      <c r="DQ51" s="16" t="n">
        <v>6.8</v>
      </c>
      <c r="DR51" s="16" t="n">
        <v>0.244522</v>
      </c>
      <c r="DS51" s="16" t="n">
        <v>0.5</v>
      </c>
      <c r="DT51" s="16" t="n">
        <v>0.4</v>
      </c>
      <c r="DU51" s="16" t="n">
        <v>0.5</v>
      </c>
      <c r="DV51" s="16" t="n">
        <v>0.4</v>
      </c>
      <c r="DW51" s="16" t="n">
        <v>0.042785</v>
      </c>
      <c r="DX51" s="16" t="n">
        <v>14.4</v>
      </c>
      <c r="DY51" s="16" t="n">
        <v>19.2</v>
      </c>
      <c r="DZ51" s="16" t="n">
        <v>0.967746205</v>
      </c>
    </row>
    <row r="52" customFormat="false" ht="15" hidden="false" customHeight="false" outlineLevel="0" collapsed="false">
      <c r="A52" s="13" t="n">
        <v>2005</v>
      </c>
      <c r="B52" s="16" t="n">
        <v>0.022844</v>
      </c>
      <c r="C52" s="16" t="n">
        <v>0.021438</v>
      </c>
      <c r="D52" s="16" t="n">
        <v>1.9</v>
      </c>
      <c r="E52" s="16" t="n">
        <v>0.4</v>
      </c>
      <c r="F52" s="16" t="n">
        <v>0.1</v>
      </c>
      <c r="G52" s="16" t="n">
        <v>0.1</v>
      </c>
      <c r="H52" s="15" t="n">
        <v>0.238657644034734</v>
      </c>
      <c r="I52" s="16" t="n">
        <v>0.07987</v>
      </c>
      <c r="J52" s="16" t="n">
        <v>3.1</v>
      </c>
      <c r="K52" s="16" t="n">
        <v>0.005751</v>
      </c>
      <c r="L52" s="16" t="n">
        <v>1</v>
      </c>
      <c r="M52" s="16" t="n">
        <v>0.2</v>
      </c>
      <c r="N52" s="16" t="n">
        <v>0.24827266</v>
      </c>
      <c r="O52" s="16" t="n">
        <v>2</v>
      </c>
      <c r="P52" s="16" t="n">
        <v>1.4</v>
      </c>
      <c r="Q52" s="16" t="n">
        <v>0.1</v>
      </c>
      <c r="R52" s="16" t="n">
        <v>0.3</v>
      </c>
      <c r="S52" s="16" t="n">
        <v>24.6</v>
      </c>
      <c r="T52" s="16" t="n">
        <v>0.5</v>
      </c>
      <c r="U52" s="11" t="n">
        <v>0.0732245509404562</v>
      </c>
      <c r="V52" s="16" t="n">
        <v>1.4</v>
      </c>
      <c r="W52" s="16" t="n">
        <v>2.3</v>
      </c>
      <c r="X52" s="16" t="n">
        <v>1.1</v>
      </c>
      <c r="Y52" s="16" t="n">
        <v>5.2</v>
      </c>
      <c r="Z52" s="16" t="n">
        <v>0.33839</v>
      </c>
      <c r="AA52" s="16" t="n">
        <v>1.3</v>
      </c>
      <c r="AB52" s="16" t="n">
        <v>6.5</v>
      </c>
      <c r="AC52" s="16" t="n">
        <v>3.3</v>
      </c>
      <c r="AD52" s="16" t="n">
        <v>0.2</v>
      </c>
      <c r="AE52" s="16" t="n">
        <v>0.085638999</v>
      </c>
      <c r="AF52" s="15" t="n">
        <v>0.3</v>
      </c>
      <c r="AG52" s="16" t="n">
        <v>4.1</v>
      </c>
      <c r="AH52" s="16" t="n">
        <v>0.2</v>
      </c>
      <c r="AI52" s="16" t="n">
        <v>0.084689</v>
      </c>
      <c r="AJ52" s="16" t="n">
        <v>4.6</v>
      </c>
      <c r="AK52" s="16" t="n">
        <v>1.7</v>
      </c>
      <c r="AL52" s="16" t="n">
        <v>0.183321417</v>
      </c>
      <c r="AM52" s="16" t="n">
        <v>2.5</v>
      </c>
      <c r="AN52" s="16" t="n">
        <v>1.9</v>
      </c>
      <c r="AO52" s="16" t="n">
        <v>0.3</v>
      </c>
      <c r="AP52" s="16" t="n">
        <v>0.007880011</v>
      </c>
      <c r="AQ52" s="16" t="n">
        <v>0.5</v>
      </c>
      <c r="AR52" s="16" t="n">
        <v>5.2</v>
      </c>
      <c r="AS52" s="16" t="n">
        <v>1.1</v>
      </c>
      <c r="AT52" s="16" t="n">
        <v>2.211003</v>
      </c>
      <c r="AU52" s="16" t="n">
        <v>2.1</v>
      </c>
      <c r="AV52" s="16" t="n">
        <v>0.421251</v>
      </c>
      <c r="AW52" s="16" t="n">
        <v>5.4</v>
      </c>
      <c r="AX52" s="16" t="n">
        <v>2.2</v>
      </c>
      <c r="AY52" s="16" t="n">
        <v>0.1</v>
      </c>
      <c r="AZ52" s="16" t="n">
        <v>2.4</v>
      </c>
      <c r="BA52" s="16" t="n">
        <v>0.2</v>
      </c>
      <c r="BB52" s="16" t="n">
        <v>0.5</v>
      </c>
      <c r="BC52" s="16" t="n">
        <v>1.7</v>
      </c>
      <c r="BD52" s="16" t="n">
        <v>1.3</v>
      </c>
      <c r="BE52" s="16" t="n">
        <v>4.4</v>
      </c>
      <c r="BF52" s="16" t="n">
        <v>0.8</v>
      </c>
      <c r="BG52" s="15" t="n">
        <v>0.4</v>
      </c>
      <c r="BH52" s="109" t="n">
        <v>0.192</v>
      </c>
      <c r="BI52" s="16" t="n">
        <v>0.1</v>
      </c>
      <c r="BJ52" s="16" t="n">
        <v>0.206878</v>
      </c>
      <c r="BK52" s="15" t="n">
        <v>0.3</v>
      </c>
      <c r="BL52" s="16" t="n">
        <v>2</v>
      </c>
      <c r="BM52" s="16" t="n">
        <v>0.1</v>
      </c>
      <c r="BN52" s="16" t="n">
        <v>7</v>
      </c>
      <c r="BO52" s="16" t="s">
        <v>528</v>
      </c>
      <c r="BP52" s="16" t="n">
        <v>0.2</v>
      </c>
      <c r="BQ52" s="16" t="n">
        <v>0.061129</v>
      </c>
      <c r="BR52" s="16" t="n">
        <v>22.8</v>
      </c>
      <c r="BS52" s="16" t="n">
        <v>2.1</v>
      </c>
      <c r="BT52" s="16" t="n">
        <v>0.5</v>
      </c>
      <c r="BU52" s="16" t="n">
        <v>13.9</v>
      </c>
      <c r="BV52" s="16" t="n">
        <v>0.6</v>
      </c>
      <c r="BW52" s="16" t="n">
        <v>1.4</v>
      </c>
      <c r="BX52" s="16" t="n">
        <v>0.9</v>
      </c>
      <c r="BY52" s="16" t="n">
        <v>1.2</v>
      </c>
      <c r="BZ52" s="16" t="n">
        <v>0.2</v>
      </c>
      <c r="CA52" s="16"/>
      <c r="CB52" s="16" t="n">
        <v>0.1</v>
      </c>
      <c r="CC52" s="16" t="n">
        <v>10.5</v>
      </c>
      <c r="CD52" s="16" t="n">
        <v>0.9</v>
      </c>
      <c r="CE52" s="16" t="n">
        <v>16.3</v>
      </c>
      <c r="CF52" s="16" t="n">
        <v>0.3</v>
      </c>
      <c r="CG52" s="16" t="n">
        <v>0.282938</v>
      </c>
      <c r="CH52" s="16" t="n">
        <v>0.05</v>
      </c>
      <c r="CI52" s="16" t="n">
        <v>0.3</v>
      </c>
      <c r="CJ52" s="16" t="n">
        <v>1.1</v>
      </c>
      <c r="CK52" s="16" t="n">
        <v>3.8</v>
      </c>
      <c r="CL52" s="16" t="n">
        <v>0.024897</v>
      </c>
      <c r="CM52" s="16" t="n">
        <v>0.6</v>
      </c>
      <c r="CN52" s="16" t="n">
        <v>0.9</v>
      </c>
      <c r="CO52" s="16" t="n">
        <v>0.4</v>
      </c>
      <c r="CP52" s="16" t="n">
        <v>0.4</v>
      </c>
      <c r="CQ52" s="16" t="n">
        <v>0.011953</v>
      </c>
      <c r="CR52" s="16" t="n">
        <v>0.4</v>
      </c>
      <c r="CS52" s="16" t="n">
        <f aca="false">0.2197/CS67</f>
        <v>0.4483673469</v>
      </c>
      <c r="CT52" s="16" t="n">
        <v>3.4</v>
      </c>
      <c r="CU52" s="16"/>
      <c r="CV52" s="16" t="n">
        <v>0.9</v>
      </c>
      <c r="CW52" s="16" t="n">
        <v>1.6</v>
      </c>
      <c r="CX52" s="16" t="n">
        <v>0.6</v>
      </c>
      <c r="CY52" s="16" t="n">
        <v>20.8</v>
      </c>
      <c r="CZ52" s="16" t="n">
        <v>2.9</v>
      </c>
      <c r="DA52" s="16" t="n">
        <v>0.4</v>
      </c>
      <c r="DB52" s="16"/>
      <c r="DC52" s="16" t="n">
        <v>0.2</v>
      </c>
      <c r="DD52" s="16" t="n">
        <v>1.3</v>
      </c>
      <c r="DE52" s="16" t="n">
        <v>25.7</v>
      </c>
      <c r="DF52" s="11" t="n">
        <v>0.207338371857854</v>
      </c>
      <c r="DG52" s="11" t="n">
        <v>0.46270048880224</v>
      </c>
      <c r="DH52" s="16" t="n">
        <v>0.2</v>
      </c>
      <c r="DI52" s="16" t="n">
        <v>1.4</v>
      </c>
      <c r="DJ52" s="16"/>
      <c r="DK52" s="16" t="n">
        <v>4.4</v>
      </c>
      <c r="DL52" s="16" t="n">
        <v>1.1</v>
      </c>
      <c r="DM52" s="16"/>
      <c r="DN52" s="16" t="n">
        <v>6.5</v>
      </c>
      <c r="DO52" s="16" t="n">
        <v>1</v>
      </c>
      <c r="DP52" s="16" t="n">
        <v>0.134733</v>
      </c>
      <c r="DQ52" s="16" t="n">
        <v>6.5</v>
      </c>
      <c r="DR52" s="16" t="n">
        <v>0.25028</v>
      </c>
      <c r="DS52" s="16" t="n">
        <v>0.5</v>
      </c>
      <c r="DT52" s="16" t="n">
        <v>0.4</v>
      </c>
      <c r="DU52" s="16" t="n">
        <v>0.5</v>
      </c>
      <c r="DV52" s="16" t="n">
        <v>0.4</v>
      </c>
      <c r="DW52" s="16" t="n">
        <v>0.04429</v>
      </c>
      <c r="DX52" s="16" t="n">
        <v>14.1</v>
      </c>
      <c r="DY52" s="16" t="n">
        <v>18.1</v>
      </c>
      <c r="DZ52" s="16" t="n">
        <v>0.964534867</v>
      </c>
    </row>
    <row r="53" customFormat="false" ht="15" hidden="false" customHeight="false" outlineLevel="0" collapsed="false">
      <c r="A53" s="13" t="n">
        <v>2006</v>
      </c>
      <c r="B53" s="16" t="n">
        <v>0.024613</v>
      </c>
      <c r="C53" s="16" t="n">
        <v>0.023093</v>
      </c>
      <c r="D53" s="16" t="n">
        <v>2</v>
      </c>
      <c r="E53" s="16" t="n">
        <v>0.4</v>
      </c>
      <c r="F53" s="16" t="n">
        <v>0.2</v>
      </c>
      <c r="G53" s="16" t="n">
        <v>0.1</v>
      </c>
      <c r="H53" s="15" t="n">
        <v>0.275640889246523</v>
      </c>
      <c r="I53" s="16" t="n">
        <v>0.090379</v>
      </c>
      <c r="J53" s="16" t="n">
        <v>3.1</v>
      </c>
      <c r="K53" s="16" t="n">
        <v>0.006532</v>
      </c>
      <c r="L53" s="16" t="n">
        <v>1</v>
      </c>
      <c r="M53" s="16" t="n">
        <v>0.3</v>
      </c>
      <c r="N53" s="16" t="n">
        <v>0.278596708</v>
      </c>
      <c r="O53" s="16" t="n">
        <v>1.9</v>
      </c>
      <c r="P53" s="16" t="n">
        <v>1.3</v>
      </c>
      <c r="Q53" s="16" t="n">
        <v>0.1</v>
      </c>
      <c r="R53" s="16" t="n">
        <v>0.3</v>
      </c>
      <c r="S53" s="16" t="n">
        <v>24.3</v>
      </c>
      <c r="T53" s="16" t="n">
        <v>0.5</v>
      </c>
      <c r="U53" s="11" t="n">
        <v>0.0806576719023354</v>
      </c>
      <c r="V53" s="16" t="n">
        <v>1.3</v>
      </c>
      <c r="W53" s="16" t="n">
        <v>2.2</v>
      </c>
      <c r="X53" s="16" t="n">
        <v>1.1</v>
      </c>
      <c r="Y53" s="16" t="n">
        <v>5.1</v>
      </c>
      <c r="Z53" s="16" t="n">
        <v>0.350081</v>
      </c>
      <c r="AA53" s="16" t="n">
        <v>1.3</v>
      </c>
      <c r="AB53" s="16" t="n">
        <v>6.1</v>
      </c>
      <c r="AC53" s="16" t="n">
        <v>3.2</v>
      </c>
      <c r="AD53" s="16" t="n">
        <v>0.2</v>
      </c>
      <c r="AE53" s="16"/>
      <c r="AF53" s="15" t="n">
        <v>0.3</v>
      </c>
      <c r="AG53" s="16" t="n">
        <v>3.9</v>
      </c>
      <c r="AH53" s="16" t="n">
        <v>0.2</v>
      </c>
      <c r="AI53" s="16" t="n">
        <v>0.097675</v>
      </c>
      <c r="AJ53" s="16" t="n">
        <v>4.4</v>
      </c>
      <c r="AK53" s="16" t="n">
        <v>1.6</v>
      </c>
      <c r="AL53" s="16" t="n">
        <v>0.193170987</v>
      </c>
      <c r="AM53" s="16" t="n">
        <v>2.3</v>
      </c>
      <c r="AN53" s="16" t="n">
        <v>1.8</v>
      </c>
      <c r="AO53" s="16" t="n">
        <v>0.3</v>
      </c>
      <c r="AP53" s="16" t="n">
        <v>0.008452847</v>
      </c>
      <c r="AQ53" s="16" t="n">
        <v>0.6</v>
      </c>
      <c r="AR53" s="16" t="n">
        <v>5.7</v>
      </c>
      <c r="AS53" s="16" t="n">
        <v>1</v>
      </c>
      <c r="AT53" s="16" t="n">
        <v>2.37058</v>
      </c>
      <c r="AU53" s="16" t="n">
        <v>1.9</v>
      </c>
      <c r="AV53" s="16" t="n">
        <v>0.438295</v>
      </c>
      <c r="AW53" s="16" t="n">
        <v>5.4</v>
      </c>
      <c r="AX53" s="16" t="n">
        <v>2.2</v>
      </c>
      <c r="AY53" s="16" t="n">
        <v>0.1</v>
      </c>
      <c r="AZ53" s="16" t="n">
        <v>2.3</v>
      </c>
      <c r="BA53" s="16" t="n">
        <v>0.2</v>
      </c>
      <c r="BB53" s="16" t="n">
        <v>0.5</v>
      </c>
      <c r="BC53" s="16" t="n">
        <v>1.7</v>
      </c>
      <c r="BD53" s="16" t="n">
        <v>1.4</v>
      </c>
      <c r="BE53" s="16" t="n">
        <v>4</v>
      </c>
      <c r="BF53" s="16" t="n">
        <v>0.7</v>
      </c>
      <c r="BG53" s="15" t="n">
        <v>0.4</v>
      </c>
      <c r="BH53" s="109" t="n">
        <v>0.228</v>
      </c>
      <c r="BI53" s="16" t="n">
        <v>0.1</v>
      </c>
      <c r="BJ53" s="16" t="n">
        <v>0.212723</v>
      </c>
      <c r="BK53" s="15" t="n">
        <v>0.3</v>
      </c>
      <c r="BL53" s="16" t="n">
        <v>1.9</v>
      </c>
      <c r="BM53" s="16" t="n">
        <v>0.1</v>
      </c>
      <c r="BN53" s="16" t="n">
        <v>6.6</v>
      </c>
      <c r="BO53" s="16" t="n">
        <v>0.1</v>
      </c>
      <c r="BP53" s="16" t="n">
        <v>0.2</v>
      </c>
      <c r="BQ53" s="16" t="n">
        <v>0.064242</v>
      </c>
      <c r="BR53" s="16" t="n">
        <v>23</v>
      </c>
      <c r="BS53" s="16" t="n">
        <v>1.9</v>
      </c>
      <c r="BT53" s="16" t="n">
        <v>0.5</v>
      </c>
      <c r="BU53" s="16" t="n">
        <v>13.2</v>
      </c>
      <c r="BV53" s="16" t="n">
        <v>0.6</v>
      </c>
      <c r="BW53" s="16" t="n">
        <v>1.3</v>
      </c>
      <c r="BX53" s="16" t="n">
        <v>0.9</v>
      </c>
      <c r="BY53" s="16" t="n">
        <v>1.2</v>
      </c>
      <c r="BZ53" s="16" t="n">
        <v>0.2</v>
      </c>
      <c r="CA53" s="16" t="n">
        <f aca="false">0.007756/CA69</f>
        <v>0.01891707317</v>
      </c>
      <c r="CB53" s="16" t="n">
        <v>0.1</v>
      </c>
      <c r="CC53" s="16" t="n">
        <v>10.8</v>
      </c>
      <c r="CD53" s="16" t="n">
        <v>0.9</v>
      </c>
      <c r="CE53" s="16" t="n">
        <v>15.9</v>
      </c>
      <c r="CF53" s="16" t="n">
        <v>0.3</v>
      </c>
      <c r="CG53" s="16" t="n">
        <v>0.291326</v>
      </c>
      <c r="CH53" s="16" t="n">
        <v>0.05</v>
      </c>
      <c r="CI53" s="16" t="n">
        <v>0.3</v>
      </c>
      <c r="CJ53" s="16" t="n">
        <v>1</v>
      </c>
      <c r="CK53" s="16" t="n">
        <v>3.8</v>
      </c>
      <c r="CL53" s="16" t="n">
        <v>0.027983</v>
      </c>
      <c r="CM53" s="16" t="n">
        <v>0.6</v>
      </c>
      <c r="CN53" s="16" t="n">
        <v>0.9</v>
      </c>
      <c r="CO53" s="16" t="n">
        <v>0.4</v>
      </c>
      <c r="CP53" s="16" t="n">
        <v>0.4</v>
      </c>
      <c r="CQ53" s="16" t="n">
        <v>0.014205</v>
      </c>
      <c r="CR53" s="16" t="n">
        <v>0.4</v>
      </c>
      <c r="CS53" s="16" t="n">
        <f aca="false">0.248/CS67</f>
        <v>0.506122449</v>
      </c>
      <c r="CT53" s="16" t="n">
        <v>3.3</v>
      </c>
      <c r="CU53" s="16"/>
      <c r="CV53" s="16" t="n">
        <v>0.8</v>
      </c>
      <c r="CW53" s="16" t="n">
        <v>1.7</v>
      </c>
      <c r="CX53" s="16" t="n">
        <v>0.6</v>
      </c>
      <c r="CY53" s="16" t="n">
        <v>20.4</v>
      </c>
      <c r="CZ53" s="16" t="n">
        <v>2.9</v>
      </c>
      <c r="DA53" s="16" t="n">
        <v>0.4</v>
      </c>
      <c r="DB53" s="16"/>
      <c r="DC53" s="16" t="n">
        <v>0.2</v>
      </c>
      <c r="DD53" s="16" t="n">
        <v>1.3</v>
      </c>
      <c r="DE53" s="16" t="n">
        <v>25.8</v>
      </c>
      <c r="DF53" s="11" t="n">
        <v>0.219146307131864</v>
      </c>
      <c r="DG53" s="11" t="n">
        <v>0.459959696707987</v>
      </c>
      <c r="DH53" s="16" t="n">
        <v>0.2</v>
      </c>
      <c r="DI53" s="16" t="n">
        <v>1.4</v>
      </c>
      <c r="DJ53" s="16"/>
      <c r="DK53" s="16" t="n">
        <v>4.1</v>
      </c>
      <c r="DL53" s="16" t="n">
        <v>1.2</v>
      </c>
      <c r="DM53" s="16"/>
      <c r="DN53" s="16" t="n">
        <v>6.6</v>
      </c>
      <c r="DO53" s="16" t="n">
        <v>1</v>
      </c>
      <c r="DP53" s="16" t="n">
        <v>0.146982</v>
      </c>
      <c r="DQ53" s="16" t="n">
        <v>6.3</v>
      </c>
      <c r="DR53" s="16" t="n">
        <v>0.255917</v>
      </c>
      <c r="DS53" s="16" t="n">
        <v>0.5</v>
      </c>
      <c r="DT53" s="16" t="n">
        <v>0.4</v>
      </c>
      <c r="DU53" s="16" t="n">
        <v>0.5</v>
      </c>
      <c r="DV53" s="16" t="n">
        <v>0.4</v>
      </c>
      <c r="DW53" s="16" t="n">
        <v>0.046669</v>
      </c>
      <c r="DX53" s="16" t="n">
        <v>13.8</v>
      </c>
      <c r="DY53" s="16" t="n">
        <v>17.2</v>
      </c>
      <c r="DZ53" s="16" t="n">
        <v>0.927182756</v>
      </c>
    </row>
    <row r="54" customFormat="false" ht="15" hidden="false" customHeight="false" outlineLevel="0" collapsed="false">
      <c r="A54" s="13" t="n">
        <v>2007</v>
      </c>
      <c r="B54" s="16" t="n">
        <v>0.026803</v>
      </c>
      <c r="C54" s="16" t="n">
        <v>0.025727</v>
      </c>
      <c r="D54" s="16" t="n">
        <v>2</v>
      </c>
      <c r="E54" s="16" t="n">
        <v>0.4</v>
      </c>
      <c r="F54" s="16" t="n">
        <v>0.2</v>
      </c>
      <c r="G54" s="16" t="n">
        <v>0.1</v>
      </c>
      <c r="H54" s="15" t="n">
        <v>0.31195128916893</v>
      </c>
      <c r="I54" s="16" t="n">
        <v>0.10172</v>
      </c>
      <c r="J54" s="16" t="n">
        <v>3.1</v>
      </c>
      <c r="K54" s="16" t="n">
        <v>0.007419</v>
      </c>
      <c r="L54" s="16" t="n">
        <v>1.1</v>
      </c>
      <c r="M54" s="16" t="n">
        <v>0.3</v>
      </c>
      <c r="N54" s="16" t="n">
        <v>0.29769483</v>
      </c>
      <c r="O54" s="16" t="n">
        <v>1.9</v>
      </c>
      <c r="P54" s="16" t="n">
        <v>1.3</v>
      </c>
      <c r="Q54" s="16" t="n">
        <v>0.2</v>
      </c>
      <c r="R54" s="16" t="n">
        <v>0.3</v>
      </c>
      <c r="S54" s="16" t="n">
        <v>24.1</v>
      </c>
      <c r="T54" s="16" t="n">
        <v>0.5</v>
      </c>
      <c r="U54" s="11" t="n">
        <v>0.0897039466148353</v>
      </c>
      <c r="V54" s="16" t="n">
        <v>1.2</v>
      </c>
      <c r="W54" s="16" t="n">
        <v>2</v>
      </c>
      <c r="X54" s="16" t="n">
        <v>1</v>
      </c>
      <c r="Y54" s="16" t="n">
        <v>5</v>
      </c>
      <c r="Z54" s="16" t="n">
        <v>0.360047</v>
      </c>
      <c r="AA54" s="16" t="n">
        <v>1.2</v>
      </c>
      <c r="AB54" s="16" t="n">
        <v>5.7</v>
      </c>
      <c r="AC54" s="16" t="n">
        <v>3.1</v>
      </c>
      <c r="AD54" s="16" t="n">
        <v>0.2</v>
      </c>
      <c r="AE54" s="16" t="n">
        <v>0.0909</v>
      </c>
      <c r="AF54" s="15" t="n">
        <v>0.4</v>
      </c>
      <c r="AG54" s="16" t="n">
        <v>3.7</v>
      </c>
      <c r="AH54" s="16" t="n">
        <v>0.2</v>
      </c>
      <c r="AI54" s="16" t="n">
        <v>0.114005</v>
      </c>
      <c r="AJ54" s="16" t="n">
        <v>4.2</v>
      </c>
      <c r="AK54" s="16" t="n">
        <v>1.5</v>
      </c>
      <c r="AL54" s="16" t="n">
        <v>0.202618788</v>
      </c>
      <c r="AM54" s="16" t="n">
        <v>2.2</v>
      </c>
      <c r="AN54" s="16" t="n">
        <v>1.7</v>
      </c>
      <c r="AO54" s="16" t="n">
        <v>0.3</v>
      </c>
      <c r="AP54" s="16" t="n">
        <v>0.00925033</v>
      </c>
      <c r="AQ54" s="16" t="n">
        <v>0.6</v>
      </c>
      <c r="AR54" s="16" t="n">
        <v>6.1</v>
      </c>
      <c r="AS54" s="16" t="n">
        <v>0.9</v>
      </c>
      <c r="AT54" s="16" t="n">
        <v>2.503657</v>
      </c>
      <c r="AU54" s="16" t="n">
        <v>1.7</v>
      </c>
      <c r="AV54" s="16" t="n">
        <v>0.438962</v>
      </c>
      <c r="AW54" s="16" t="n">
        <v>5.2</v>
      </c>
      <c r="AX54" s="16" t="n">
        <v>2.2</v>
      </c>
      <c r="AY54" s="16" t="n">
        <v>0.2</v>
      </c>
      <c r="AZ54" s="16" t="n">
        <v>2.2</v>
      </c>
      <c r="BA54" s="16" t="n">
        <v>0.2</v>
      </c>
      <c r="BB54" s="16" t="n">
        <v>0.5</v>
      </c>
      <c r="BC54" s="16" t="n">
        <v>1.6</v>
      </c>
      <c r="BD54" s="16" t="n">
        <v>1.4</v>
      </c>
      <c r="BE54" s="16" t="n">
        <v>3.6</v>
      </c>
      <c r="BF54" s="16" t="n">
        <v>0.6</v>
      </c>
      <c r="BG54" s="15" t="n">
        <v>0.3</v>
      </c>
      <c r="BH54" s="109" t="n">
        <v>0.264</v>
      </c>
      <c r="BI54" s="16" t="n">
        <v>0.1</v>
      </c>
      <c r="BJ54" s="16" t="n">
        <v>0.218392</v>
      </c>
      <c r="BK54" s="15" t="n">
        <v>0.3</v>
      </c>
      <c r="BL54" s="16" t="n">
        <v>1.9</v>
      </c>
      <c r="BM54" s="16" t="n">
        <v>0.1</v>
      </c>
      <c r="BN54" s="16" t="n">
        <v>6.4</v>
      </c>
      <c r="BO54" s="16" t="n">
        <v>0.1</v>
      </c>
      <c r="BP54" s="16" t="n">
        <v>0.2</v>
      </c>
      <c r="BQ54" s="16" t="n">
        <v>0.063236</v>
      </c>
      <c r="BR54" s="16" t="n">
        <v>23.1</v>
      </c>
      <c r="BS54" s="16" t="n">
        <v>1.8</v>
      </c>
      <c r="BT54" s="16" t="n">
        <v>0.4</v>
      </c>
      <c r="BU54" s="16" t="n">
        <v>12.6</v>
      </c>
      <c r="BV54" s="16" t="n">
        <v>0.6</v>
      </c>
      <c r="BW54" s="16" t="n">
        <v>1.3</v>
      </c>
      <c r="BX54" s="16" t="n">
        <v>0.8</v>
      </c>
      <c r="BY54" s="16" t="n">
        <v>1.2</v>
      </c>
      <c r="BZ54" s="16" t="n">
        <v>0.2</v>
      </c>
      <c r="CA54" s="16" t="n">
        <f aca="false">0.010349/CA69</f>
        <v>0.02524146341</v>
      </c>
      <c r="CB54" s="16" t="n">
        <v>0.1</v>
      </c>
      <c r="CC54" s="16" t="n">
        <v>10.9</v>
      </c>
      <c r="CD54" s="16" t="n">
        <v>0.9</v>
      </c>
      <c r="CE54" s="16" t="n">
        <v>15.5</v>
      </c>
      <c r="CF54" s="16" t="n">
        <v>0.3</v>
      </c>
      <c r="CG54" s="16" t="n">
        <v>0.305867</v>
      </c>
      <c r="CH54" s="16" t="n">
        <v>0.05</v>
      </c>
      <c r="CI54" s="16" t="n">
        <v>0.3</v>
      </c>
      <c r="CJ54" s="16" t="n">
        <v>0.9</v>
      </c>
      <c r="CK54" s="16" t="n">
        <v>3.7</v>
      </c>
      <c r="CL54" s="16" t="n">
        <v>0.032181</v>
      </c>
      <c r="CM54" s="16" t="n">
        <v>0.6</v>
      </c>
      <c r="CN54" s="16" t="n">
        <v>0.9</v>
      </c>
      <c r="CO54" s="16" t="n">
        <v>0.4</v>
      </c>
      <c r="CP54" s="16" t="n">
        <v>0.4</v>
      </c>
      <c r="CQ54" s="16" t="n">
        <v>0.016909</v>
      </c>
      <c r="CR54" s="16" t="n">
        <v>0.4</v>
      </c>
      <c r="CS54" s="16" t="n">
        <f aca="false">0.2772/CS67</f>
        <v>0.5657142857</v>
      </c>
      <c r="CT54" s="16" t="n">
        <v>3.3</v>
      </c>
      <c r="CU54" s="16"/>
      <c r="CV54" s="16" t="n">
        <v>0.8</v>
      </c>
      <c r="CW54" s="16" t="n">
        <v>1.7</v>
      </c>
      <c r="CX54" s="16" t="n">
        <v>0.6</v>
      </c>
      <c r="CY54" s="16" t="n">
        <v>19.9</v>
      </c>
      <c r="CZ54" s="16" t="n">
        <v>2.8</v>
      </c>
      <c r="DA54" s="16" t="n">
        <v>0.4</v>
      </c>
      <c r="DB54" s="16" t="n">
        <v>0.037588</v>
      </c>
      <c r="DC54" s="16" t="n">
        <v>0.2</v>
      </c>
      <c r="DD54" s="16" t="n">
        <v>1.2</v>
      </c>
      <c r="DE54" s="16" t="n">
        <v>26.1</v>
      </c>
      <c r="DF54" s="11" t="n">
        <v>0.219116118920034</v>
      </c>
      <c r="DG54" s="11" t="n">
        <v>0.483134317782134</v>
      </c>
      <c r="DH54" s="16" t="n">
        <v>0.2</v>
      </c>
      <c r="DI54" s="16" t="n">
        <v>1.3</v>
      </c>
      <c r="DJ54" s="16"/>
      <c r="DK54" s="16" t="n">
        <v>3.9</v>
      </c>
      <c r="DL54" s="16" t="n">
        <v>1.2</v>
      </c>
      <c r="DM54" s="16" t="n">
        <v>0.018972</v>
      </c>
      <c r="DN54" s="16" t="n">
        <v>6.6</v>
      </c>
      <c r="DO54" s="16" t="n">
        <v>0.9</v>
      </c>
      <c r="DP54" s="16" t="n">
        <v>0.156958</v>
      </c>
      <c r="DQ54" s="16" t="n">
        <v>6.1</v>
      </c>
      <c r="DR54" s="16" t="n">
        <v>0.263478</v>
      </c>
      <c r="DS54" s="16" t="n">
        <v>0.5</v>
      </c>
      <c r="DT54" s="16" t="n">
        <v>0.3</v>
      </c>
      <c r="DU54" s="16" t="n">
        <v>0.5</v>
      </c>
      <c r="DV54" s="16" t="n">
        <v>0.4</v>
      </c>
      <c r="DW54" s="16" t="n">
        <v>0.047718</v>
      </c>
      <c r="DX54" s="16" t="n">
        <v>13.6</v>
      </c>
      <c r="DY54" s="16" t="n">
        <v>16.5</v>
      </c>
      <c r="DZ54" s="16" t="n">
        <v>0.931272732</v>
      </c>
    </row>
    <row r="55" customFormat="false" ht="15" hidden="false" customHeight="false" outlineLevel="0" collapsed="false">
      <c r="A55" s="13" t="n">
        <v>2008</v>
      </c>
      <c r="B55" s="16" t="n">
        <v>0.028282</v>
      </c>
      <c r="C55" s="16" t="n">
        <v>0.028308</v>
      </c>
      <c r="D55" s="16" t="n">
        <v>2.1</v>
      </c>
      <c r="E55" s="16" t="n">
        <v>0.4</v>
      </c>
      <c r="F55" s="16" t="n">
        <v>0.2</v>
      </c>
      <c r="G55" s="16" t="n">
        <v>0.1</v>
      </c>
      <c r="H55" s="15" t="n">
        <v>0.351011991780025</v>
      </c>
      <c r="I55" s="16" t="n">
        <v>0.112904</v>
      </c>
      <c r="J55" s="16" t="n">
        <v>3.2</v>
      </c>
      <c r="K55" s="16" t="n">
        <v>0.008282</v>
      </c>
      <c r="L55" s="16" t="n">
        <v>1.2</v>
      </c>
      <c r="M55" s="16" t="n">
        <v>0.3</v>
      </c>
      <c r="N55" s="16" t="n">
        <v>0.326507674</v>
      </c>
      <c r="O55" s="16" t="n">
        <v>1.8</v>
      </c>
      <c r="P55" s="16" t="n">
        <v>1.2</v>
      </c>
      <c r="Q55" s="16" t="n">
        <v>0.2</v>
      </c>
      <c r="R55" s="16" t="n">
        <v>0.3</v>
      </c>
      <c r="S55" s="16" t="n">
        <v>23.9</v>
      </c>
      <c r="T55" s="16" t="n">
        <v>0.5</v>
      </c>
      <c r="U55" s="11" t="n">
        <v>0.0966374373432268</v>
      </c>
      <c r="V55" s="16" t="n">
        <v>1.1</v>
      </c>
      <c r="W55" s="16" t="n">
        <v>1.8</v>
      </c>
      <c r="X55" s="16" t="n">
        <v>0.9</v>
      </c>
      <c r="Y55" s="16" t="n">
        <v>4.9</v>
      </c>
      <c r="Z55" s="16" t="n">
        <v>0.375932</v>
      </c>
      <c r="AA55" s="16" t="n">
        <v>1.2</v>
      </c>
      <c r="AB55" s="16" t="n">
        <v>5.3</v>
      </c>
      <c r="AC55" s="16" t="n">
        <v>3</v>
      </c>
      <c r="AD55" s="16" t="n">
        <v>0.2</v>
      </c>
      <c r="AE55" s="16"/>
      <c r="AF55" s="15" t="n">
        <v>0.4</v>
      </c>
      <c r="AG55" s="16" t="n">
        <v>3.5</v>
      </c>
      <c r="AH55" s="16" t="n">
        <v>0.3</v>
      </c>
      <c r="AI55" s="16" t="n">
        <v>0.132193</v>
      </c>
      <c r="AJ55" s="16" t="n">
        <v>4.1</v>
      </c>
      <c r="AK55" s="16" t="n">
        <v>1.4</v>
      </c>
      <c r="AL55" s="16" t="n">
        <v>0.211643477</v>
      </c>
      <c r="AM55" s="16" t="n">
        <v>2.1</v>
      </c>
      <c r="AN55" s="16" t="n">
        <v>1.5</v>
      </c>
      <c r="AO55" s="16" t="n">
        <v>0.3</v>
      </c>
      <c r="AP55" s="16" t="n">
        <v>0.010023415</v>
      </c>
      <c r="AQ55" s="16" t="n">
        <v>0.6</v>
      </c>
      <c r="AR55" s="16" t="n">
        <v>6.4</v>
      </c>
      <c r="AS55" s="16" t="n">
        <v>0.9</v>
      </c>
      <c r="AT55" s="16" t="n">
        <v>2.592811</v>
      </c>
      <c r="AU55" s="16" t="n">
        <v>1.6</v>
      </c>
      <c r="AV55" s="16" t="n">
        <v>0.45688</v>
      </c>
      <c r="AW55" s="16" t="n">
        <v>5</v>
      </c>
      <c r="AX55" s="16" t="n">
        <v>2.2</v>
      </c>
      <c r="AY55" s="16" t="n">
        <v>0.2</v>
      </c>
      <c r="AZ55" s="16" t="n">
        <v>2.1</v>
      </c>
      <c r="BA55" s="16" t="n">
        <v>0.2</v>
      </c>
      <c r="BB55" s="16" t="n">
        <v>0.5</v>
      </c>
      <c r="BC55" s="16" t="n">
        <v>1.6</v>
      </c>
      <c r="BD55" s="16" t="n">
        <v>1.4</v>
      </c>
      <c r="BE55" s="16" t="n">
        <v>3.3</v>
      </c>
      <c r="BF55" s="16" t="n">
        <v>0.6</v>
      </c>
      <c r="BG55" s="15" t="n">
        <v>0.3</v>
      </c>
      <c r="BH55" s="109" t="n">
        <v>0.298</v>
      </c>
      <c r="BI55" s="16" t="n">
        <v>0.1</v>
      </c>
      <c r="BJ55" s="16" t="n">
        <v>0.22385</v>
      </c>
      <c r="BK55" s="15" t="n">
        <v>0.3</v>
      </c>
      <c r="BL55" s="16" t="n">
        <v>1.8</v>
      </c>
      <c r="BM55" s="16" t="n">
        <v>0.1</v>
      </c>
      <c r="BN55" s="16" t="n">
        <v>6.2</v>
      </c>
      <c r="BO55" s="16" t="n">
        <v>0.1</v>
      </c>
      <c r="BP55" s="16" t="n">
        <v>0.2</v>
      </c>
      <c r="BQ55" s="16" t="n">
        <v>0.066714</v>
      </c>
      <c r="BR55" s="16" t="n">
        <v>23.2</v>
      </c>
      <c r="BS55" s="16" t="n">
        <v>1.7</v>
      </c>
      <c r="BT55" s="16" t="n">
        <v>0.4</v>
      </c>
      <c r="BU55" s="16" t="n">
        <v>12.1</v>
      </c>
      <c r="BV55" s="16" t="n">
        <v>0.6</v>
      </c>
      <c r="BW55" s="16" t="n">
        <v>1.3</v>
      </c>
      <c r="BX55" s="16" t="n">
        <v>0.8</v>
      </c>
      <c r="BY55" s="16" t="n">
        <v>1.2</v>
      </c>
      <c r="BZ55" s="16" t="n">
        <v>0.2</v>
      </c>
      <c r="CA55" s="16" t="n">
        <f aca="false">0.013452/CA69</f>
        <v>0.0328097561</v>
      </c>
      <c r="CB55" s="16" t="n">
        <v>0.1</v>
      </c>
      <c r="CC55" s="16" t="n">
        <v>11.1</v>
      </c>
      <c r="CD55" s="16" t="n">
        <v>0.9</v>
      </c>
      <c r="CE55" s="16" t="n">
        <v>15.3</v>
      </c>
      <c r="CF55" s="16" t="n">
        <v>0.3</v>
      </c>
      <c r="CG55" s="16" t="n">
        <v>0.313603</v>
      </c>
      <c r="CH55" s="16"/>
      <c r="CI55" s="16" t="n">
        <v>0.3</v>
      </c>
      <c r="CJ55" s="16" t="n">
        <v>0.8</v>
      </c>
      <c r="CK55" s="16" t="n">
        <v>3.6</v>
      </c>
      <c r="CL55" s="16" t="n">
        <v>0.037398</v>
      </c>
      <c r="CM55" s="16" t="n">
        <v>0.7</v>
      </c>
      <c r="CN55" s="16" t="n">
        <v>0.9</v>
      </c>
      <c r="CO55" s="16" t="n">
        <v>0.4</v>
      </c>
      <c r="CP55" s="16" t="n">
        <v>0.3</v>
      </c>
      <c r="CQ55" s="16" t="n">
        <v>0.020116</v>
      </c>
      <c r="CR55" s="16" t="n">
        <v>0.5</v>
      </c>
      <c r="CS55" s="16" t="n">
        <f aca="false">0.3071/CS67</f>
        <v>0.6267346939</v>
      </c>
      <c r="CT55" s="16" t="n">
        <v>3.2</v>
      </c>
      <c r="CU55" s="16" t="n">
        <v>0.28</v>
      </c>
      <c r="CV55" s="16" t="n">
        <v>0.8</v>
      </c>
      <c r="CW55" s="16" t="n">
        <v>1.7</v>
      </c>
      <c r="CX55" s="16" t="n">
        <v>0.6</v>
      </c>
      <c r="CY55" s="16" t="n">
        <v>19.5</v>
      </c>
      <c r="CZ55" s="16" t="n">
        <v>2.8</v>
      </c>
      <c r="DA55" s="16" t="n">
        <v>0.4</v>
      </c>
      <c r="DB55" s="16"/>
      <c r="DC55" s="16" t="n">
        <v>0.2</v>
      </c>
      <c r="DD55" s="16" t="n">
        <v>1.2</v>
      </c>
      <c r="DE55" s="16" t="n">
        <v>26.4</v>
      </c>
      <c r="DF55" s="11" t="n">
        <v>0.218814313467739</v>
      </c>
      <c r="DG55" s="11" t="n">
        <v>0.491218082773168</v>
      </c>
      <c r="DH55" s="16" t="n">
        <v>0.3</v>
      </c>
      <c r="DI55" s="16" t="n">
        <v>1.3</v>
      </c>
      <c r="DJ55" s="16"/>
      <c r="DK55" s="16" t="n">
        <v>3.6</v>
      </c>
      <c r="DL55" s="16" t="n">
        <v>1.2</v>
      </c>
      <c r="DM55" s="16" t="n">
        <v>0.022204</v>
      </c>
      <c r="DN55" s="16" t="n">
        <v>6.7</v>
      </c>
      <c r="DO55" s="16" t="n">
        <v>0.9</v>
      </c>
      <c r="DP55" s="16" t="n">
        <v>0.166673</v>
      </c>
      <c r="DQ55" s="16" t="n">
        <v>6</v>
      </c>
      <c r="DR55" s="16" t="n">
        <v>0.37013</v>
      </c>
      <c r="DS55" s="16" t="n">
        <v>0.5</v>
      </c>
      <c r="DT55" s="16" t="n">
        <v>0.3</v>
      </c>
      <c r="DU55" s="16" t="n">
        <v>0.5</v>
      </c>
      <c r="DV55" s="16" t="n">
        <v>0.4</v>
      </c>
      <c r="DW55" s="16" t="n">
        <v>0.049537</v>
      </c>
      <c r="DX55" s="16" t="n">
        <v>13.6</v>
      </c>
      <c r="DY55" s="16" t="n">
        <v>16</v>
      </c>
      <c r="DZ55" s="16" t="n">
        <v>0.908971244</v>
      </c>
    </row>
    <row r="56" customFormat="false" ht="15" hidden="false" customHeight="false" outlineLevel="0" collapsed="false">
      <c r="A56" s="13" t="n">
        <v>2009</v>
      </c>
      <c r="B56" s="16" t="n">
        <v>0.030417</v>
      </c>
      <c r="C56" s="16" t="n">
        <v>0.03036</v>
      </c>
      <c r="D56" s="16" t="n">
        <v>2.1</v>
      </c>
      <c r="E56" s="16" t="n">
        <v>0.4</v>
      </c>
      <c r="F56" s="16" t="n">
        <v>0.2</v>
      </c>
      <c r="G56" s="16" t="n">
        <v>0.1</v>
      </c>
      <c r="H56" s="15" t="n">
        <v>0.388488597252657</v>
      </c>
      <c r="I56" s="16" t="n">
        <v>0.125176</v>
      </c>
      <c r="J56" s="16" t="n">
        <v>3.2</v>
      </c>
      <c r="K56" s="16" t="n">
        <v>0.009001</v>
      </c>
      <c r="L56" s="16" t="n">
        <v>1.3</v>
      </c>
      <c r="M56" s="16" t="n">
        <v>0.3</v>
      </c>
      <c r="N56" s="16" t="n">
        <v>0.33556994</v>
      </c>
      <c r="O56" s="16" t="n">
        <v>1.7</v>
      </c>
      <c r="P56" s="16" t="n">
        <v>1.2</v>
      </c>
      <c r="Q56" s="16" t="n">
        <v>0.2</v>
      </c>
      <c r="R56" s="16" t="n">
        <v>0.3</v>
      </c>
      <c r="S56" s="16" t="n">
        <v>23.6</v>
      </c>
      <c r="T56" s="16" t="n">
        <v>0.5</v>
      </c>
      <c r="U56" s="11" t="n">
        <v>0.103783874772386</v>
      </c>
      <c r="V56" s="16" t="n">
        <v>1.1</v>
      </c>
      <c r="W56" s="16" t="n">
        <v>1.6</v>
      </c>
      <c r="X56" s="16" t="n">
        <v>0.9</v>
      </c>
      <c r="Y56" s="16" t="n">
        <v>4.9</v>
      </c>
      <c r="Z56" s="16" t="n">
        <v>0.385706</v>
      </c>
      <c r="AA56" s="16" t="n">
        <v>1.1</v>
      </c>
      <c r="AB56" s="16" t="n">
        <v>5</v>
      </c>
      <c r="AC56" s="16" t="n">
        <v>2.8</v>
      </c>
      <c r="AD56" s="16" t="n">
        <v>0.2</v>
      </c>
      <c r="AE56" s="16" t="n">
        <v>0.095238095</v>
      </c>
      <c r="AF56" s="15" t="n">
        <v>0.4</v>
      </c>
      <c r="AG56" s="16" t="n">
        <v>3.3</v>
      </c>
      <c r="AH56" s="16" t="n">
        <v>0.3</v>
      </c>
      <c r="AI56" s="16" t="n">
        <v>0.152489</v>
      </c>
      <c r="AJ56" s="16" t="n">
        <v>3.9</v>
      </c>
      <c r="AK56" s="16" t="n">
        <v>1.3</v>
      </c>
      <c r="AL56" s="16" t="n">
        <v>0.222703893</v>
      </c>
      <c r="AM56" s="16" t="n">
        <v>1.9</v>
      </c>
      <c r="AN56" s="16" t="n">
        <v>1.4</v>
      </c>
      <c r="AO56" s="16" t="n">
        <v>0.3</v>
      </c>
      <c r="AP56" s="16" t="n">
        <v>0.011013004</v>
      </c>
      <c r="AQ56" s="16" t="n">
        <v>0.6</v>
      </c>
      <c r="AR56" s="16" t="n">
        <v>6.5</v>
      </c>
      <c r="AS56" s="16" t="n">
        <v>0.8</v>
      </c>
      <c r="AT56" s="16" t="n">
        <v>2.638763</v>
      </c>
      <c r="AU56" s="16" t="n">
        <v>1.5</v>
      </c>
      <c r="AV56" s="16" t="n">
        <v>0.475134</v>
      </c>
      <c r="AW56" s="16" t="n">
        <v>4.8</v>
      </c>
      <c r="AX56" s="16" t="n">
        <v>2.1</v>
      </c>
      <c r="AY56" s="16" t="n">
        <v>0.2</v>
      </c>
      <c r="AZ56" s="16" t="n">
        <v>2</v>
      </c>
      <c r="BA56" s="16" t="n">
        <v>0.2</v>
      </c>
      <c r="BB56" s="16" t="n">
        <v>0.6</v>
      </c>
      <c r="BC56" s="16" t="n">
        <v>1.6</v>
      </c>
      <c r="BD56" s="16" t="n">
        <v>1.5</v>
      </c>
      <c r="BE56" s="16" t="n">
        <v>3</v>
      </c>
      <c r="BF56" s="16" t="n">
        <v>0.5</v>
      </c>
      <c r="BG56" s="15" t="n">
        <v>0.3</v>
      </c>
      <c r="BH56" s="109" t="n">
        <v>0.333</v>
      </c>
      <c r="BI56" s="16" t="n">
        <v>0.1</v>
      </c>
      <c r="BJ56" s="16" t="n">
        <v>0.226268</v>
      </c>
      <c r="BK56" s="15" t="n">
        <v>0.3</v>
      </c>
      <c r="BL56" s="16" t="n">
        <v>1.8</v>
      </c>
      <c r="BM56" s="16" t="n">
        <v>0.1</v>
      </c>
      <c r="BN56" s="16" t="n">
        <v>6.1</v>
      </c>
      <c r="BO56" s="16" t="n">
        <v>0.1</v>
      </c>
      <c r="BP56" s="16" t="n">
        <v>0.2</v>
      </c>
      <c r="BQ56" s="16" t="n">
        <v>0.069399</v>
      </c>
      <c r="BR56" s="16" t="n">
        <v>23.2</v>
      </c>
      <c r="BS56" s="16" t="n">
        <v>1.5</v>
      </c>
      <c r="BT56" s="16" t="n">
        <v>0.4</v>
      </c>
      <c r="BU56" s="16" t="n">
        <v>11.6</v>
      </c>
      <c r="BV56" s="16" t="n">
        <v>0.6</v>
      </c>
      <c r="BW56" s="16" t="n">
        <v>1.3</v>
      </c>
      <c r="BX56" s="16" t="n">
        <v>0.8</v>
      </c>
      <c r="BY56" s="16" t="n">
        <v>1.1</v>
      </c>
      <c r="BZ56" s="16" t="n">
        <v>0.2</v>
      </c>
      <c r="CA56" s="16" t="n">
        <f aca="false">0.016251/CA69</f>
        <v>0.03963658537</v>
      </c>
      <c r="CB56" s="16" t="n">
        <v>0.1</v>
      </c>
      <c r="CC56" s="16" t="n">
        <v>11.2</v>
      </c>
      <c r="CD56" s="16" t="n">
        <v>0.9</v>
      </c>
      <c r="CE56" s="16" t="n">
        <v>15</v>
      </c>
      <c r="CF56" s="16" t="n">
        <v>0.3</v>
      </c>
      <c r="CG56" s="16" t="n">
        <v>0.314756</v>
      </c>
      <c r="CH56" s="16"/>
      <c r="CI56" s="16" t="n">
        <v>0.3</v>
      </c>
      <c r="CJ56" s="16" t="n">
        <v>0.8</v>
      </c>
      <c r="CK56" s="16" t="n">
        <v>3.5</v>
      </c>
      <c r="CL56" s="16" t="n">
        <v>0.045878</v>
      </c>
      <c r="CM56" s="16" t="n">
        <v>0.7</v>
      </c>
      <c r="CN56" s="16" t="n">
        <v>0.8</v>
      </c>
      <c r="CO56" s="16" t="n">
        <v>0.4</v>
      </c>
      <c r="CP56" s="16" t="n">
        <v>0.3</v>
      </c>
      <c r="CQ56" s="16" t="n">
        <v>0.024001</v>
      </c>
      <c r="CR56" s="16" t="n">
        <v>0.5</v>
      </c>
      <c r="CS56" s="16"/>
      <c r="CT56" s="16" t="n">
        <v>3.2</v>
      </c>
      <c r="CU56" s="16"/>
      <c r="CV56" s="16" t="n">
        <v>0.7</v>
      </c>
      <c r="CW56" s="16" t="n">
        <v>1.7</v>
      </c>
      <c r="CX56" s="16" t="n">
        <v>0.6</v>
      </c>
      <c r="CY56" s="16" t="n">
        <v>19.2</v>
      </c>
      <c r="CZ56" s="16" t="n">
        <v>2.8</v>
      </c>
      <c r="DA56" s="16" t="n">
        <v>0.4</v>
      </c>
      <c r="DB56" s="16" t="n">
        <v>0.028064</v>
      </c>
      <c r="DC56" s="16" t="n">
        <v>0.2</v>
      </c>
      <c r="DD56" s="16" t="n">
        <v>1.2</v>
      </c>
      <c r="DE56" s="16" t="n">
        <v>26.7</v>
      </c>
      <c r="DF56" s="11" t="n">
        <v>0.230308613542146</v>
      </c>
      <c r="DG56" s="11" t="n">
        <v>0.513026397970625</v>
      </c>
      <c r="DH56" s="16" t="n">
        <v>0.3</v>
      </c>
      <c r="DI56" s="16" t="n">
        <v>1.3</v>
      </c>
      <c r="DJ56" s="16"/>
      <c r="DK56" s="16" t="n">
        <v>3.3</v>
      </c>
      <c r="DL56" s="16" t="n">
        <v>1.2</v>
      </c>
      <c r="DM56" s="16" t="n">
        <v>0.023713</v>
      </c>
      <c r="DN56" s="16" t="n">
        <v>6.9</v>
      </c>
      <c r="DO56" s="16" t="n">
        <v>0.9</v>
      </c>
      <c r="DP56" s="16" t="n">
        <v>0.173997</v>
      </c>
      <c r="DQ56" s="16" t="n">
        <v>5.8</v>
      </c>
      <c r="DR56" s="16" t="n">
        <v>0.372424</v>
      </c>
      <c r="DS56" s="16" t="n">
        <v>0.5</v>
      </c>
      <c r="DT56" s="16" t="n">
        <v>0.3</v>
      </c>
      <c r="DU56" s="16" t="n">
        <v>0.5</v>
      </c>
      <c r="DV56" s="16" t="n">
        <v>0.4</v>
      </c>
      <c r="DW56" s="16" t="n">
        <v>0.052102</v>
      </c>
      <c r="DX56" s="16" t="n">
        <v>13.5</v>
      </c>
      <c r="DY56" s="16" t="n">
        <v>15.7</v>
      </c>
      <c r="DZ56" s="16" t="n">
        <v>0.904928177</v>
      </c>
    </row>
    <row r="57" customFormat="false" ht="15" hidden="false" customHeight="false" outlineLevel="0" collapsed="false">
      <c r="A57" s="13" t="n">
        <v>2010</v>
      </c>
      <c r="B57" s="16" t="n">
        <v>0.032479</v>
      </c>
      <c r="C57" s="16" t="n">
        <v>0.032886</v>
      </c>
      <c r="D57" s="16" t="n">
        <v>2.1</v>
      </c>
      <c r="E57" s="16" t="n">
        <v>0.4</v>
      </c>
      <c r="F57" s="16" t="n">
        <v>0.2</v>
      </c>
      <c r="G57" s="16" t="n">
        <v>0.1</v>
      </c>
      <c r="H57" s="15" t="n">
        <v>0.402658817178743</v>
      </c>
      <c r="I57" s="16" t="n">
        <v>0.13943</v>
      </c>
      <c r="J57" s="16" t="n">
        <v>3.2</v>
      </c>
      <c r="K57" s="16" t="n">
        <v>0.0097</v>
      </c>
      <c r="L57" s="16" t="n">
        <v>1.3</v>
      </c>
      <c r="M57" s="16" t="n">
        <v>0.4</v>
      </c>
      <c r="N57" s="16" t="n">
        <v>0.364149071</v>
      </c>
      <c r="O57" s="16" t="n">
        <v>1.7</v>
      </c>
      <c r="P57" s="16" t="n">
        <v>1.2</v>
      </c>
      <c r="Q57" s="16" t="n">
        <v>0.2</v>
      </c>
      <c r="R57" s="16" t="n">
        <v>0.3</v>
      </c>
      <c r="S57" s="16" t="n">
        <v>23.5</v>
      </c>
      <c r="T57" s="16" t="n">
        <v>0.5</v>
      </c>
      <c r="U57" s="11" t="n">
        <v>0.109707655082597</v>
      </c>
      <c r="V57" s="16" t="n">
        <v>1</v>
      </c>
      <c r="W57" s="16" t="n">
        <v>1.5</v>
      </c>
      <c r="X57" s="16" t="n">
        <v>0.8</v>
      </c>
      <c r="Y57" s="16" t="n">
        <v>4.8</v>
      </c>
      <c r="Z57" s="16" t="n">
        <v>0.403321</v>
      </c>
      <c r="AA57" s="16" t="n">
        <v>1.1</v>
      </c>
      <c r="AB57" s="16" t="n">
        <v>4.8</v>
      </c>
      <c r="AC57" s="16" t="n">
        <v>2.7</v>
      </c>
      <c r="AD57" s="16" t="n">
        <v>0.2</v>
      </c>
      <c r="AE57" s="16"/>
      <c r="AF57" s="15" t="n">
        <v>0.4</v>
      </c>
      <c r="AG57" s="16" t="n">
        <v>3.2</v>
      </c>
      <c r="AH57" s="16" t="n">
        <v>0.3</v>
      </c>
      <c r="AI57" s="16" t="n">
        <v>0.181795</v>
      </c>
      <c r="AJ57" s="16" t="n">
        <v>3.8</v>
      </c>
      <c r="AK57" s="16" t="n">
        <v>1.2</v>
      </c>
      <c r="AL57" s="16" t="n">
        <v>0.232020113</v>
      </c>
      <c r="AM57" s="16" t="n">
        <v>1.9</v>
      </c>
      <c r="AN57" s="16" t="n">
        <v>1.4</v>
      </c>
      <c r="AO57" s="16" t="n">
        <v>0.3</v>
      </c>
      <c r="AP57" s="16" t="n">
        <v>0.011981479</v>
      </c>
      <c r="AQ57" s="16" t="n">
        <v>0.6</v>
      </c>
      <c r="AR57" s="16" t="n">
        <v>6.5</v>
      </c>
      <c r="AS57" s="16" t="n">
        <v>0.8</v>
      </c>
      <c r="AT57" s="16" t="n">
        <v>2.845257</v>
      </c>
      <c r="AU57" s="16" t="n">
        <v>1.4</v>
      </c>
      <c r="AV57" s="16" t="n">
        <v>0.493674</v>
      </c>
      <c r="AW57" s="16" t="n">
        <v>4.6</v>
      </c>
      <c r="AX57" s="16" t="n">
        <v>2.1</v>
      </c>
      <c r="AY57" s="16" t="n">
        <v>0.2</v>
      </c>
      <c r="AZ57" s="16" t="n">
        <v>1.9</v>
      </c>
      <c r="BA57" s="16" t="n">
        <v>0.2</v>
      </c>
      <c r="BB57" s="16" t="n">
        <v>0.6</v>
      </c>
      <c r="BC57" s="16" t="n">
        <v>1.6</v>
      </c>
      <c r="BD57" s="16" t="n">
        <v>1.5</v>
      </c>
      <c r="BE57" s="16" t="n">
        <v>2.8</v>
      </c>
      <c r="BF57" s="16" t="n">
        <v>0.5</v>
      </c>
      <c r="BG57" s="15" t="n">
        <v>0.3</v>
      </c>
      <c r="BH57" s="109" t="n">
        <v>0.368</v>
      </c>
      <c r="BI57" s="16" t="n">
        <v>0.1</v>
      </c>
      <c r="BJ57" s="16" t="n">
        <v>0.239406</v>
      </c>
      <c r="BK57" s="15" t="n">
        <v>0.3</v>
      </c>
      <c r="BL57" s="16" t="n">
        <v>1.7</v>
      </c>
      <c r="BM57" s="16" t="n">
        <v>0.1</v>
      </c>
      <c r="BN57" s="16" t="n">
        <v>6.1</v>
      </c>
      <c r="BO57" s="16" t="n">
        <v>0.2</v>
      </c>
      <c r="BP57" s="16" t="n">
        <v>0.3</v>
      </c>
      <c r="BQ57" s="16" t="n">
        <v>0.070889</v>
      </c>
      <c r="BR57" s="16" t="n">
        <v>23.1</v>
      </c>
      <c r="BS57" s="16" t="n">
        <v>1.4</v>
      </c>
      <c r="BT57" s="16" t="n">
        <v>0.4</v>
      </c>
      <c r="BU57" s="16" t="n">
        <v>11.2</v>
      </c>
      <c r="BV57" s="16" t="n">
        <v>0.5</v>
      </c>
      <c r="BW57" s="16" t="n">
        <v>1.3</v>
      </c>
      <c r="BX57" s="16" t="n">
        <v>0.7</v>
      </c>
      <c r="BY57" s="16" t="n">
        <v>1.1</v>
      </c>
      <c r="BZ57" s="16" t="n">
        <v>0.2</v>
      </c>
      <c r="CA57" s="16" t="n">
        <f aca="false">0.022064/CA69</f>
        <v>0.05381463415</v>
      </c>
      <c r="CB57" s="16" t="n">
        <v>0.1</v>
      </c>
      <c r="CC57" s="16" t="n">
        <v>11.2</v>
      </c>
      <c r="CD57" s="16" t="n">
        <v>0.8</v>
      </c>
      <c r="CE57" s="16" t="n">
        <v>14.7</v>
      </c>
      <c r="CF57" s="16" t="n">
        <v>0.3</v>
      </c>
      <c r="CG57" s="16" t="n">
        <v>0.329109</v>
      </c>
      <c r="CH57" s="16"/>
      <c r="CI57" s="16" t="n">
        <v>0.3</v>
      </c>
      <c r="CJ57" s="16" t="n">
        <v>0.7</v>
      </c>
      <c r="CK57" s="16" t="n">
        <v>3.5</v>
      </c>
      <c r="CL57" s="16" t="n">
        <v>0.05391</v>
      </c>
      <c r="CM57" s="16" t="n">
        <v>0.7</v>
      </c>
      <c r="CN57" s="16" t="n">
        <v>0.8</v>
      </c>
      <c r="CO57" s="16" t="n">
        <v>0.4</v>
      </c>
      <c r="CP57" s="16" t="n">
        <v>0.3</v>
      </c>
      <c r="CQ57" s="16" t="n">
        <v>0.029641</v>
      </c>
      <c r="CR57" s="16" t="n">
        <v>0.5</v>
      </c>
      <c r="CS57" s="16"/>
      <c r="CT57" s="16" t="n">
        <v>3.1</v>
      </c>
      <c r="CU57" s="16"/>
      <c r="CV57" s="16" t="n">
        <v>0.7</v>
      </c>
      <c r="CW57" s="16" t="n">
        <v>1.6</v>
      </c>
      <c r="CX57" s="16" t="n">
        <v>0.6</v>
      </c>
      <c r="CY57" s="16" t="n">
        <v>18.9</v>
      </c>
      <c r="CZ57" s="16" t="n">
        <v>2.7</v>
      </c>
      <c r="DA57" s="16" t="n">
        <v>0.4</v>
      </c>
      <c r="DB57" s="16"/>
      <c r="DC57" s="16" t="n">
        <v>0.2</v>
      </c>
      <c r="DD57" s="16" t="n">
        <v>1.2</v>
      </c>
      <c r="DE57" s="16" t="n">
        <v>27.2</v>
      </c>
      <c r="DF57" s="11" t="n">
        <v>0.229510057153771</v>
      </c>
      <c r="DG57" s="11" t="n">
        <v>0.523344569541241</v>
      </c>
      <c r="DH57" s="16" t="n">
        <v>0.3</v>
      </c>
      <c r="DI57" s="16" t="n">
        <v>1.3</v>
      </c>
      <c r="DJ57" s="16"/>
      <c r="DK57" s="16" t="n">
        <v>3.1</v>
      </c>
      <c r="DL57" s="16" t="n">
        <v>1.2</v>
      </c>
      <c r="DM57" s="16" t="n">
        <v>0.02694</v>
      </c>
      <c r="DN57" s="16" t="n">
        <v>7</v>
      </c>
      <c r="DO57" s="16" t="n">
        <v>0.9</v>
      </c>
      <c r="DP57" s="16" t="n">
        <v>0.179412</v>
      </c>
      <c r="DQ57" s="16" t="n">
        <v>5.6</v>
      </c>
      <c r="DR57" s="16" t="n">
        <v>0.372397</v>
      </c>
      <c r="DS57" s="16" t="n">
        <v>0.5</v>
      </c>
      <c r="DT57" s="16" t="n">
        <v>0.3</v>
      </c>
      <c r="DU57" s="16" t="n">
        <v>0.5</v>
      </c>
      <c r="DV57" s="16" t="n">
        <v>0.5</v>
      </c>
      <c r="DW57" s="16" t="n">
        <v>0.05361</v>
      </c>
      <c r="DX57" s="16" t="n">
        <v>13.5</v>
      </c>
      <c r="DY57" s="16" t="n">
        <v>15.5</v>
      </c>
      <c r="DZ57" s="16" t="n">
        <v>0.876766162</v>
      </c>
    </row>
    <row r="58" customFormat="false" ht="15" hidden="false" customHeight="false" outlineLevel="0" collapsed="false">
      <c r="A58" s="13" t="n">
        <v>2011</v>
      </c>
      <c r="B58" s="16" t="n">
        <v>0.032908</v>
      </c>
      <c r="C58" s="16" t="n">
        <v>0.034957</v>
      </c>
      <c r="D58" s="16" t="n">
        <v>2.2</v>
      </c>
      <c r="E58" s="16" t="n">
        <v>0.4</v>
      </c>
      <c r="F58" s="16" t="n">
        <v>0.2</v>
      </c>
      <c r="G58" s="16" t="n">
        <v>0.2</v>
      </c>
      <c r="H58" s="15" t="n">
        <v>0.441225135125198</v>
      </c>
      <c r="I58" s="16" t="n">
        <v>0.152539</v>
      </c>
      <c r="J58" s="16" t="n">
        <v>3.2</v>
      </c>
      <c r="K58" s="16" t="n">
        <v>0.010129</v>
      </c>
      <c r="L58" s="16" t="n">
        <v>1.4</v>
      </c>
      <c r="M58" s="16" t="n">
        <v>0.4</v>
      </c>
      <c r="N58" s="16" t="n">
        <v>0.381188224</v>
      </c>
      <c r="O58" s="16" t="n">
        <v>1.7</v>
      </c>
      <c r="P58" s="16" t="n">
        <v>1.2</v>
      </c>
      <c r="Q58" s="16" t="n">
        <v>0.2</v>
      </c>
      <c r="R58" s="16" t="n">
        <v>0.3</v>
      </c>
      <c r="S58" s="16" t="n">
        <v>23.3</v>
      </c>
      <c r="T58" s="16" t="n">
        <v>0.5</v>
      </c>
      <c r="U58" s="11" t="n">
        <v>0.115647620821022</v>
      </c>
      <c r="V58" s="16" t="n">
        <v>1</v>
      </c>
      <c r="W58" s="16" t="n">
        <v>1.4</v>
      </c>
      <c r="X58" s="16" t="n">
        <v>0.8</v>
      </c>
      <c r="Y58" s="16" t="n">
        <v>4.8</v>
      </c>
      <c r="Z58" s="16" t="n">
        <v>0.426572</v>
      </c>
      <c r="AA58" s="16" t="n">
        <v>1</v>
      </c>
      <c r="AB58" s="16" t="n">
        <v>4.5</v>
      </c>
      <c r="AC58" s="16" t="n">
        <v>2.6</v>
      </c>
      <c r="AD58" s="16" t="n">
        <v>0.2</v>
      </c>
      <c r="AE58" s="16" t="n">
        <v>0.100645161</v>
      </c>
      <c r="AF58" s="15" t="n">
        <v>0.4</v>
      </c>
      <c r="AG58" s="16" t="n">
        <v>3.1</v>
      </c>
      <c r="AH58" s="16" t="n">
        <v>0.3</v>
      </c>
      <c r="AI58" s="16" t="n">
        <v>0.200185</v>
      </c>
      <c r="AJ58" s="16" t="n">
        <v>3.7</v>
      </c>
      <c r="AK58" s="16" t="n">
        <v>1.1</v>
      </c>
      <c r="AL58" s="16" t="n">
        <v>0.24363896</v>
      </c>
      <c r="AM58" s="16" t="n">
        <v>1.8</v>
      </c>
      <c r="AN58" s="16" t="n">
        <v>1.3</v>
      </c>
      <c r="AO58" s="16" t="n">
        <v>0.3</v>
      </c>
      <c r="AP58" s="16" t="n">
        <v>0.013127599</v>
      </c>
      <c r="AQ58" s="16" t="n">
        <v>0.6</v>
      </c>
      <c r="AR58" s="16" t="n">
        <v>6.3</v>
      </c>
      <c r="AS58" s="16" t="n">
        <v>0.7</v>
      </c>
      <c r="AT58" s="16" t="n">
        <v>2.888838</v>
      </c>
      <c r="AU58" s="16" t="n">
        <v>1.3</v>
      </c>
      <c r="AV58" s="16" t="n">
        <v>0.512591</v>
      </c>
      <c r="AW58" s="16" t="n">
        <v>4.4</v>
      </c>
      <c r="AX58" s="16" t="n">
        <v>2</v>
      </c>
      <c r="AY58" s="16" t="n">
        <v>0.3</v>
      </c>
      <c r="AZ58" s="16" t="n">
        <v>1.9</v>
      </c>
      <c r="BA58" s="16" t="n">
        <v>0.2</v>
      </c>
      <c r="BB58" s="16" t="n">
        <v>0.6</v>
      </c>
      <c r="BC58" s="16" t="n">
        <v>1.6</v>
      </c>
      <c r="BD58" s="16" t="n">
        <v>1.5</v>
      </c>
      <c r="BE58" s="16" t="n">
        <v>2.5</v>
      </c>
      <c r="BF58" s="16" t="n">
        <v>0.5</v>
      </c>
      <c r="BG58" s="15" t="n">
        <v>0.3</v>
      </c>
      <c r="BH58" s="109" t="n">
        <v>0.393</v>
      </c>
      <c r="BI58" s="16" t="n">
        <v>0.1</v>
      </c>
      <c r="BJ58" s="16" t="n">
        <v>0.238447</v>
      </c>
      <c r="BK58" s="15" t="n">
        <v>0.4</v>
      </c>
      <c r="BL58" s="16" t="n">
        <v>1.7</v>
      </c>
      <c r="BM58" s="16" t="n">
        <v>0.1</v>
      </c>
      <c r="BN58" s="16" t="n">
        <v>6</v>
      </c>
      <c r="BO58" s="16" t="n">
        <v>0.2</v>
      </c>
      <c r="BP58" s="16" t="n">
        <v>0.3</v>
      </c>
      <c r="BQ58" s="16" t="n">
        <v>0.073959</v>
      </c>
      <c r="BR58" s="16" t="n">
        <v>23.1</v>
      </c>
      <c r="BS58" s="16" t="n">
        <v>1.3</v>
      </c>
      <c r="BT58" s="16" t="n">
        <v>0.3</v>
      </c>
      <c r="BU58" s="16" t="n">
        <v>10.8</v>
      </c>
      <c r="BV58" s="16" t="n">
        <v>0.5</v>
      </c>
      <c r="BW58" s="16" t="n">
        <v>1.3</v>
      </c>
      <c r="BX58" s="16" t="n">
        <v>0.7</v>
      </c>
      <c r="BY58" s="16" t="n">
        <v>1</v>
      </c>
      <c r="BZ58" s="16" t="n">
        <v>0.2</v>
      </c>
      <c r="CA58" s="16" t="n">
        <f aca="false">0.027388/CA69</f>
        <v>0.0668</v>
      </c>
      <c r="CB58" s="16" t="n">
        <v>0.1</v>
      </c>
      <c r="CC58" s="16" t="n">
        <v>11.1</v>
      </c>
      <c r="CD58" s="16" t="n">
        <v>0.8</v>
      </c>
      <c r="CE58" s="16" t="n">
        <v>14.4</v>
      </c>
      <c r="CF58" s="16" t="n">
        <v>0.3</v>
      </c>
      <c r="CG58" s="16" t="n">
        <v>0.336917</v>
      </c>
      <c r="CH58" s="16"/>
      <c r="CI58" s="16" t="n">
        <v>0.3</v>
      </c>
      <c r="CJ58" s="16" t="n">
        <v>0.6</v>
      </c>
      <c r="CK58" s="16" t="n">
        <v>3.4</v>
      </c>
      <c r="CL58" s="16" t="n">
        <v>0.06278</v>
      </c>
      <c r="CM58" s="16" t="n">
        <v>0.7</v>
      </c>
      <c r="CN58" s="16" t="n">
        <v>0.8</v>
      </c>
      <c r="CO58" s="16" t="n">
        <v>0.4</v>
      </c>
      <c r="CP58" s="16" t="n">
        <v>0.3</v>
      </c>
      <c r="CQ58" s="16" t="n">
        <v>0.038988</v>
      </c>
      <c r="CR58" s="16" t="n">
        <v>0.6</v>
      </c>
      <c r="CS58" s="126" t="s">
        <v>529</v>
      </c>
      <c r="CT58" s="16" t="n">
        <v>3.1</v>
      </c>
      <c r="CU58" s="16" t="n">
        <v>0.559613</v>
      </c>
      <c r="CV58" s="16" t="n">
        <v>0.7</v>
      </c>
      <c r="CW58" s="16" t="n">
        <v>1.6</v>
      </c>
      <c r="CX58" s="16" t="n">
        <v>0.5</v>
      </c>
      <c r="CY58" s="16" t="n">
        <v>18.8</v>
      </c>
      <c r="CZ58" s="16" t="n">
        <v>2.7</v>
      </c>
      <c r="DA58" s="16" t="n">
        <v>0.4</v>
      </c>
      <c r="DB58" s="16" t="n">
        <v>0.023477</v>
      </c>
      <c r="DC58" s="16" t="n">
        <v>0.2</v>
      </c>
      <c r="DD58" s="16" t="n">
        <v>1.2</v>
      </c>
      <c r="DE58" s="16" t="n">
        <v>27.6</v>
      </c>
      <c r="DF58" s="11" t="n">
        <v>0.230520448654724</v>
      </c>
      <c r="DG58" s="11" t="n">
        <v>0.532860880681272</v>
      </c>
      <c r="DH58" s="16" t="n">
        <v>0.3</v>
      </c>
      <c r="DI58" s="16" t="n">
        <v>1.3</v>
      </c>
      <c r="DJ58" s="16"/>
      <c r="DK58" s="16" t="n">
        <v>2.9</v>
      </c>
      <c r="DL58" s="16" t="n">
        <v>1.2</v>
      </c>
      <c r="DM58" s="16" t="n">
        <v>0.030126</v>
      </c>
      <c r="DN58" s="16" t="n">
        <v>7.1</v>
      </c>
      <c r="DO58" s="16" t="n">
        <v>0.8</v>
      </c>
      <c r="DP58" s="16" t="n">
        <v>0.186397</v>
      </c>
      <c r="DQ58" s="16" t="n">
        <v>5.4</v>
      </c>
      <c r="DR58" s="16" t="n">
        <v>0.370589</v>
      </c>
      <c r="DS58" s="16" t="n">
        <v>0.5</v>
      </c>
      <c r="DT58" s="16" t="n">
        <v>0.2</v>
      </c>
      <c r="DU58" s="16" t="n">
        <v>0.5</v>
      </c>
      <c r="DV58" s="16" t="n">
        <v>0.5</v>
      </c>
      <c r="DW58" s="16" t="n">
        <v>0.05594</v>
      </c>
      <c r="DX58" s="16" t="n">
        <v>13.4</v>
      </c>
      <c r="DY58" s="16" t="n">
        <v>15.3</v>
      </c>
      <c r="DZ58" s="16" t="n">
        <v>0.907279968</v>
      </c>
    </row>
    <row r="59" customFormat="false" ht="15" hidden="false" customHeight="false" outlineLevel="0" collapsed="false">
      <c r="A59" s="13" t="n">
        <v>2012</v>
      </c>
      <c r="B59" s="16" t="n">
        <v>0.034366</v>
      </c>
      <c r="C59" s="16" t="n">
        <v>0.036521</v>
      </c>
      <c r="D59" s="16" t="n">
        <v>2.2</v>
      </c>
      <c r="E59" s="16" t="n">
        <v>0.4</v>
      </c>
      <c r="F59" s="16" t="n">
        <v>0.2</v>
      </c>
      <c r="G59" s="16" t="n">
        <v>0.2</v>
      </c>
      <c r="H59" s="15" t="n">
        <v>0.467765538186409</v>
      </c>
      <c r="I59" s="16" t="n">
        <v>0.168266</v>
      </c>
      <c r="J59" s="16" t="n">
        <v>3.2</v>
      </c>
      <c r="K59" s="16" t="n">
        <v>0.010437</v>
      </c>
      <c r="L59" s="16" t="n">
        <v>1.4</v>
      </c>
      <c r="M59" s="16" t="n">
        <v>0.4</v>
      </c>
      <c r="N59" s="16" t="n">
        <v>0.410458963</v>
      </c>
      <c r="O59" s="16" t="n">
        <v>1.6</v>
      </c>
      <c r="P59" s="16" t="n">
        <v>1.1</v>
      </c>
      <c r="Q59" s="16" t="n">
        <v>0.2</v>
      </c>
      <c r="R59" s="16" t="n">
        <v>0.3</v>
      </c>
      <c r="S59" s="16" t="n">
        <v>23.1</v>
      </c>
      <c r="T59" s="16" t="n">
        <v>0.6</v>
      </c>
      <c r="U59" s="11" t="n">
        <v>0.121536325873868</v>
      </c>
      <c r="V59" s="16" t="n">
        <v>0.9</v>
      </c>
      <c r="W59" s="16" t="n">
        <v>1.3</v>
      </c>
      <c r="X59" s="16" t="n">
        <v>0.7</v>
      </c>
      <c r="Y59" s="16" t="n">
        <v>4.7</v>
      </c>
      <c r="Z59" s="16"/>
      <c r="AA59" s="16" t="n">
        <v>1</v>
      </c>
      <c r="AB59" s="16" t="n">
        <v>4.3</v>
      </c>
      <c r="AC59" s="16" t="n">
        <v>2.4</v>
      </c>
      <c r="AD59" s="16" t="n">
        <v>0.2</v>
      </c>
      <c r="AE59" s="16"/>
      <c r="AF59" s="15" t="n">
        <v>0.4</v>
      </c>
      <c r="AG59" s="16" t="n">
        <v>3</v>
      </c>
      <c r="AH59" s="16" t="n">
        <v>0.3</v>
      </c>
      <c r="AI59" s="16" t="n">
        <v>0.236542</v>
      </c>
      <c r="AJ59" s="16" t="n">
        <v>3.6</v>
      </c>
      <c r="AK59" s="16" t="n">
        <v>1</v>
      </c>
      <c r="AL59" s="16" t="n">
        <v>0.255032377</v>
      </c>
      <c r="AM59" s="16" t="n">
        <v>1.7</v>
      </c>
      <c r="AN59" s="16" t="n">
        <v>1.2</v>
      </c>
      <c r="AO59" s="16" t="n">
        <v>0.3</v>
      </c>
      <c r="AP59" s="16" t="n">
        <v>0.01404743</v>
      </c>
      <c r="AQ59" s="16" t="n">
        <v>0.6</v>
      </c>
      <c r="AR59" s="16" t="n">
        <v>6</v>
      </c>
      <c r="AS59" s="16" t="n">
        <v>0.7</v>
      </c>
      <c r="AT59" s="16" t="n">
        <v>2.937128</v>
      </c>
      <c r="AU59" s="16" t="n">
        <v>1.3</v>
      </c>
      <c r="AV59" s="16"/>
      <c r="AW59" s="16" t="n">
        <v>4.2</v>
      </c>
      <c r="AX59" s="16" t="n">
        <v>2</v>
      </c>
      <c r="AY59" s="16" t="n">
        <v>0.3</v>
      </c>
      <c r="AZ59" s="16" t="n">
        <v>1.8</v>
      </c>
      <c r="BA59" s="16" t="n">
        <v>0.2</v>
      </c>
      <c r="BB59" s="16" t="n">
        <v>0.6</v>
      </c>
      <c r="BC59" s="16" t="n">
        <v>1.6</v>
      </c>
      <c r="BD59" s="16" t="n">
        <v>1.5</v>
      </c>
      <c r="BE59" s="16" t="n">
        <v>2.3</v>
      </c>
      <c r="BF59" s="16" t="n">
        <v>0.4</v>
      </c>
      <c r="BG59" s="15" t="n">
        <v>0.3</v>
      </c>
      <c r="BH59" s="109" t="n">
        <v>0.419</v>
      </c>
      <c r="BI59" s="16" t="n">
        <v>0.1</v>
      </c>
      <c r="BJ59" s="16" t="n">
        <v>0.236137</v>
      </c>
      <c r="BK59" s="15" t="n">
        <v>0.4</v>
      </c>
      <c r="BL59" s="16" t="n">
        <v>1.7</v>
      </c>
      <c r="BM59" s="16" t="n">
        <v>0.1</v>
      </c>
      <c r="BN59" s="16" t="n">
        <v>6</v>
      </c>
      <c r="BO59" s="16" t="n">
        <v>0.2</v>
      </c>
      <c r="BP59" s="16" t="n">
        <v>0.3</v>
      </c>
      <c r="BQ59" s="16" t="n">
        <v>0.081254</v>
      </c>
      <c r="BR59" s="16" t="n">
        <v>23</v>
      </c>
      <c r="BS59" s="16" t="n">
        <v>1.3</v>
      </c>
      <c r="BT59" s="16" t="n">
        <v>0.3</v>
      </c>
      <c r="BU59" s="16" t="n">
        <v>10.3</v>
      </c>
      <c r="BV59" s="16" t="n">
        <v>0.5</v>
      </c>
      <c r="BW59" s="16" t="n">
        <v>1.3</v>
      </c>
      <c r="BX59" s="16" t="n">
        <v>0.7</v>
      </c>
      <c r="BY59" s="16" t="n">
        <v>1</v>
      </c>
      <c r="BZ59" s="16" t="n">
        <v>0.2</v>
      </c>
      <c r="CA59" s="16" t="n">
        <f aca="false">0.033156/CA69</f>
        <v>0.08086829268</v>
      </c>
      <c r="CB59" s="16" t="n">
        <v>0.1</v>
      </c>
      <c r="CC59" s="16" t="n">
        <v>11</v>
      </c>
      <c r="CD59" s="16" t="n">
        <v>0.8</v>
      </c>
      <c r="CE59" s="16" t="n">
        <v>14.1</v>
      </c>
      <c r="CF59" s="16" t="n">
        <v>0.3</v>
      </c>
      <c r="CG59" s="16" t="n">
        <v>0.351989</v>
      </c>
      <c r="CH59" s="16"/>
      <c r="CI59" s="16" t="n">
        <v>0.3</v>
      </c>
      <c r="CJ59" s="16" t="n">
        <v>0.6</v>
      </c>
      <c r="CK59" s="16" t="n">
        <v>3.3</v>
      </c>
      <c r="CL59" s="16" t="n">
        <v>0.072265</v>
      </c>
      <c r="CM59" s="16" t="n">
        <v>0.7</v>
      </c>
      <c r="CN59" s="16" t="n">
        <v>0.8</v>
      </c>
      <c r="CO59" s="16" t="n">
        <v>0.4</v>
      </c>
      <c r="CP59" s="16" t="n">
        <v>0.3</v>
      </c>
      <c r="CQ59" s="16" t="n">
        <v>0.047384</v>
      </c>
      <c r="CR59" s="16" t="n">
        <v>0.6</v>
      </c>
      <c r="CS59" s="16"/>
      <c r="CT59" s="16" t="n">
        <v>3.1</v>
      </c>
      <c r="CU59" s="16" t="n">
        <v>0.464161</v>
      </c>
      <c r="CV59" s="16" t="n">
        <v>0.6</v>
      </c>
      <c r="CW59" s="16" t="n">
        <v>1.5</v>
      </c>
      <c r="CX59" s="16" t="n">
        <v>0.5</v>
      </c>
      <c r="CY59" s="16" t="n">
        <v>18.8</v>
      </c>
      <c r="CZ59" s="16" t="n">
        <v>2.6</v>
      </c>
      <c r="DA59" s="16" t="n">
        <v>0.4</v>
      </c>
      <c r="DB59" s="16" t="n">
        <v>0.026672</v>
      </c>
      <c r="DC59" s="16" t="n">
        <v>0.2</v>
      </c>
      <c r="DD59" s="16" t="n">
        <v>1.1</v>
      </c>
      <c r="DE59" s="16" t="n">
        <v>28</v>
      </c>
      <c r="DF59" s="11" t="n">
        <v>0.230892238477391</v>
      </c>
      <c r="DG59" s="11" t="n">
        <v>0.556004381831742</v>
      </c>
      <c r="DH59" s="16" t="n">
        <v>0.3</v>
      </c>
      <c r="DI59" s="16" t="n">
        <v>1.2</v>
      </c>
      <c r="DJ59" s="16"/>
      <c r="DK59" s="16" t="n">
        <v>2.8</v>
      </c>
      <c r="DL59" s="16" t="n">
        <v>1.2</v>
      </c>
      <c r="DM59" s="16" t="n">
        <v>0.033409</v>
      </c>
      <c r="DN59" s="16" t="n">
        <v>7.2</v>
      </c>
      <c r="DO59" s="16" t="n">
        <v>0.8</v>
      </c>
      <c r="DP59" s="16" t="n">
        <v>0.191276</v>
      </c>
      <c r="DQ59" s="16" t="n">
        <v>5.2</v>
      </c>
      <c r="DR59" s="16" t="n">
        <v>0.372369</v>
      </c>
      <c r="DS59" s="16" t="n">
        <v>0.5</v>
      </c>
      <c r="DT59" s="16" t="n">
        <v>0.2</v>
      </c>
      <c r="DU59" s="16" t="n">
        <v>0.5</v>
      </c>
      <c r="DV59" s="16" t="n">
        <v>0.5</v>
      </c>
      <c r="DW59" s="16" t="n">
        <v>0.058106</v>
      </c>
      <c r="DX59" s="16" t="n">
        <v>13.3</v>
      </c>
      <c r="DY59" s="16" t="n">
        <v>15.2</v>
      </c>
      <c r="DZ59" s="16" t="n">
        <v>0.874314366</v>
      </c>
    </row>
    <row r="60" customFormat="false" ht="15" hidden="false" customHeight="false" outlineLevel="0" collapsed="false">
      <c r="A60" s="13" t="n">
        <v>2013</v>
      </c>
      <c r="B60" s="16" t="n">
        <v>0.035215</v>
      </c>
      <c r="C60" s="16" t="n">
        <v>0.038089</v>
      </c>
      <c r="D60" s="16" t="n">
        <v>2.2</v>
      </c>
      <c r="E60" s="16" t="n">
        <v>0.4</v>
      </c>
      <c r="F60" s="16" t="n">
        <v>0.2</v>
      </c>
      <c r="G60" s="16" t="n">
        <v>0.2</v>
      </c>
      <c r="H60" s="16"/>
      <c r="I60" s="16" t="n">
        <v>0.184329</v>
      </c>
      <c r="J60" s="16" t="n">
        <v>3.2</v>
      </c>
      <c r="K60" s="16" t="n">
        <v>0.010626</v>
      </c>
      <c r="L60" s="16" t="n">
        <v>1.5</v>
      </c>
      <c r="M60" s="16" t="n">
        <v>0.5</v>
      </c>
      <c r="N60" s="16"/>
      <c r="O60" s="16" t="n">
        <v>1.6</v>
      </c>
      <c r="P60" s="16" t="n">
        <v>1.1</v>
      </c>
      <c r="Q60" s="16" t="n">
        <v>0.13</v>
      </c>
      <c r="R60" s="16" t="n">
        <v>0.3</v>
      </c>
      <c r="S60" s="16" t="n">
        <v>22.8</v>
      </c>
      <c r="T60" s="16" t="n">
        <v>0.6</v>
      </c>
      <c r="U60" s="16"/>
      <c r="V60" s="16" t="n">
        <v>0.9</v>
      </c>
      <c r="W60" s="16" t="n">
        <v>1.2</v>
      </c>
      <c r="X60" s="16" t="n">
        <v>0.7</v>
      </c>
      <c r="Y60" s="16" t="n">
        <v>4.6</v>
      </c>
      <c r="Z60" s="16"/>
      <c r="AA60" s="16" t="n">
        <v>1</v>
      </c>
      <c r="AB60" s="16" t="n">
        <v>4.1</v>
      </c>
      <c r="AC60" s="16" t="n">
        <v>2.3</v>
      </c>
      <c r="AD60" s="16" t="n">
        <v>0.3</v>
      </c>
      <c r="AE60" s="16" t="n">
        <v>0.106020942</v>
      </c>
      <c r="AF60" s="15" t="n">
        <v>0.4</v>
      </c>
      <c r="AG60" s="16" t="n">
        <v>2.9</v>
      </c>
      <c r="AH60" s="16" t="n">
        <v>0.3</v>
      </c>
      <c r="AI60" s="16" t="n">
        <v>0.291674</v>
      </c>
      <c r="AJ60" s="16" t="n">
        <v>3.4</v>
      </c>
      <c r="AK60" s="16" t="n">
        <v>1</v>
      </c>
      <c r="AL60" s="16"/>
      <c r="AM60" s="16" t="n">
        <v>1.6</v>
      </c>
      <c r="AN60" s="16" t="n">
        <v>1.1</v>
      </c>
      <c r="AO60" s="16" t="n">
        <v>0.3</v>
      </c>
      <c r="AP60" s="16"/>
      <c r="AQ60" s="16" t="n">
        <v>0.5</v>
      </c>
      <c r="AR60" s="16" t="n">
        <v>5.6</v>
      </c>
      <c r="AS60" s="16" t="n">
        <v>0.7</v>
      </c>
      <c r="AT60" s="16"/>
      <c r="AU60" s="16" t="n">
        <v>1.2</v>
      </c>
      <c r="AV60" s="16"/>
      <c r="AW60" s="16" t="n">
        <v>4</v>
      </c>
      <c r="AX60" s="16" t="n">
        <v>1.9</v>
      </c>
      <c r="AY60" s="16" t="n">
        <v>0.3</v>
      </c>
      <c r="AZ60" s="16" t="n">
        <v>1.7</v>
      </c>
      <c r="BA60" s="16" t="n">
        <v>0.2</v>
      </c>
      <c r="BB60" s="16" t="n">
        <v>0.6</v>
      </c>
      <c r="BC60" s="16" t="n">
        <v>1.6</v>
      </c>
      <c r="BD60" s="16" t="n">
        <v>1.5</v>
      </c>
      <c r="BE60" s="16" t="n">
        <v>2</v>
      </c>
      <c r="BF60" s="16" t="n">
        <v>0.4</v>
      </c>
      <c r="BG60" s="16"/>
      <c r="BH60" s="109" t="n">
        <v>0.442</v>
      </c>
      <c r="BI60" s="16" t="n">
        <v>0.1</v>
      </c>
      <c r="BJ60" s="16"/>
      <c r="BK60" s="15" t="n">
        <v>0.4</v>
      </c>
      <c r="BL60" s="16" t="n">
        <v>1.7</v>
      </c>
      <c r="BM60" s="16" t="n">
        <v>0.2</v>
      </c>
      <c r="BN60" s="16" t="n">
        <v>6</v>
      </c>
      <c r="BO60" s="16" t="n">
        <v>0.2</v>
      </c>
      <c r="BP60" s="16" t="n">
        <v>0.3</v>
      </c>
      <c r="BQ60" s="16" t="n">
        <v>0.084573</v>
      </c>
      <c r="BR60" s="16" t="n">
        <v>22.9</v>
      </c>
      <c r="BS60" s="16" t="n">
        <v>1.2</v>
      </c>
      <c r="BT60" s="16" t="n">
        <v>0.3</v>
      </c>
      <c r="BU60" s="16" t="n">
        <v>9.9</v>
      </c>
      <c r="BV60" s="16" t="n">
        <v>0.5</v>
      </c>
      <c r="BW60" s="16" t="n">
        <v>1.3</v>
      </c>
      <c r="BX60" s="16" t="n">
        <v>0.6</v>
      </c>
      <c r="BY60" s="16" t="n">
        <v>1</v>
      </c>
      <c r="BZ60" s="16" t="n">
        <v>0.2</v>
      </c>
      <c r="CA60" s="16" t="n">
        <f aca="false">0.039626/CA69</f>
        <v>0.09664878049</v>
      </c>
      <c r="CB60" s="16" t="n">
        <v>0.1</v>
      </c>
      <c r="CC60" s="16" t="n">
        <v>10.9</v>
      </c>
      <c r="CD60" s="16" t="n">
        <v>0.8</v>
      </c>
      <c r="CE60" s="16" t="n">
        <v>13.8</v>
      </c>
      <c r="CF60" s="16" t="n">
        <v>0.2</v>
      </c>
      <c r="CG60" s="16"/>
      <c r="CH60" s="16"/>
      <c r="CI60" s="16" t="n">
        <v>0.3</v>
      </c>
      <c r="CJ60" s="16" t="n">
        <v>0.5</v>
      </c>
      <c r="CK60" s="16" t="n">
        <v>3.2</v>
      </c>
      <c r="CL60" s="16" t="n">
        <v>0.082351</v>
      </c>
      <c r="CM60" s="16" t="n">
        <v>0.7</v>
      </c>
      <c r="CN60" s="16" t="n">
        <v>0.8</v>
      </c>
      <c r="CO60" s="16" t="n">
        <v>0.4</v>
      </c>
      <c r="CP60" s="16" t="n">
        <v>0.3</v>
      </c>
      <c r="CQ60" s="16" t="n">
        <v>0.062835</v>
      </c>
      <c r="CR60" s="16" t="n">
        <v>0.6</v>
      </c>
      <c r="CS60" s="16"/>
      <c r="CT60" s="16" t="n">
        <v>3</v>
      </c>
      <c r="CU60" s="16"/>
      <c r="CV60" s="16" t="n">
        <v>0.6</v>
      </c>
      <c r="CW60" s="16" t="n">
        <v>1.5</v>
      </c>
      <c r="CX60" s="16" t="n">
        <v>0.5</v>
      </c>
      <c r="CY60" s="16" t="n">
        <v>18.9</v>
      </c>
      <c r="CZ60" s="16" t="n">
        <v>2.6</v>
      </c>
      <c r="DA60" s="16" t="n">
        <v>0.4</v>
      </c>
      <c r="DB60" s="16" t="n">
        <v>0.029288</v>
      </c>
      <c r="DC60" s="16" t="n">
        <v>0.2</v>
      </c>
      <c r="DD60" s="16" t="n">
        <v>1.1</v>
      </c>
      <c r="DE60" s="16" t="n">
        <v>28.4</v>
      </c>
      <c r="DF60" s="16"/>
      <c r="DG60" s="16"/>
      <c r="DH60" s="16" t="n">
        <v>0.3</v>
      </c>
      <c r="DI60" s="16" t="n">
        <v>1.2</v>
      </c>
      <c r="DJ60" s="16"/>
      <c r="DK60" s="16" t="n">
        <v>2.6</v>
      </c>
      <c r="DL60" s="16" t="n">
        <v>1.2</v>
      </c>
      <c r="DM60" s="16" t="n">
        <v>0.036718</v>
      </c>
      <c r="DN60" s="16" t="n">
        <v>7.2</v>
      </c>
      <c r="DO60" s="16" t="n">
        <v>0.8</v>
      </c>
      <c r="DP60" s="16" t="n">
        <v>0.19578</v>
      </c>
      <c r="DQ60" s="16" t="n">
        <v>5.1</v>
      </c>
      <c r="DR60" s="16"/>
      <c r="DS60" s="16" t="n">
        <v>0.5</v>
      </c>
      <c r="DT60" s="16" t="n">
        <v>0.2</v>
      </c>
      <c r="DU60" s="16" t="n">
        <v>0.5</v>
      </c>
      <c r="DV60" s="16" t="n">
        <v>0.5</v>
      </c>
      <c r="DW60" s="16" t="n">
        <v>0.060129</v>
      </c>
      <c r="DX60" s="16" t="n">
        <v>13.2</v>
      </c>
      <c r="DY60" s="16" t="n">
        <v>15</v>
      </c>
      <c r="DZ60" s="16" t="n">
        <v>0.866016239</v>
      </c>
    </row>
    <row r="61" customFormat="false" ht="15" hidden="false" customHeight="false" outlineLevel="0" collapsed="false">
      <c r="A61" s="13" t="n">
        <v>2014</v>
      </c>
      <c r="B61" s="16" t="n">
        <v>0.035941</v>
      </c>
      <c r="C61" s="16" t="n">
        <v>0.039217</v>
      </c>
      <c r="D61" s="16" t="n">
        <v>2.2</v>
      </c>
      <c r="E61" s="16" t="n">
        <v>0.4</v>
      </c>
      <c r="F61" s="16" t="n">
        <v>0.2</v>
      </c>
      <c r="G61" s="16" t="n">
        <v>0.2</v>
      </c>
      <c r="H61" s="16"/>
      <c r="I61" s="16" t="n">
        <v>0.207822</v>
      </c>
      <c r="J61" s="16" t="n">
        <v>3.2</v>
      </c>
      <c r="K61" s="16" t="n">
        <v>0.0107</v>
      </c>
      <c r="L61" s="16" t="n">
        <v>1.5</v>
      </c>
      <c r="M61" s="16" t="n">
        <v>0.6</v>
      </c>
      <c r="N61" s="16"/>
      <c r="O61" s="16" t="n">
        <v>1.6</v>
      </c>
      <c r="P61" s="16" t="n">
        <v>1.1</v>
      </c>
      <c r="Q61" s="16"/>
      <c r="R61" s="16" t="n">
        <v>0.3</v>
      </c>
      <c r="S61" s="16" t="n">
        <v>22.5</v>
      </c>
      <c r="T61" s="16" t="n">
        <v>0.6</v>
      </c>
      <c r="U61" s="16"/>
      <c r="V61" s="16" t="n">
        <v>0.9</v>
      </c>
      <c r="W61" s="16" t="n">
        <v>1.1</v>
      </c>
      <c r="X61" s="16" t="n">
        <v>0.7</v>
      </c>
      <c r="Y61" s="16" t="n">
        <v>4.6</v>
      </c>
      <c r="Z61" s="16" t="n">
        <v>0.451526</v>
      </c>
      <c r="AA61" s="16" t="n">
        <v>1</v>
      </c>
      <c r="AB61" s="16" t="n">
        <v>3.9</v>
      </c>
      <c r="AC61" s="16" t="n">
        <v>2.2</v>
      </c>
      <c r="AD61" s="16" t="n">
        <v>0.3</v>
      </c>
      <c r="AE61" s="16" t="s">
        <v>530</v>
      </c>
      <c r="AF61" s="15" t="n">
        <v>0.5</v>
      </c>
      <c r="AG61" s="16" t="n">
        <v>2.8</v>
      </c>
      <c r="AH61" s="16" t="n">
        <v>0.3</v>
      </c>
      <c r="AI61" s="16" t="n">
        <v>0.331462</v>
      </c>
      <c r="AJ61" s="16" t="n">
        <v>3.3</v>
      </c>
      <c r="AK61" s="16" t="n">
        <v>0.9</v>
      </c>
      <c r="AL61" s="16"/>
      <c r="AM61" s="16" t="n">
        <v>1.6</v>
      </c>
      <c r="AN61" s="16" t="n">
        <v>1.1</v>
      </c>
      <c r="AO61" s="16" t="n">
        <v>0.3</v>
      </c>
      <c r="AP61" s="16" t="n">
        <v>0.02</v>
      </c>
      <c r="AQ61" s="16" t="n">
        <v>0.5</v>
      </c>
      <c r="AR61" s="16" t="n">
        <v>5.3</v>
      </c>
      <c r="AS61" s="16" t="n">
        <v>0.6</v>
      </c>
      <c r="AT61" s="16"/>
      <c r="AU61" s="16" t="n">
        <v>1.2</v>
      </c>
      <c r="AV61" s="16" t="n">
        <v>0.5107917</v>
      </c>
      <c r="AW61" s="16" t="n">
        <v>3.9</v>
      </c>
      <c r="AX61" s="16" t="n">
        <v>1.9</v>
      </c>
      <c r="AY61" s="16" t="n">
        <v>0.4</v>
      </c>
      <c r="AZ61" s="16" t="n">
        <v>1.7</v>
      </c>
      <c r="BA61" s="16" t="n">
        <v>0.2</v>
      </c>
      <c r="BB61" s="16" t="n">
        <v>0.6</v>
      </c>
      <c r="BC61" s="16" t="n">
        <v>1.6</v>
      </c>
      <c r="BD61" s="16" t="n">
        <v>1.5</v>
      </c>
      <c r="BE61" s="16" t="n">
        <v>1.9</v>
      </c>
      <c r="BF61" s="16" t="n">
        <v>0.4</v>
      </c>
      <c r="BG61" s="16"/>
      <c r="BH61" s="109" t="n">
        <v>0.46</v>
      </c>
      <c r="BI61" s="16" t="n">
        <v>0.1</v>
      </c>
      <c r="BJ61" s="16"/>
      <c r="BK61" s="15" t="n">
        <v>0.4</v>
      </c>
      <c r="BL61" s="16" t="n">
        <v>1.6</v>
      </c>
      <c r="BM61" s="16" t="n">
        <v>0.2</v>
      </c>
      <c r="BN61" s="16" t="n">
        <v>6</v>
      </c>
      <c r="BO61" s="16" t="n">
        <v>0.2</v>
      </c>
      <c r="BP61" s="16" t="n">
        <v>0.3</v>
      </c>
      <c r="BQ61" s="16" t="n">
        <v>0.091801</v>
      </c>
      <c r="BR61" s="16" t="n">
        <v>22.8</v>
      </c>
      <c r="BS61" s="16" t="n">
        <v>1.1</v>
      </c>
      <c r="BT61" s="16" t="n">
        <v>0.3</v>
      </c>
      <c r="BU61" s="16" t="n">
        <v>9.5</v>
      </c>
      <c r="BV61" s="16" t="n">
        <v>0.4</v>
      </c>
      <c r="BW61" s="16" t="n">
        <v>1.3</v>
      </c>
      <c r="BX61" s="16" t="n">
        <v>0.6</v>
      </c>
      <c r="BY61" s="16" t="n">
        <v>0.9</v>
      </c>
      <c r="BZ61" s="16" t="n">
        <v>0.2</v>
      </c>
      <c r="CA61" s="16" t="n">
        <f aca="false">0.046217/CA69</f>
        <v>0.1127243902</v>
      </c>
      <c r="CB61" s="16" t="n">
        <v>0.1</v>
      </c>
      <c r="CC61" s="16" t="n">
        <v>10.7</v>
      </c>
      <c r="CD61" s="16" t="n">
        <v>0.8</v>
      </c>
      <c r="CE61" s="16" t="n">
        <v>13.6</v>
      </c>
      <c r="CF61" s="16" t="n">
        <v>0.2</v>
      </c>
      <c r="CG61" s="16"/>
      <c r="CH61" s="16" t="n">
        <v>0.090741</v>
      </c>
      <c r="CI61" s="16" t="n">
        <v>0.3</v>
      </c>
      <c r="CJ61" s="16" t="n">
        <v>0.5</v>
      </c>
      <c r="CK61" s="16" t="n">
        <v>3.2</v>
      </c>
      <c r="CL61" s="16" t="n">
        <v>0.092032</v>
      </c>
      <c r="CM61" s="16" t="n">
        <v>0.7</v>
      </c>
      <c r="CN61" s="16" t="n">
        <v>0.8</v>
      </c>
      <c r="CO61" s="16" t="n">
        <v>0.4</v>
      </c>
      <c r="CP61" s="16" t="n">
        <v>0.3</v>
      </c>
      <c r="CQ61" s="16" t="n">
        <v>0.070681</v>
      </c>
      <c r="CR61" s="16" t="n">
        <v>0.6</v>
      </c>
      <c r="CS61" s="16"/>
      <c r="CT61" s="16" t="n">
        <v>3</v>
      </c>
      <c r="CU61" s="16" t="n">
        <v>0.685559</v>
      </c>
      <c r="CV61" s="16" t="n">
        <v>0.6</v>
      </c>
      <c r="CW61" s="16" t="n">
        <v>1.4</v>
      </c>
      <c r="CX61" s="16" t="n">
        <v>0.5</v>
      </c>
      <c r="CY61" s="16" t="n">
        <v>19</v>
      </c>
      <c r="CZ61" s="16" t="n">
        <v>2.5</v>
      </c>
      <c r="DA61" s="16" t="n">
        <v>0.4</v>
      </c>
      <c r="DB61" s="16" t="n">
        <v>0.032046</v>
      </c>
      <c r="DC61" s="16" t="n">
        <v>0.3</v>
      </c>
      <c r="DD61" s="16" t="n">
        <v>1.1</v>
      </c>
      <c r="DE61" s="16" t="n">
        <v>28.7</v>
      </c>
      <c r="DF61" s="16"/>
      <c r="DG61" s="16"/>
      <c r="DH61" s="16" t="n">
        <v>0.3</v>
      </c>
      <c r="DI61" s="16" t="n">
        <v>1.2</v>
      </c>
      <c r="DJ61" s="16" t="n">
        <v>0.08478</v>
      </c>
      <c r="DK61" s="16" t="n">
        <v>2.5</v>
      </c>
      <c r="DL61" s="16" t="n">
        <v>1.2</v>
      </c>
      <c r="DM61" s="16" t="n">
        <v>0.040055</v>
      </c>
      <c r="DN61" s="16" t="n">
        <v>7.1</v>
      </c>
      <c r="DO61" s="16" t="n">
        <v>0.8</v>
      </c>
      <c r="DP61" s="16"/>
      <c r="DQ61" s="16" t="n">
        <v>4.9</v>
      </c>
      <c r="DR61" s="16"/>
      <c r="DS61" s="16" t="n">
        <v>0.5</v>
      </c>
      <c r="DT61" s="16" t="n">
        <v>0.2</v>
      </c>
      <c r="DU61" s="16" t="n">
        <v>0.5</v>
      </c>
      <c r="DV61" s="16" t="n">
        <v>0.5</v>
      </c>
      <c r="DW61" s="16" t="n">
        <v>0.062781</v>
      </c>
      <c r="DX61" s="16" t="n">
        <v>13.1</v>
      </c>
      <c r="DY61" s="16" t="n">
        <v>14.9</v>
      </c>
      <c r="DZ61" s="16" t="n">
        <v>0.857213863</v>
      </c>
    </row>
    <row r="62" customFormat="false" ht="15" hidden="false" customHeight="false" outlineLevel="0" collapsed="false">
      <c r="A62" s="13" t="n">
        <v>2015</v>
      </c>
      <c r="B62" s="16"/>
      <c r="C62" s="16" t="n">
        <v>0.03992</v>
      </c>
      <c r="D62" s="16" t="n">
        <v>2.2</v>
      </c>
      <c r="E62" s="16" t="n">
        <v>0.4</v>
      </c>
      <c r="F62" s="16" t="n">
        <v>0.2</v>
      </c>
      <c r="G62" s="16" t="n">
        <v>0.2</v>
      </c>
      <c r="H62" s="16"/>
      <c r="I62" s="16"/>
      <c r="J62" s="16" t="n">
        <v>3.2</v>
      </c>
      <c r="K62" s="16" t="n">
        <v>0.010662</v>
      </c>
      <c r="L62" s="16" t="n">
        <v>1.6</v>
      </c>
      <c r="M62" s="16" t="n">
        <v>0.6</v>
      </c>
      <c r="N62" s="16"/>
      <c r="O62" s="16" t="n">
        <v>1.5</v>
      </c>
      <c r="P62" s="16" t="n">
        <v>1.1</v>
      </c>
      <c r="Q62" s="16"/>
      <c r="R62" s="16" t="n">
        <v>0.3</v>
      </c>
      <c r="S62" s="16" t="n">
        <v>22.2</v>
      </c>
      <c r="T62" s="16" t="n">
        <v>0.6</v>
      </c>
      <c r="U62" s="16"/>
      <c r="V62" s="16" t="n">
        <v>0.8</v>
      </c>
      <c r="W62" s="16" t="n">
        <v>1</v>
      </c>
      <c r="X62" s="16" t="n">
        <v>0.6</v>
      </c>
      <c r="Y62" s="16" t="n">
        <v>4.5</v>
      </c>
      <c r="Z62" s="16"/>
      <c r="AA62" s="16" t="n">
        <v>1</v>
      </c>
      <c r="AB62" s="16" t="n">
        <v>3.7</v>
      </c>
      <c r="AC62" s="16" t="n">
        <v>2</v>
      </c>
      <c r="AD62" s="16" t="n">
        <v>0.3</v>
      </c>
      <c r="AE62" s="16"/>
      <c r="AF62" s="15" t="n">
        <v>0.5</v>
      </c>
      <c r="AG62" s="16"/>
      <c r="AH62" s="16" t="n">
        <v>0.3</v>
      </c>
      <c r="AI62" s="16" t="n">
        <v>0.390417</v>
      </c>
      <c r="AJ62" s="16" t="n">
        <v>3.2</v>
      </c>
      <c r="AK62" s="16" t="n">
        <v>0.8</v>
      </c>
      <c r="AL62" s="16"/>
      <c r="AM62" s="16" t="n">
        <v>1.6</v>
      </c>
      <c r="AN62" s="16" t="n">
        <v>1</v>
      </c>
      <c r="AO62" s="16" t="n">
        <v>0.3</v>
      </c>
      <c r="AP62" s="16"/>
      <c r="AQ62" s="16" t="n">
        <v>0.5</v>
      </c>
      <c r="AR62" s="16" t="n">
        <v>4.9</v>
      </c>
      <c r="AS62" s="16" t="n">
        <v>0.6</v>
      </c>
      <c r="AT62" s="16"/>
      <c r="AU62" s="16"/>
      <c r="AV62" s="16"/>
      <c r="AW62" s="16" t="n">
        <v>3.8</v>
      </c>
      <c r="AX62" s="16" t="n">
        <v>1.8</v>
      </c>
      <c r="AY62" s="16" t="n">
        <v>0.4</v>
      </c>
      <c r="AZ62" s="16" t="n">
        <v>1.6</v>
      </c>
      <c r="BA62" s="16" t="n">
        <v>0.3</v>
      </c>
      <c r="BB62" s="16" t="n">
        <v>0.6</v>
      </c>
      <c r="BC62" s="16" t="n">
        <v>1.6</v>
      </c>
      <c r="BD62" s="16" t="n">
        <v>1.5</v>
      </c>
      <c r="BE62" s="16" t="n">
        <v>1.7</v>
      </c>
      <c r="BF62" s="16" t="n">
        <v>0.4</v>
      </c>
      <c r="BG62" s="16"/>
      <c r="BH62" s="109" t="n">
        <v>0.486</v>
      </c>
      <c r="BI62" s="16" t="n">
        <v>0.1</v>
      </c>
      <c r="BJ62" s="16"/>
      <c r="BK62" s="15" t="n">
        <v>0.4</v>
      </c>
      <c r="BL62" s="16" t="n">
        <v>1.6</v>
      </c>
      <c r="BM62" s="16" t="n">
        <v>0.2</v>
      </c>
      <c r="BN62" s="16" t="n">
        <v>5.9</v>
      </c>
      <c r="BO62" s="16" t="n">
        <v>0.2</v>
      </c>
      <c r="BP62" s="16"/>
      <c r="BQ62" s="16" t="n">
        <v>0.093713</v>
      </c>
      <c r="BR62" s="16" t="n">
        <v>22.7</v>
      </c>
      <c r="BS62" s="16" t="n">
        <v>1.1</v>
      </c>
      <c r="BT62" s="16" t="n">
        <v>0.4</v>
      </c>
      <c r="BU62" s="16" t="n">
        <v>9.1</v>
      </c>
      <c r="BV62" s="16" t="n">
        <v>0.4</v>
      </c>
      <c r="BW62" s="16" t="n">
        <v>1.3</v>
      </c>
      <c r="BX62" s="16" t="n">
        <v>0.6</v>
      </c>
      <c r="BY62" s="16" t="n">
        <v>0.9</v>
      </c>
      <c r="BZ62" s="16" t="n">
        <v>0.2</v>
      </c>
      <c r="CA62" s="16"/>
      <c r="CB62" s="16" t="n">
        <v>0.1</v>
      </c>
      <c r="CC62" s="16" t="n">
        <v>10.5</v>
      </c>
      <c r="CD62" s="16" t="n">
        <v>0.8</v>
      </c>
      <c r="CE62" s="16" t="n">
        <v>13.3</v>
      </c>
      <c r="CF62" s="16" t="n">
        <v>0.2</v>
      </c>
      <c r="CG62" s="16"/>
      <c r="CH62" s="16" t="n">
        <v>0.153404</v>
      </c>
      <c r="CI62" s="16" t="n">
        <v>0.3</v>
      </c>
      <c r="CJ62" s="16" t="n">
        <v>0.5</v>
      </c>
      <c r="CK62" s="16" t="n">
        <v>3.1</v>
      </c>
      <c r="CL62" s="16" t="n">
        <v>0.102414</v>
      </c>
      <c r="CM62" s="16" t="n">
        <v>0.7</v>
      </c>
      <c r="CN62" s="16" t="n">
        <v>0.8</v>
      </c>
      <c r="CO62" s="16" t="n">
        <v>0.4</v>
      </c>
      <c r="CP62" s="16" t="n">
        <v>0.3</v>
      </c>
      <c r="CQ62" s="16"/>
      <c r="CR62" s="16" t="n">
        <v>0.6</v>
      </c>
      <c r="CS62" s="16" t="n">
        <f aca="false">1.074486/CS67</f>
        <v>2.192828571</v>
      </c>
      <c r="CT62" s="16" t="n">
        <v>2.9</v>
      </c>
      <c r="CU62" s="16"/>
      <c r="CV62" s="16" t="n">
        <v>0.5</v>
      </c>
      <c r="CW62" s="16" t="n">
        <v>1.3</v>
      </c>
      <c r="CX62" s="16" t="n">
        <v>0.5</v>
      </c>
      <c r="CY62" s="16" t="n">
        <v>19.2</v>
      </c>
      <c r="CZ62" s="16" t="n">
        <v>2.5</v>
      </c>
      <c r="DA62" s="16" t="n">
        <v>0.4</v>
      </c>
      <c r="DB62" s="16"/>
      <c r="DC62" s="16" t="n">
        <v>0.3</v>
      </c>
      <c r="DD62" s="16" t="n">
        <v>1.1</v>
      </c>
      <c r="DE62" s="16" t="n">
        <v>28.8</v>
      </c>
      <c r="DF62" s="16"/>
      <c r="DG62" s="16"/>
      <c r="DH62" s="16" t="n">
        <v>0.3</v>
      </c>
      <c r="DI62" s="16" t="n">
        <v>1.1</v>
      </c>
      <c r="DJ62" s="16" t="n">
        <v>0.09695885509839</v>
      </c>
      <c r="DK62" s="16" t="n">
        <v>2.4</v>
      </c>
      <c r="DL62" s="16" t="n">
        <v>1.2</v>
      </c>
      <c r="DM62" s="16" t="n">
        <v>0.043377</v>
      </c>
      <c r="DN62" s="16" t="n">
        <v>7.1</v>
      </c>
      <c r="DO62" s="16" t="n">
        <v>0.9</v>
      </c>
      <c r="DP62" s="16"/>
      <c r="DQ62" s="16" t="n">
        <v>4.7</v>
      </c>
      <c r="DR62" s="16"/>
      <c r="DS62" s="16" t="n">
        <v>0.5</v>
      </c>
      <c r="DT62" s="16" t="n">
        <v>0.2</v>
      </c>
      <c r="DU62" s="16" t="n">
        <v>0.5</v>
      </c>
      <c r="DV62" s="16" t="n">
        <v>0.5</v>
      </c>
      <c r="DW62" s="16" t="n">
        <v>0.065253</v>
      </c>
      <c r="DX62" s="16" t="n">
        <v>12.9</v>
      </c>
      <c r="DY62" s="16" t="n">
        <v>14.7</v>
      </c>
      <c r="DZ62" s="16" t="n">
        <v>0.846824134</v>
      </c>
    </row>
    <row r="63" customFormat="false" ht="14.25" hidden="false" customHeight="true" outlineLevel="0" collapsed="false">
      <c r="A63" s="127"/>
      <c r="B63" s="28"/>
      <c r="C63" s="34"/>
      <c r="D63" s="34"/>
      <c r="E63" s="34"/>
      <c r="F63" s="34"/>
      <c r="G63" s="34"/>
      <c r="H63" s="34"/>
      <c r="I63" s="34"/>
      <c r="J63" s="34"/>
      <c r="K63" s="34"/>
      <c r="L63" s="34"/>
      <c r="M63" s="34"/>
      <c r="N63" s="34"/>
      <c r="O63" s="34"/>
      <c r="P63" s="34"/>
      <c r="Q63" s="34"/>
      <c r="R63" s="34"/>
      <c r="S63" s="34"/>
      <c r="T63" s="34"/>
      <c r="U63" s="15"/>
      <c r="V63" s="34"/>
      <c r="W63" s="34"/>
      <c r="X63" s="34"/>
      <c r="Y63" s="34"/>
      <c r="Z63" s="128"/>
      <c r="AA63" s="34"/>
      <c r="AB63" s="34"/>
      <c r="AC63" s="34"/>
      <c r="AD63" s="28"/>
      <c r="AE63" s="28"/>
      <c r="AF63" s="34"/>
      <c r="AG63" s="34"/>
      <c r="AH63" s="34"/>
      <c r="AI63" s="34"/>
      <c r="AJ63" s="34"/>
      <c r="AK63" s="34"/>
      <c r="AL63" s="34"/>
      <c r="AM63" s="34"/>
      <c r="AN63" s="34"/>
      <c r="AO63" s="34"/>
      <c r="AP63" s="34"/>
      <c r="AQ63" s="34"/>
      <c r="AR63" s="34"/>
      <c r="AS63" s="34"/>
      <c r="AT63" s="34"/>
      <c r="AU63" s="34"/>
      <c r="AV63" s="128"/>
      <c r="AW63" s="34"/>
      <c r="AX63" s="34"/>
      <c r="AY63" s="34"/>
      <c r="AZ63" s="34"/>
      <c r="BA63" s="34"/>
      <c r="BB63" s="34"/>
      <c r="BC63" s="34"/>
      <c r="BD63" s="34"/>
      <c r="BE63" s="34"/>
      <c r="BF63" s="34"/>
      <c r="BG63" s="34"/>
      <c r="BH63" s="2"/>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128"/>
      <c r="CH63" s="128"/>
      <c r="CI63" s="34"/>
      <c r="CJ63" s="34"/>
      <c r="CK63" s="34"/>
      <c r="CL63" s="34"/>
      <c r="CM63" s="34"/>
      <c r="CN63" s="34"/>
      <c r="CO63" s="34"/>
      <c r="CP63" s="12"/>
      <c r="CQ63" s="12"/>
      <c r="CR63" s="34"/>
      <c r="CS63" s="16"/>
      <c r="CT63" s="34"/>
      <c r="CU63" s="34"/>
      <c r="CV63" s="34"/>
      <c r="CW63" s="34"/>
      <c r="CX63" s="34"/>
      <c r="CY63" s="34"/>
      <c r="CZ63" s="34"/>
      <c r="DA63" s="128"/>
      <c r="DB63" s="128"/>
      <c r="DC63" s="34"/>
      <c r="DD63" s="34"/>
      <c r="DE63" s="34"/>
      <c r="DF63" s="34"/>
      <c r="DG63" s="34"/>
      <c r="DH63" s="34"/>
      <c r="DI63" s="34"/>
      <c r="DJ63" s="128"/>
      <c r="DK63" s="34"/>
      <c r="DL63" s="34"/>
      <c r="DM63" s="34"/>
      <c r="DN63" s="34"/>
      <c r="DO63" s="34"/>
      <c r="DP63" s="34"/>
      <c r="DQ63" s="34"/>
      <c r="DR63" s="34"/>
      <c r="DS63" s="34"/>
      <c r="DT63" s="34"/>
      <c r="DU63" s="34"/>
      <c r="DV63" s="34"/>
      <c r="DW63" s="34"/>
      <c r="DX63" s="34"/>
      <c r="DY63" s="34"/>
      <c r="DZ63" s="15"/>
    </row>
    <row r="64" customFormat="false" ht="15" hidden="false" customHeight="false" outlineLevel="0" collapsed="false">
      <c r="A64" s="127" t="s">
        <v>142</v>
      </c>
      <c r="B64" s="129" t="s">
        <v>531</v>
      </c>
      <c r="C64" s="34" t="s">
        <v>143</v>
      </c>
      <c r="D64" s="34" t="s">
        <v>143</v>
      </c>
      <c r="E64" s="34" t="s">
        <v>143</v>
      </c>
      <c r="F64" s="26" t="s">
        <v>143</v>
      </c>
      <c r="G64" s="26" t="s">
        <v>143</v>
      </c>
      <c r="H64" s="28" t="s">
        <v>532</v>
      </c>
      <c r="I64" s="34" t="s">
        <v>143</v>
      </c>
      <c r="J64" s="34" t="s">
        <v>143</v>
      </c>
      <c r="K64" s="28" t="s">
        <v>533</v>
      </c>
      <c r="L64" s="34" t="s">
        <v>143</v>
      </c>
      <c r="M64" s="34" t="s">
        <v>143</v>
      </c>
      <c r="N64" s="113" t="s">
        <v>534</v>
      </c>
      <c r="O64" s="34" t="s">
        <v>143</v>
      </c>
      <c r="P64" s="34" t="s">
        <v>143</v>
      </c>
      <c r="Q64" s="15" t="s">
        <v>535</v>
      </c>
      <c r="R64" s="34" t="s">
        <v>143</v>
      </c>
      <c r="S64" s="34" t="s">
        <v>143</v>
      </c>
      <c r="T64" s="34" t="s">
        <v>143</v>
      </c>
      <c r="U64" s="26" t="s">
        <v>536</v>
      </c>
      <c r="V64" s="34" t="s">
        <v>143</v>
      </c>
      <c r="W64" s="34" t="s">
        <v>143</v>
      </c>
      <c r="X64" s="34" t="s">
        <v>143</v>
      </c>
      <c r="Y64" s="34" t="s">
        <v>143</v>
      </c>
      <c r="Z64" s="26" t="s">
        <v>537</v>
      </c>
      <c r="AA64" s="34" t="s">
        <v>143</v>
      </c>
      <c r="AB64" s="34" t="s">
        <v>143</v>
      </c>
      <c r="AC64" s="34" t="s">
        <v>143</v>
      </c>
      <c r="AD64" s="34" t="s">
        <v>143</v>
      </c>
      <c r="AE64" s="28" t="s">
        <v>538</v>
      </c>
      <c r="AF64" s="34" t="s">
        <v>143</v>
      </c>
      <c r="AG64" s="34" t="s">
        <v>539</v>
      </c>
      <c r="AH64" s="34" t="s">
        <v>143</v>
      </c>
      <c r="AI64" s="34" t="s">
        <v>143</v>
      </c>
      <c r="AJ64" s="34" t="s">
        <v>143</v>
      </c>
      <c r="AK64" s="34" t="s">
        <v>143</v>
      </c>
      <c r="AL64" s="34" t="s">
        <v>540</v>
      </c>
      <c r="AM64" s="34" t="s">
        <v>143</v>
      </c>
      <c r="AN64" s="34" t="s">
        <v>143</v>
      </c>
      <c r="AO64" s="34" t="s">
        <v>143</v>
      </c>
      <c r="AP64" s="12" t="s">
        <v>534</v>
      </c>
      <c r="AQ64" s="34" t="s">
        <v>143</v>
      </c>
      <c r="AR64" s="34" t="s">
        <v>143</v>
      </c>
      <c r="AS64" s="34" t="s">
        <v>143</v>
      </c>
      <c r="AT64" s="34" t="s">
        <v>541</v>
      </c>
      <c r="AU64" s="34" t="s">
        <v>156</v>
      </c>
      <c r="AV64" s="115" t="s">
        <v>542</v>
      </c>
      <c r="AW64" s="34" t="s">
        <v>143</v>
      </c>
      <c r="AX64" s="34" t="s">
        <v>143</v>
      </c>
      <c r="AY64" s="34" t="s">
        <v>143</v>
      </c>
      <c r="AZ64" s="34" t="s">
        <v>143</v>
      </c>
      <c r="BA64" s="34" t="s">
        <v>143</v>
      </c>
      <c r="BB64" s="34" t="s">
        <v>143</v>
      </c>
      <c r="BC64" s="34" t="s">
        <v>143</v>
      </c>
      <c r="BD64" s="34" t="s">
        <v>143</v>
      </c>
      <c r="BE64" s="34" t="s">
        <v>143</v>
      </c>
      <c r="BF64" s="34" t="s">
        <v>143</v>
      </c>
      <c r="BG64" s="12" t="s">
        <v>540</v>
      </c>
      <c r="BH64" s="34" t="s">
        <v>143</v>
      </c>
      <c r="BI64" s="34" t="s">
        <v>143</v>
      </c>
      <c r="BJ64" s="12" t="s">
        <v>543</v>
      </c>
      <c r="BK64" s="34" t="s">
        <v>143</v>
      </c>
      <c r="BL64" s="34" t="s">
        <v>143</v>
      </c>
      <c r="BM64" s="34" t="s">
        <v>143</v>
      </c>
      <c r="BN64" s="34" t="s">
        <v>143</v>
      </c>
      <c r="BO64" s="34" t="s">
        <v>143</v>
      </c>
      <c r="BP64" s="34" t="s">
        <v>156</v>
      </c>
      <c r="BQ64" s="34" t="s">
        <v>143</v>
      </c>
      <c r="BR64" s="34" t="s">
        <v>143</v>
      </c>
      <c r="BS64" s="34" t="s">
        <v>143</v>
      </c>
      <c r="BT64" s="34" t="s">
        <v>143</v>
      </c>
      <c r="BU64" s="34" t="s">
        <v>143</v>
      </c>
      <c r="BV64" s="34" t="s">
        <v>143</v>
      </c>
      <c r="BW64" s="34" t="s">
        <v>143</v>
      </c>
      <c r="BX64" s="34" t="s">
        <v>143</v>
      </c>
      <c r="BY64" s="34" t="s">
        <v>143</v>
      </c>
      <c r="BZ64" s="34" t="s">
        <v>143</v>
      </c>
      <c r="CA64" s="28" t="s">
        <v>544</v>
      </c>
      <c r="CB64" s="34" t="s">
        <v>143</v>
      </c>
      <c r="CC64" s="34" t="s">
        <v>143</v>
      </c>
      <c r="CD64" s="34" t="s">
        <v>143</v>
      </c>
      <c r="CE64" s="34" t="s">
        <v>143</v>
      </c>
      <c r="CF64" s="34" t="s">
        <v>143</v>
      </c>
      <c r="CG64" s="12" t="s">
        <v>545</v>
      </c>
      <c r="CH64" s="12" t="s">
        <v>534</v>
      </c>
      <c r="CI64" s="34" t="s">
        <v>143</v>
      </c>
      <c r="CJ64" s="34" t="s">
        <v>143</v>
      </c>
      <c r="CK64" s="34" t="s">
        <v>143</v>
      </c>
      <c r="CL64" s="34" t="s">
        <v>143</v>
      </c>
      <c r="CM64" s="34" t="s">
        <v>143</v>
      </c>
      <c r="CN64" s="34" t="s">
        <v>143</v>
      </c>
      <c r="CO64" s="34" t="s">
        <v>143</v>
      </c>
      <c r="CP64" s="34" t="s">
        <v>143</v>
      </c>
      <c r="CQ64" s="26" t="s">
        <v>546</v>
      </c>
      <c r="CR64" s="34" t="s">
        <v>143</v>
      </c>
      <c r="CS64" s="16" t="s">
        <v>476</v>
      </c>
      <c r="CT64" s="34" t="s">
        <v>143</v>
      </c>
      <c r="CU64" s="30" t="s">
        <v>547</v>
      </c>
      <c r="CV64" s="34" t="s">
        <v>143</v>
      </c>
      <c r="CW64" s="34" t="s">
        <v>143</v>
      </c>
      <c r="CX64" s="34" t="s">
        <v>143</v>
      </c>
      <c r="CY64" s="34" t="s">
        <v>143</v>
      </c>
      <c r="CZ64" s="34" t="s">
        <v>143</v>
      </c>
      <c r="DA64" s="34" t="s">
        <v>143</v>
      </c>
      <c r="DB64" s="12" t="s">
        <v>548</v>
      </c>
      <c r="DC64" s="34" t="s">
        <v>143</v>
      </c>
      <c r="DD64" s="34" t="s">
        <v>143</v>
      </c>
      <c r="DE64" s="34" t="s">
        <v>143</v>
      </c>
      <c r="DF64" s="34" t="s">
        <v>549</v>
      </c>
      <c r="DG64" s="34" t="s">
        <v>549</v>
      </c>
      <c r="DH64" s="34" t="s">
        <v>143</v>
      </c>
      <c r="DI64" s="34" t="s">
        <v>143</v>
      </c>
      <c r="DJ64" s="12" t="s">
        <v>548</v>
      </c>
      <c r="DK64" s="34" t="s">
        <v>143</v>
      </c>
      <c r="DL64" s="34" t="s">
        <v>143</v>
      </c>
      <c r="DM64" s="34" t="s">
        <v>143</v>
      </c>
      <c r="DN64" s="34" t="s">
        <v>143</v>
      </c>
      <c r="DO64" s="34" t="s">
        <v>143</v>
      </c>
      <c r="DP64" s="12" t="s">
        <v>550</v>
      </c>
      <c r="DQ64" s="34" t="s">
        <v>143</v>
      </c>
      <c r="DR64" s="12" t="s">
        <v>550</v>
      </c>
      <c r="DS64" s="34" t="s">
        <v>143</v>
      </c>
      <c r="DT64" s="34" t="s">
        <v>143</v>
      </c>
      <c r="DU64" s="34" t="s">
        <v>143</v>
      </c>
      <c r="DV64" s="34" t="s">
        <v>143</v>
      </c>
      <c r="DW64" s="34" t="s">
        <v>143</v>
      </c>
      <c r="DX64" s="34" t="s">
        <v>143</v>
      </c>
      <c r="DY64" s="34" t="s">
        <v>143</v>
      </c>
      <c r="DZ64" s="15"/>
    </row>
    <row r="65" customFormat="false" ht="15" hidden="false" customHeight="false" outlineLevel="0" collapsed="false">
      <c r="A65" s="13"/>
      <c r="B65" s="27" t="s">
        <v>551</v>
      </c>
      <c r="C65" s="26" t="s">
        <v>552</v>
      </c>
      <c r="D65" s="15"/>
      <c r="E65" s="15"/>
      <c r="F65" s="2"/>
      <c r="G65" s="2"/>
      <c r="H65" s="26"/>
      <c r="I65" s="26" t="s">
        <v>552</v>
      </c>
      <c r="J65" s="15"/>
      <c r="K65" s="15" t="s">
        <v>143</v>
      </c>
      <c r="L65" s="26"/>
      <c r="M65" s="26"/>
      <c r="N65" s="26" t="s">
        <v>536</v>
      </c>
      <c r="O65" s="15"/>
      <c r="P65" s="15"/>
      <c r="Q65" s="26" t="s">
        <v>536</v>
      </c>
      <c r="R65" s="15"/>
      <c r="S65" s="15"/>
      <c r="T65" s="15"/>
      <c r="U65" s="15"/>
      <c r="V65" s="15"/>
      <c r="W65" s="15"/>
      <c r="X65" s="15"/>
      <c r="Y65" s="15"/>
      <c r="Z65" s="128" t="s">
        <v>553</v>
      </c>
      <c r="AA65" s="15"/>
      <c r="AB65" s="15"/>
      <c r="AC65" s="15"/>
      <c r="AD65" s="26"/>
      <c r="AE65" s="26" t="s">
        <v>554</v>
      </c>
      <c r="AF65" s="15"/>
      <c r="AG65" s="15"/>
      <c r="AH65" s="15"/>
      <c r="AI65" s="26" t="s">
        <v>555</v>
      </c>
      <c r="AJ65" s="15"/>
      <c r="AK65" s="15"/>
      <c r="AL65" s="15"/>
      <c r="AM65" s="15"/>
      <c r="AN65" s="15"/>
      <c r="AO65" s="15"/>
      <c r="AP65" s="15" t="s">
        <v>535</v>
      </c>
      <c r="AQ65" s="2"/>
      <c r="AR65" s="2"/>
      <c r="AS65" s="2"/>
      <c r="AT65" s="2"/>
      <c r="AU65" s="15"/>
      <c r="AV65" s="34" t="s">
        <v>541</v>
      </c>
      <c r="AW65" s="15"/>
      <c r="AX65" s="15"/>
      <c r="AY65" s="15"/>
      <c r="AZ65" s="15"/>
      <c r="BA65" s="15"/>
      <c r="BB65" s="15"/>
      <c r="BC65" s="15"/>
      <c r="BD65" s="15"/>
      <c r="BE65" s="15"/>
      <c r="BF65" s="28"/>
      <c r="BG65" s="28"/>
      <c r="BH65" s="26" t="s">
        <v>555</v>
      </c>
      <c r="BI65" s="15"/>
      <c r="BJ65" s="2"/>
      <c r="BK65" s="15"/>
      <c r="BL65" s="15"/>
      <c r="BM65" s="15"/>
      <c r="BN65" s="15"/>
      <c r="BO65" s="15"/>
      <c r="BP65" s="15"/>
      <c r="BQ65" s="26" t="s">
        <v>555</v>
      </c>
      <c r="BR65" s="15"/>
      <c r="BS65" s="15"/>
      <c r="BT65" s="15"/>
      <c r="BU65" s="15"/>
      <c r="BV65" s="15"/>
      <c r="BW65" s="15"/>
      <c r="BX65" s="15"/>
      <c r="BY65" s="15"/>
      <c r="BZ65" s="15"/>
      <c r="CA65" s="115" t="s">
        <v>556</v>
      </c>
      <c r="CB65" s="15"/>
      <c r="CC65" s="15"/>
      <c r="CD65" s="15"/>
      <c r="CE65" s="15"/>
      <c r="CF65" s="15"/>
      <c r="CG65" s="128"/>
      <c r="CH65" s="130" t="s">
        <v>557</v>
      </c>
      <c r="CI65" s="15"/>
      <c r="CJ65" s="15"/>
      <c r="CK65" s="15"/>
      <c r="CL65" s="15" t="s">
        <v>555</v>
      </c>
      <c r="CM65" s="15"/>
      <c r="CN65" s="15"/>
      <c r="CO65" s="15"/>
      <c r="CP65" s="128"/>
      <c r="CQ65" s="130" t="s">
        <v>558</v>
      </c>
      <c r="CR65" s="15"/>
      <c r="CS65" s="16" t="s">
        <v>559</v>
      </c>
      <c r="CT65" s="15"/>
      <c r="CU65" s="115" t="s">
        <v>162</v>
      </c>
      <c r="CV65" s="15"/>
      <c r="CW65" s="15"/>
      <c r="CX65" s="15"/>
      <c r="CY65" s="15"/>
      <c r="CZ65" s="15"/>
      <c r="DA65" s="128"/>
      <c r="DB65" s="130" t="s">
        <v>560</v>
      </c>
      <c r="DC65" s="15"/>
      <c r="DD65" s="15"/>
      <c r="DE65" s="15"/>
      <c r="DF65" s="15"/>
      <c r="DG65" s="15"/>
      <c r="DH65" s="15"/>
      <c r="DI65" s="15"/>
      <c r="DJ65" s="130" t="s">
        <v>561</v>
      </c>
      <c r="DK65" s="15"/>
      <c r="DL65" s="15"/>
      <c r="DM65" s="26" t="s">
        <v>555</v>
      </c>
      <c r="DN65" s="15"/>
      <c r="DO65" s="15"/>
      <c r="DP65" s="30" t="s">
        <v>562</v>
      </c>
      <c r="DQ65" s="34"/>
      <c r="DR65" s="34" t="s">
        <v>520</v>
      </c>
      <c r="DS65" s="15"/>
      <c r="DT65" s="12"/>
      <c r="DU65" s="15"/>
      <c r="DV65" s="15"/>
      <c r="DW65" s="15" t="s">
        <v>555</v>
      </c>
      <c r="DX65" s="15"/>
      <c r="DY65" s="15"/>
      <c r="DZ65" s="15"/>
    </row>
    <row r="66" customFormat="false" ht="15" hidden="false" customHeight="false" outlineLevel="0" collapsed="false">
      <c r="A66" s="13"/>
      <c r="B66" s="12"/>
      <c r="C66" s="15"/>
      <c r="D66" s="15"/>
      <c r="E66" s="15"/>
      <c r="F66" s="2"/>
      <c r="G66" s="2"/>
      <c r="H66" s="15"/>
      <c r="I66" s="15"/>
      <c r="J66" s="15"/>
      <c r="K66" s="115" t="s">
        <v>563</v>
      </c>
      <c r="L66" s="2"/>
      <c r="M66" s="2"/>
      <c r="N66" s="2"/>
      <c r="O66" s="15"/>
      <c r="P66" s="15"/>
      <c r="Q66" s="10"/>
      <c r="R66" s="15"/>
      <c r="S66" s="15"/>
      <c r="T66" s="15"/>
      <c r="U66" s="15"/>
      <c r="V66" s="15"/>
      <c r="W66" s="15"/>
      <c r="X66" s="15"/>
      <c r="Y66" s="15"/>
      <c r="Z66" s="2" t="s">
        <v>564</v>
      </c>
      <c r="AA66" s="15"/>
      <c r="AB66" s="15"/>
      <c r="AC66" s="15"/>
      <c r="AD66" s="12"/>
      <c r="AE66" s="12" t="s">
        <v>565</v>
      </c>
      <c r="AF66" s="15"/>
      <c r="AG66" s="15"/>
      <c r="AH66" s="15"/>
      <c r="AI66" s="15"/>
      <c r="AJ66" s="15"/>
      <c r="AK66" s="15"/>
      <c r="AL66" s="15"/>
      <c r="AM66" s="2"/>
      <c r="AN66" s="2"/>
      <c r="AO66" s="2"/>
      <c r="AP66" s="115" t="s">
        <v>556</v>
      </c>
      <c r="AQ66" s="13"/>
      <c r="AR66" s="13"/>
      <c r="AS66" s="15"/>
      <c r="AT66" s="15"/>
      <c r="AU66" s="15"/>
      <c r="AV66" s="10"/>
      <c r="AW66" s="15"/>
      <c r="AX66" s="15"/>
      <c r="AY66" s="15"/>
      <c r="AZ66" s="15"/>
      <c r="BA66" s="15"/>
      <c r="BB66" s="15"/>
      <c r="BC66" s="15"/>
      <c r="BD66" s="15"/>
      <c r="BE66" s="15"/>
      <c r="BF66" s="26"/>
      <c r="BG66" s="26"/>
      <c r="BH66" s="15"/>
      <c r="BI66" s="15"/>
      <c r="BJ66" s="2"/>
      <c r="BK66" s="15"/>
      <c r="BL66" s="15"/>
      <c r="BM66" s="15"/>
      <c r="BN66" s="15"/>
      <c r="BO66" s="15"/>
      <c r="BP66" s="15"/>
      <c r="BQ66" s="15"/>
      <c r="BR66" s="15"/>
      <c r="BS66" s="15"/>
      <c r="BT66" s="15"/>
      <c r="BU66" s="15"/>
      <c r="BV66" s="15"/>
      <c r="BW66" s="15"/>
      <c r="BX66" s="15"/>
      <c r="BY66" s="15"/>
      <c r="BZ66" s="15"/>
      <c r="CA66" s="115" t="s">
        <v>566</v>
      </c>
      <c r="CB66" s="15"/>
      <c r="CC66" s="15"/>
      <c r="CD66" s="15"/>
      <c r="CE66" s="15"/>
      <c r="CF66" s="15"/>
      <c r="CG66" s="15"/>
      <c r="CH66" s="27" t="s">
        <v>152</v>
      </c>
      <c r="CI66" s="15"/>
      <c r="CJ66" s="15"/>
      <c r="CK66" s="15"/>
      <c r="CL66" s="15"/>
      <c r="CM66" s="15"/>
      <c r="CN66" s="15"/>
      <c r="CO66" s="15"/>
      <c r="CP66" s="2"/>
      <c r="CQ66" s="2"/>
      <c r="CR66" s="15"/>
      <c r="CS66" s="15"/>
      <c r="CT66" s="15"/>
      <c r="CU66" s="2" t="s">
        <v>567</v>
      </c>
      <c r="CV66" s="15"/>
      <c r="CW66" s="15"/>
      <c r="CX66" s="15"/>
      <c r="CY66" s="15"/>
      <c r="CZ66" s="15"/>
      <c r="DA66" s="2"/>
      <c r="DB66" s="115" t="s">
        <v>568</v>
      </c>
      <c r="DC66" s="15"/>
      <c r="DD66" s="15"/>
      <c r="DE66" s="15"/>
      <c r="DF66" s="15"/>
      <c r="DG66" s="15"/>
      <c r="DH66" s="15"/>
      <c r="DI66" s="15"/>
      <c r="DJ66" s="115" t="s">
        <v>518</v>
      </c>
      <c r="DK66" s="15"/>
      <c r="DL66" s="15"/>
      <c r="DM66" s="15"/>
      <c r="DN66" s="15"/>
      <c r="DO66" s="15"/>
      <c r="DP66" s="27" t="s">
        <v>164</v>
      </c>
      <c r="DQ66" s="15"/>
      <c r="DR66" s="15"/>
      <c r="DS66" s="15"/>
      <c r="DT66" s="15"/>
      <c r="DU66" s="15"/>
      <c r="DV66" s="15"/>
      <c r="DW66" s="15"/>
      <c r="DX66" s="15"/>
      <c r="DY66" s="15"/>
      <c r="DZ66" s="15"/>
    </row>
    <row r="67" customFormat="false" ht="15" hidden="false" customHeight="false" outlineLevel="0" collapsed="false">
      <c r="A67" s="13"/>
      <c r="B67" s="15"/>
      <c r="C67" s="15"/>
      <c r="D67" s="15"/>
      <c r="E67" s="15"/>
      <c r="F67" s="12"/>
      <c r="G67" s="12"/>
      <c r="H67" s="15"/>
      <c r="I67" s="15"/>
      <c r="J67" s="15"/>
      <c r="K67" s="12"/>
      <c r="L67" s="26"/>
      <c r="M67" s="26"/>
      <c r="N67" s="26"/>
      <c r="O67" s="15"/>
      <c r="P67" s="15"/>
      <c r="Q67" s="15"/>
      <c r="R67" s="15"/>
      <c r="S67" s="15"/>
      <c r="T67" s="15"/>
      <c r="U67" s="15"/>
      <c r="V67" s="15"/>
      <c r="W67" s="15"/>
      <c r="X67" s="15"/>
      <c r="Y67" s="15"/>
      <c r="Z67" s="12"/>
      <c r="AA67" s="15"/>
      <c r="AB67" s="15"/>
      <c r="AC67" s="15"/>
      <c r="AD67" s="12"/>
      <c r="AE67" s="12" t="s">
        <v>569</v>
      </c>
      <c r="AF67" s="15"/>
      <c r="AG67" s="15"/>
      <c r="AH67" s="15"/>
      <c r="AI67" s="15"/>
      <c r="AJ67" s="15"/>
      <c r="AK67" s="15"/>
      <c r="AL67" s="15"/>
      <c r="AM67" s="2"/>
      <c r="AN67" s="2"/>
      <c r="AO67" s="2"/>
      <c r="AP67" s="28" t="s">
        <v>540</v>
      </c>
      <c r="AQ67" s="15"/>
      <c r="AR67" s="15"/>
      <c r="AS67" s="15"/>
      <c r="AT67" s="15"/>
      <c r="AU67" s="15"/>
      <c r="AV67" s="10"/>
      <c r="AW67" s="15"/>
      <c r="AX67" s="15"/>
      <c r="AY67" s="15"/>
      <c r="AZ67" s="15"/>
      <c r="BA67" s="15"/>
      <c r="BB67" s="15"/>
      <c r="BC67" s="15"/>
      <c r="BD67" s="15"/>
      <c r="BE67" s="15"/>
      <c r="BF67" s="26"/>
      <c r="BG67" s="26"/>
      <c r="BH67" s="15"/>
      <c r="BI67" s="15"/>
      <c r="BJ67" s="2"/>
      <c r="BK67" s="15"/>
      <c r="BL67" s="15"/>
      <c r="BM67" s="15"/>
      <c r="BN67" s="15"/>
      <c r="BO67" s="15"/>
      <c r="BP67" s="15"/>
      <c r="BQ67" s="15"/>
      <c r="BR67" s="15"/>
      <c r="BS67" s="15"/>
      <c r="BT67" s="15"/>
      <c r="BU67" s="15"/>
      <c r="BV67" s="15"/>
      <c r="BW67" s="15"/>
      <c r="BX67" s="15"/>
      <c r="BY67" s="15"/>
      <c r="BZ67" s="15"/>
      <c r="CA67" s="29" t="s">
        <v>563</v>
      </c>
      <c r="CB67" s="15"/>
      <c r="CC67" s="15"/>
      <c r="CD67" s="15"/>
      <c r="CE67" s="15"/>
      <c r="CF67" s="15"/>
      <c r="CG67" s="15"/>
      <c r="CH67" s="27" t="s">
        <v>570</v>
      </c>
      <c r="CI67" s="15"/>
      <c r="CJ67" s="15"/>
      <c r="CK67" s="15"/>
      <c r="CL67" s="15"/>
      <c r="CM67" s="15"/>
      <c r="CN67" s="15"/>
      <c r="CO67" s="15"/>
      <c r="CP67" s="15"/>
      <c r="CQ67" s="15"/>
      <c r="CR67" s="121" t="s">
        <v>524</v>
      </c>
      <c r="CS67" s="122" t="n">
        <v>0.49</v>
      </c>
      <c r="CT67" s="15"/>
      <c r="CU67" s="26"/>
      <c r="CV67" s="15"/>
      <c r="CW67" s="15"/>
      <c r="CX67" s="15"/>
      <c r="CY67" s="15"/>
      <c r="CZ67" s="15"/>
      <c r="DA67" s="2"/>
      <c r="DB67" s="115" t="s">
        <v>563</v>
      </c>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row>
    <row r="68" customFormat="false" ht="15" hidden="false" customHeight="false" outlineLevel="0" collapsed="false">
      <c r="A68" s="13"/>
      <c r="B68" s="15"/>
      <c r="C68" s="15"/>
      <c r="D68" s="15"/>
      <c r="E68" s="15"/>
      <c r="F68" s="15"/>
      <c r="G68" s="15"/>
      <c r="H68" s="15"/>
      <c r="I68" s="15"/>
      <c r="J68" s="15"/>
      <c r="K68" s="15"/>
      <c r="L68" s="15"/>
      <c r="M68" s="15"/>
      <c r="N68" s="15"/>
      <c r="O68" s="15"/>
      <c r="P68" s="15"/>
      <c r="Q68" s="15"/>
      <c r="R68" s="15"/>
      <c r="S68" s="15"/>
      <c r="T68" s="15"/>
      <c r="U68" s="15"/>
      <c r="V68" s="15"/>
      <c r="W68" s="15"/>
      <c r="X68" s="15"/>
      <c r="Y68" s="15"/>
      <c r="Z68" s="12"/>
      <c r="AA68" s="15"/>
      <c r="AB68" s="15"/>
      <c r="AC68" s="15"/>
      <c r="AD68" s="15" t="s">
        <v>571</v>
      </c>
      <c r="AE68" s="15" t="n">
        <f aca="false">0.00037*1357380000</f>
        <v>502230.6</v>
      </c>
      <c r="AF68" s="15"/>
      <c r="AG68" s="15"/>
      <c r="AH68" s="15"/>
      <c r="AI68" s="15"/>
      <c r="AJ68" s="15"/>
      <c r="AK68" s="15"/>
      <c r="AL68" s="15"/>
      <c r="AM68" s="2"/>
      <c r="AN68" s="2"/>
      <c r="AO68" s="2"/>
      <c r="AP68" s="10"/>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2"/>
      <c r="CB68" s="15"/>
      <c r="CC68" s="15"/>
      <c r="CD68" s="15"/>
      <c r="CE68" s="15"/>
      <c r="CF68" s="15"/>
      <c r="CG68" s="15"/>
      <c r="CH68" s="15"/>
      <c r="CI68" s="15"/>
      <c r="CJ68" s="15"/>
      <c r="CK68" s="15"/>
      <c r="CL68" s="15"/>
      <c r="CM68" s="15"/>
      <c r="CN68" s="15"/>
      <c r="CO68" s="15"/>
      <c r="CP68" s="15"/>
      <c r="CQ68" s="15"/>
      <c r="CR68" s="15"/>
      <c r="CS68" s="10"/>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row>
    <row r="69" customFormat="false" ht="15" hidden="false" customHeight="false" outlineLevel="0" collapsed="false">
      <c r="A69" s="13"/>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t="s">
        <v>572</v>
      </c>
      <c r="AE69" s="131" t="n">
        <f aca="false">AE68/764000000</f>
        <v>0.0006573698953</v>
      </c>
      <c r="AF69" s="13"/>
      <c r="AG69" s="13" t="n">
        <f aca="false">AE69*100</f>
        <v>0.06573698953</v>
      </c>
      <c r="AH69" s="15"/>
      <c r="AI69" s="15"/>
      <c r="AJ69" s="15"/>
      <c r="AK69" s="15"/>
      <c r="AL69" s="15"/>
      <c r="AM69" s="2"/>
      <c r="AN69" s="2"/>
      <c r="AO69" s="2"/>
      <c r="AP69" s="2"/>
      <c r="AQ69" s="15"/>
      <c r="AR69" s="15"/>
      <c r="AS69" s="15"/>
      <c r="AT69" s="15"/>
      <c r="AU69" s="15"/>
      <c r="AV69" s="15"/>
      <c r="AW69" s="15"/>
      <c r="AX69" s="15"/>
      <c r="AY69" s="15"/>
      <c r="AZ69" s="15"/>
      <c r="BA69" s="15"/>
      <c r="BB69" s="15"/>
      <c r="BC69" s="15"/>
      <c r="BD69" s="15"/>
      <c r="BE69" s="15"/>
      <c r="BF69" s="15"/>
      <c r="BG69" s="15"/>
      <c r="BH69" s="15"/>
      <c r="BI69" s="15"/>
      <c r="BJ69" s="2"/>
      <c r="BK69" s="15"/>
      <c r="BL69" s="15"/>
      <c r="BM69" s="15"/>
      <c r="BN69" s="15"/>
      <c r="BO69" s="15"/>
      <c r="BP69" s="15"/>
      <c r="BQ69" s="15"/>
      <c r="BR69" s="15"/>
      <c r="BS69" s="15"/>
      <c r="BT69" s="15"/>
      <c r="BU69" s="15"/>
      <c r="BV69" s="15"/>
      <c r="BW69" s="15"/>
      <c r="BX69" s="15"/>
      <c r="BY69" s="15"/>
      <c r="BZ69" s="119" t="s">
        <v>524</v>
      </c>
      <c r="CA69" s="119" t="n">
        <v>0.41</v>
      </c>
      <c r="CB69" s="15"/>
      <c r="CC69" s="15"/>
      <c r="CD69" s="15"/>
      <c r="CE69" s="15"/>
      <c r="CF69" s="15"/>
      <c r="CG69" s="15"/>
      <c r="CH69" s="15"/>
      <c r="CI69" s="15"/>
      <c r="CJ69" s="15"/>
      <c r="CK69" s="15"/>
      <c r="CL69" s="15"/>
      <c r="CM69" s="15"/>
      <c r="CN69" s="15"/>
      <c r="CO69" s="15"/>
      <c r="CP69" s="15"/>
      <c r="CQ69" s="15"/>
      <c r="CR69" s="15"/>
      <c r="CS69" s="15"/>
      <c r="CT69" s="15"/>
      <c r="CU69" s="10"/>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row>
    <row r="70" customFormat="false" ht="15" hidden="false" customHeight="false" outlineLevel="0" collapsed="false">
      <c r="A70" s="13"/>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2" t="n">
        <v>0.037</v>
      </c>
      <c r="AF70" s="15"/>
      <c r="AG70" s="15"/>
      <c r="AH70" s="15"/>
      <c r="AI70" s="15"/>
      <c r="AJ70" s="15"/>
      <c r="AK70" s="15"/>
      <c r="AL70" s="15"/>
      <c r="AM70" s="15"/>
      <c r="AN70" s="15"/>
      <c r="AO70" s="15"/>
      <c r="AP70" s="10"/>
      <c r="AQ70" s="15"/>
      <c r="AR70" s="15"/>
      <c r="AS70" s="15"/>
      <c r="AT70" s="15"/>
      <c r="AU70" s="15"/>
      <c r="AV70" s="15"/>
      <c r="AW70" s="15"/>
      <c r="AX70" s="15"/>
      <c r="AY70" s="15"/>
      <c r="AZ70" s="15"/>
      <c r="BA70" s="15"/>
      <c r="BB70" s="15"/>
      <c r="BC70" s="15"/>
      <c r="BD70" s="15"/>
      <c r="BE70" s="15"/>
      <c r="BF70" s="15"/>
      <c r="BG70" s="15"/>
      <c r="BH70" s="15"/>
      <c r="BI70" s="15"/>
      <c r="BJ70" s="2"/>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row>
    <row r="71" customFormat="false" ht="15" hidden="false" customHeight="false" outlineLevel="0" collapsed="false">
      <c r="A71" s="13"/>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row>
    <row r="72" customFormat="false" ht="15" hidden="false" customHeight="false" outlineLevel="0" collapsed="false">
      <c r="A72" s="13"/>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row>
    <row r="73" customFormat="false" ht="15" hidden="false" customHeight="false" outlineLevel="0" collapsed="false">
      <c r="A73" s="132" t="s">
        <v>573</v>
      </c>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L73" s="124"/>
      <c r="BM73" s="124"/>
      <c r="BN73" s="124"/>
      <c r="BO73" s="124"/>
      <c r="BP73" s="124"/>
      <c r="BQ73" s="124"/>
      <c r="BR73" s="124"/>
      <c r="BS73" s="124"/>
      <c r="BT73" s="124"/>
      <c r="BU73" s="124"/>
      <c r="BV73" s="124"/>
      <c r="BW73" s="124"/>
      <c r="BX73" s="124"/>
      <c r="BY73" s="124"/>
      <c r="BZ73" s="124"/>
      <c r="CA73" s="124"/>
      <c r="CB73" s="124"/>
      <c r="CC73" s="124"/>
      <c r="CD73" s="124"/>
      <c r="CE73" s="124"/>
      <c r="CF73" s="124"/>
      <c r="CG73" s="124"/>
      <c r="CH73" s="124"/>
      <c r="CI73" s="124"/>
      <c r="CJ73" s="124"/>
      <c r="CK73" s="124"/>
      <c r="CL73" s="124"/>
      <c r="CM73" s="124"/>
      <c r="CN73" s="124"/>
      <c r="CO73" s="124"/>
      <c r="CP73" s="124"/>
      <c r="CQ73" s="124"/>
      <c r="CR73" s="124"/>
      <c r="CS73" s="124"/>
      <c r="CT73" s="124"/>
      <c r="CU73" s="124"/>
      <c r="CV73" s="124"/>
      <c r="CW73" s="124"/>
      <c r="CX73" s="124"/>
      <c r="CY73" s="124"/>
      <c r="CZ73" s="124"/>
      <c r="DA73" s="124"/>
      <c r="DB73" s="124"/>
      <c r="DC73" s="124"/>
      <c r="DD73" s="124"/>
      <c r="DE73" s="124"/>
      <c r="DF73" s="124"/>
      <c r="DG73" s="124"/>
      <c r="DH73" s="124"/>
      <c r="DI73" s="124"/>
      <c r="DJ73" s="124"/>
      <c r="DK73" s="124"/>
      <c r="DL73" s="124"/>
      <c r="DM73" s="124"/>
      <c r="DN73" s="124"/>
      <c r="DO73" s="124"/>
      <c r="DP73" s="124"/>
      <c r="DQ73" s="124"/>
      <c r="DR73" s="124"/>
      <c r="DS73" s="124"/>
      <c r="DT73" s="124"/>
      <c r="DU73" s="124"/>
      <c r="DV73" s="124"/>
      <c r="DW73" s="124"/>
      <c r="DX73" s="124"/>
      <c r="DY73" s="124"/>
      <c r="DZ73" s="16"/>
    </row>
    <row r="74" customFormat="false" ht="15" hidden="false" customHeight="false" outlineLevel="0" collapsed="false">
      <c r="A74" s="14" t="n">
        <v>1990</v>
      </c>
      <c r="B74" s="16" t="s">
        <v>574</v>
      </c>
      <c r="C74" s="16" t="s">
        <v>574</v>
      </c>
      <c r="D74" s="16" t="s">
        <v>575</v>
      </c>
      <c r="E74" s="16" t="s">
        <v>576</v>
      </c>
      <c r="F74" s="16" t="s">
        <v>574</v>
      </c>
      <c r="G74" s="16" t="s">
        <v>575</v>
      </c>
      <c r="H74" s="16"/>
      <c r="I74" s="16" t="s">
        <v>574</v>
      </c>
      <c r="J74" s="16" t="s">
        <v>574</v>
      </c>
      <c r="K74" s="16" t="s">
        <v>574</v>
      </c>
      <c r="L74" s="16" t="s">
        <v>574</v>
      </c>
      <c r="M74" s="16" t="s">
        <v>574</v>
      </c>
      <c r="N74" s="16" t="n">
        <v>89</v>
      </c>
      <c r="O74" s="16" t="s">
        <v>574</v>
      </c>
      <c r="P74" s="16" t="s">
        <v>574</v>
      </c>
      <c r="Q74" s="15" t="s">
        <v>574</v>
      </c>
      <c r="R74" s="16" t="s">
        <v>577</v>
      </c>
      <c r="S74" s="16" t="s">
        <v>576</v>
      </c>
      <c r="T74" s="16" t="n">
        <v>8000</v>
      </c>
      <c r="U74" s="16"/>
      <c r="V74" s="16" t="n">
        <v>4300</v>
      </c>
      <c r="W74" s="16" t="s">
        <v>576</v>
      </c>
      <c r="X74" s="16" t="s">
        <v>574</v>
      </c>
      <c r="Y74" s="16" t="n">
        <v>2400</v>
      </c>
      <c r="Z74" s="16" t="n">
        <v>982</v>
      </c>
      <c r="AA74" s="16" t="s">
        <v>574</v>
      </c>
      <c r="AB74" s="16" t="n">
        <v>1400</v>
      </c>
      <c r="AC74" s="16" t="s">
        <v>575</v>
      </c>
      <c r="AD74" s="16" t="s">
        <v>575</v>
      </c>
      <c r="AE74" s="16"/>
      <c r="AF74" s="15" t="s">
        <v>576</v>
      </c>
      <c r="AG74" s="15" t="n">
        <v>3200</v>
      </c>
      <c r="AH74" s="16" t="s">
        <v>574</v>
      </c>
      <c r="AI74" s="16" t="s">
        <v>574</v>
      </c>
      <c r="AJ74" s="16" t="n">
        <v>5600</v>
      </c>
      <c r="AK74" s="16" t="n">
        <v>17000</v>
      </c>
      <c r="AL74" s="16"/>
      <c r="AM74" s="16" t="s">
        <v>574</v>
      </c>
      <c r="AN74" s="16" t="s">
        <v>577</v>
      </c>
      <c r="AO74" s="16" t="s">
        <v>576</v>
      </c>
      <c r="AP74" s="16" t="s">
        <v>574</v>
      </c>
      <c r="AQ74" s="16" t="s">
        <v>577</v>
      </c>
      <c r="AR74" s="16" t="s">
        <v>574</v>
      </c>
      <c r="AS74" s="16" t="s">
        <v>574</v>
      </c>
      <c r="AT74" s="16"/>
      <c r="AU74" s="16" t="n">
        <v>12000</v>
      </c>
      <c r="AV74" s="16"/>
      <c r="AW74" s="16" t="s">
        <v>577</v>
      </c>
      <c r="AX74" s="16" t="s">
        <v>574</v>
      </c>
      <c r="AY74" s="16" t="s">
        <v>574</v>
      </c>
      <c r="AZ74" s="16" t="n">
        <v>3500</v>
      </c>
      <c r="BA74" s="16" t="s">
        <v>576</v>
      </c>
      <c r="BB74" s="16" t="s">
        <v>574</v>
      </c>
      <c r="BC74" s="16" t="s">
        <v>576</v>
      </c>
      <c r="BD74" s="16" t="s">
        <v>574</v>
      </c>
      <c r="BE74" s="16" t="n">
        <v>1500</v>
      </c>
      <c r="BF74" s="16" t="s">
        <v>575</v>
      </c>
      <c r="BG74" s="16" t="n">
        <v>2000</v>
      </c>
      <c r="BH74" s="16" t="s">
        <v>574</v>
      </c>
      <c r="BI74" s="16" t="s">
        <v>574</v>
      </c>
      <c r="BJ74" s="16" t="n">
        <v>52</v>
      </c>
      <c r="BK74" s="15" t="s">
        <v>574</v>
      </c>
      <c r="BL74" s="16" t="s">
        <v>577</v>
      </c>
      <c r="BM74" s="16" t="s">
        <v>574</v>
      </c>
      <c r="BN74" s="16" t="n">
        <v>11000</v>
      </c>
      <c r="BO74" s="16" t="s">
        <v>574</v>
      </c>
      <c r="BP74" s="16"/>
      <c r="BQ74" s="16" t="s">
        <v>574</v>
      </c>
      <c r="BR74" s="16" t="s">
        <v>576</v>
      </c>
      <c r="BS74" s="16" t="s">
        <v>574</v>
      </c>
      <c r="BT74" s="16" t="s">
        <v>574</v>
      </c>
      <c r="BU74" s="16" t="n">
        <v>9400</v>
      </c>
      <c r="BV74" s="16" t="s">
        <v>574</v>
      </c>
      <c r="BW74" s="16" t="n">
        <v>1800</v>
      </c>
      <c r="BX74" s="16" t="s">
        <v>574</v>
      </c>
      <c r="BY74" s="16" t="s">
        <v>574</v>
      </c>
      <c r="BZ74" s="16" t="s">
        <v>576</v>
      </c>
      <c r="CA74" s="16" t="s">
        <v>574</v>
      </c>
      <c r="CB74" s="16" t="s">
        <v>574</v>
      </c>
      <c r="CC74" s="16" t="n">
        <v>2200</v>
      </c>
      <c r="CD74" s="16" t="s">
        <v>574</v>
      </c>
      <c r="CE74" s="16" t="s">
        <v>577</v>
      </c>
      <c r="CF74" s="16" t="s">
        <v>574</v>
      </c>
      <c r="CG74" s="16"/>
      <c r="CH74" s="16" t="n">
        <v>60</v>
      </c>
      <c r="CI74" s="16" t="s">
        <v>576</v>
      </c>
      <c r="CJ74" s="16" t="s">
        <v>577</v>
      </c>
      <c r="CK74" s="16" t="n">
        <v>19000</v>
      </c>
      <c r="CL74" s="16" t="s">
        <v>574</v>
      </c>
      <c r="CM74" s="16" t="s">
        <v>574</v>
      </c>
      <c r="CN74" s="16" t="s">
        <v>574</v>
      </c>
      <c r="CO74" s="16" t="s">
        <v>574</v>
      </c>
      <c r="CP74" s="16" t="n">
        <v>2300</v>
      </c>
      <c r="CQ74" s="16" t="s">
        <v>574</v>
      </c>
      <c r="CR74" s="16" t="s">
        <v>574</v>
      </c>
      <c r="CS74" s="16"/>
      <c r="CT74" s="16" t="n">
        <v>5200</v>
      </c>
      <c r="CU74" s="23" t="n">
        <v>4</v>
      </c>
      <c r="CV74" s="16" t="s">
        <v>577</v>
      </c>
      <c r="CW74" s="16" t="s">
        <v>574</v>
      </c>
      <c r="CX74" s="16" t="s">
        <v>574</v>
      </c>
      <c r="CY74" s="16" t="n">
        <v>1900</v>
      </c>
      <c r="CZ74" s="16" t="s">
        <v>574</v>
      </c>
      <c r="DA74" s="16" t="n">
        <v>3100</v>
      </c>
      <c r="DB74" s="16" t="s">
        <v>574</v>
      </c>
      <c r="DC74" s="16" t="s">
        <v>574</v>
      </c>
      <c r="DD74" s="16" t="s">
        <v>574</v>
      </c>
      <c r="DE74" s="16" t="s">
        <v>574</v>
      </c>
      <c r="DF74" s="15" t="n">
        <v>96</v>
      </c>
      <c r="DG74" s="16"/>
      <c r="DH74" s="16" t="s">
        <v>574</v>
      </c>
      <c r="DI74" s="16" t="s">
        <v>576</v>
      </c>
      <c r="DJ74" s="16"/>
      <c r="DK74" s="16" t="s">
        <v>576</v>
      </c>
      <c r="DL74" s="16" t="s">
        <v>574</v>
      </c>
      <c r="DM74" s="16" t="s">
        <v>574</v>
      </c>
      <c r="DN74" s="16" t="n">
        <v>35000</v>
      </c>
      <c r="DO74" s="16" t="s">
        <v>576</v>
      </c>
      <c r="DP74" s="16"/>
      <c r="DQ74" s="16" t="n">
        <v>16000</v>
      </c>
      <c r="DR74" s="16"/>
      <c r="DS74" s="16" t="s">
        <v>574</v>
      </c>
      <c r="DT74" s="16" t="s">
        <v>574</v>
      </c>
      <c r="DU74" s="16" t="s">
        <v>574</v>
      </c>
      <c r="DV74" s="16" t="s">
        <v>574</v>
      </c>
      <c r="DW74" s="16" t="s">
        <v>574</v>
      </c>
      <c r="DX74" s="16" t="n">
        <v>14000</v>
      </c>
      <c r="DY74" s="16" t="n">
        <v>17000</v>
      </c>
      <c r="DZ74" s="16"/>
    </row>
    <row r="75" customFormat="false" ht="15" hidden="false" customHeight="false" outlineLevel="0" collapsed="false">
      <c r="A75" s="14" t="n">
        <v>1991</v>
      </c>
      <c r="B75" s="16" t="s">
        <v>574</v>
      </c>
      <c r="C75" s="16" t="s">
        <v>574</v>
      </c>
      <c r="D75" s="16" t="n">
        <v>1000</v>
      </c>
      <c r="E75" s="16" t="s">
        <v>575</v>
      </c>
      <c r="F75" s="16" t="s">
        <v>574</v>
      </c>
      <c r="G75" s="16" t="s">
        <v>575</v>
      </c>
      <c r="H75" s="16"/>
      <c r="I75" s="16" t="s">
        <v>574</v>
      </c>
      <c r="J75" s="16" t="s">
        <v>574</v>
      </c>
      <c r="K75" s="16" t="s">
        <v>574</v>
      </c>
      <c r="L75" s="16" t="s">
        <v>574</v>
      </c>
      <c r="M75" s="16" t="s">
        <v>574</v>
      </c>
      <c r="N75" s="16" t="n">
        <v>80</v>
      </c>
      <c r="O75" s="16" t="s">
        <v>574</v>
      </c>
      <c r="P75" s="16" t="s">
        <v>574</v>
      </c>
      <c r="Q75" s="15" t="s">
        <v>574</v>
      </c>
      <c r="R75" s="16" t="s">
        <v>577</v>
      </c>
      <c r="S75" s="16" t="s">
        <v>575</v>
      </c>
      <c r="T75" s="16" t="n">
        <v>10000</v>
      </c>
      <c r="U75" s="16"/>
      <c r="V75" s="16" t="n">
        <v>5300</v>
      </c>
      <c r="W75" s="16" t="s">
        <v>575</v>
      </c>
      <c r="X75" s="16" t="s">
        <v>574</v>
      </c>
      <c r="Y75" s="16" t="n">
        <v>3300</v>
      </c>
      <c r="Z75" s="16" t="n">
        <v>1170</v>
      </c>
      <c r="AA75" s="16" t="s">
        <v>574</v>
      </c>
      <c r="AB75" s="16" t="n">
        <v>1800</v>
      </c>
      <c r="AC75" s="16" t="n">
        <v>1100</v>
      </c>
      <c r="AD75" s="16" t="s">
        <v>575</v>
      </c>
      <c r="AE75" s="16"/>
      <c r="AF75" s="15" t="s">
        <v>575</v>
      </c>
      <c r="AG75" s="15" t="n">
        <v>3900</v>
      </c>
      <c r="AH75" s="16" t="s">
        <v>574</v>
      </c>
      <c r="AI75" s="16" t="s">
        <v>574</v>
      </c>
      <c r="AJ75" s="16" t="n">
        <v>7300</v>
      </c>
      <c r="AK75" s="16" t="n">
        <v>18000</v>
      </c>
      <c r="AL75" s="16"/>
      <c r="AM75" s="16" t="s">
        <v>574</v>
      </c>
      <c r="AN75" s="16" t="s">
        <v>576</v>
      </c>
      <c r="AO75" s="16" t="s">
        <v>576</v>
      </c>
      <c r="AP75" s="16" t="s">
        <v>574</v>
      </c>
      <c r="AQ75" s="16" t="s">
        <v>577</v>
      </c>
      <c r="AR75" s="16" t="s">
        <v>574</v>
      </c>
      <c r="AS75" s="16" t="s">
        <v>574</v>
      </c>
      <c r="AT75" s="16"/>
      <c r="AU75" s="16" t="n">
        <v>16000</v>
      </c>
      <c r="AV75" s="16"/>
      <c r="AW75" s="16" t="s">
        <v>577</v>
      </c>
      <c r="AX75" s="16" t="s">
        <v>574</v>
      </c>
      <c r="AY75" s="16" t="s">
        <v>574</v>
      </c>
      <c r="AZ75" s="16" t="n">
        <v>4300</v>
      </c>
      <c r="BA75" s="16" t="s">
        <v>576</v>
      </c>
      <c r="BB75" s="16" t="s">
        <v>574</v>
      </c>
      <c r="BC75" s="16" t="s">
        <v>576</v>
      </c>
      <c r="BD75" s="16" t="s">
        <v>574</v>
      </c>
      <c r="BE75" s="16" t="n">
        <v>2100</v>
      </c>
      <c r="BF75" s="16" t="n">
        <v>1300</v>
      </c>
      <c r="BG75" s="16" t="n">
        <v>3300</v>
      </c>
      <c r="BH75" s="16" t="s">
        <v>574</v>
      </c>
      <c r="BI75" s="16" t="s">
        <v>574</v>
      </c>
      <c r="BJ75" s="16" t="n">
        <v>130</v>
      </c>
      <c r="BK75" s="15" t="s">
        <v>574</v>
      </c>
      <c r="BL75" s="16" t="s">
        <v>577</v>
      </c>
      <c r="BM75" s="16" t="s">
        <v>574</v>
      </c>
      <c r="BN75" s="16" t="n">
        <v>15000</v>
      </c>
      <c r="BO75" s="16" t="s">
        <v>574</v>
      </c>
      <c r="BP75" s="16"/>
      <c r="BQ75" s="16" t="s">
        <v>574</v>
      </c>
      <c r="BR75" s="16" t="s">
        <v>576</v>
      </c>
      <c r="BS75" s="16" t="s">
        <v>577</v>
      </c>
      <c r="BT75" s="16" t="s">
        <v>574</v>
      </c>
      <c r="BU75" s="16" t="n">
        <v>12000</v>
      </c>
      <c r="BV75" s="16" t="s">
        <v>577</v>
      </c>
      <c r="BW75" s="16" t="n">
        <v>2400</v>
      </c>
      <c r="BX75" s="16" t="s">
        <v>574</v>
      </c>
      <c r="BY75" s="16" t="s">
        <v>574</v>
      </c>
      <c r="BZ75" s="16" t="s">
        <v>575</v>
      </c>
      <c r="CA75" s="16" t="s">
        <v>574</v>
      </c>
      <c r="CB75" s="16" t="s">
        <v>574</v>
      </c>
      <c r="CC75" s="16" t="n">
        <v>2900</v>
      </c>
      <c r="CD75" s="16" t="s">
        <v>577</v>
      </c>
      <c r="CE75" s="16" t="s">
        <v>576</v>
      </c>
      <c r="CF75" s="16" t="s">
        <v>574</v>
      </c>
      <c r="CG75" s="16"/>
      <c r="CH75" s="16" t="n">
        <v>52</v>
      </c>
      <c r="CI75" s="16" t="s">
        <v>576</v>
      </c>
      <c r="CJ75" s="16" t="s">
        <v>577</v>
      </c>
      <c r="CK75" s="16" t="n">
        <v>25000</v>
      </c>
      <c r="CL75" s="16" t="s">
        <v>574</v>
      </c>
      <c r="CM75" s="16" t="s">
        <v>574</v>
      </c>
      <c r="CN75" s="16" t="s">
        <v>574</v>
      </c>
      <c r="CO75" s="16" t="s">
        <v>574</v>
      </c>
      <c r="CP75" s="16" t="n">
        <v>2700</v>
      </c>
      <c r="CQ75" s="16" t="s">
        <v>574</v>
      </c>
      <c r="CR75" s="16" t="s">
        <v>574</v>
      </c>
      <c r="CS75" s="16"/>
      <c r="CT75" s="16" t="n">
        <v>6100</v>
      </c>
      <c r="CU75" s="23" t="n">
        <v>9</v>
      </c>
      <c r="CV75" s="16" t="s">
        <v>576</v>
      </c>
      <c r="CW75" s="16" t="s">
        <v>574</v>
      </c>
      <c r="CX75" s="16" t="s">
        <v>574</v>
      </c>
      <c r="CY75" s="16" t="n">
        <v>3500</v>
      </c>
      <c r="CZ75" s="16" t="s">
        <v>574</v>
      </c>
      <c r="DA75" s="16" t="n">
        <v>3700</v>
      </c>
      <c r="DB75" s="16" t="s">
        <v>574</v>
      </c>
      <c r="DC75" s="16" t="s">
        <v>574</v>
      </c>
      <c r="DD75" s="16" t="s">
        <v>574</v>
      </c>
      <c r="DE75" s="16" t="s">
        <v>577</v>
      </c>
      <c r="DF75" s="15" t="n">
        <v>116</v>
      </c>
      <c r="DG75" s="16"/>
      <c r="DH75" s="16" t="s">
        <v>574</v>
      </c>
      <c r="DI75" s="16" t="n">
        <v>1400</v>
      </c>
      <c r="DJ75" s="16"/>
      <c r="DK75" s="16" t="s">
        <v>575</v>
      </c>
      <c r="DL75" s="16" t="s">
        <v>574</v>
      </c>
      <c r="DM75" s="16" t="s">
        <v>574</v>
      </c>
      <c r="DN75" s="16" t="n">
        <v>43000</v>
      </c>
      <c r="DO75" s="16" t="s">
        <v>575</v>
      </c>
      <c r="DP75" s="16" t="n">
        <v>943</v>
      </c>
      <c r="DQ75" s="16" t="n">
        <v>20000</v>
      </c>
      <c r="DR75" s="16"/>
      <c r="DS75" s="16" t="s">
        <v>574</v>
      </c>
      <c r="DT75" s="16" t="s">
        <v>574</v>
      </c>
      <c r="DU75" s="16" t="s">
        <v>574</v>
      </c>
      <c r="DV75" s="16" t="s">
        <v>574</v>
      </c>
      <c r="DW75" s="16" t="s">
        <v>574</v>
      </c>
      <c r="DX75" s="16" t="n">
        <v>18000</v>
      </c>
      <c r="DY75" s="16" t="n">
        <v>23000</v>
      </c>
      <c r="DZ75" s="16"/>
    </row>
    <row r="76" customFormat="false" ht="15" hidden="false" customHeight="false" outlineLevel="0" collapsed="false">
      <c r="A76" s="14" t="n">
        <v>1992</v>
      </c>
      <c r="B76" s="16" t="s">
        <v>574</v>
      </c>
      <c r="C76" s="16" t="s">
        <v>574</v>
      </c>
      <c r="D76" s="16" t="n">
        <v>1200</v>
      </c>
      <c r="E76" s="16" t="s">
        <v>575</v>
      </c>
      <c r="F76" s="16" t="s">
        <v>574</v>
      </c>
      <c r="G76" s="16" t="s">
        <v>575</v>
      </c>
      <c r="H76" s="16"/>
      <c r="I76" s="16" t="s">
        <v>574</v>
      </c>
      <c r="J76" s="16" t="s">
        <v>574</v>
      </c>
      <c r="K76" s="16" t="s">
        <v>574</v>
      </c>
      <c r="L76" s="16" t="s">
        <v>574</v>
      </c>
      <c r="M76" s="16" t="s">
        <v>574</v>
      </c>
      <c r="N76" s="16" t="n">
        <v>116</v>
      </c>
      <c r="O76" s="16" t="s">
        <v>574</v>
      </c>
      <c r="P76" s="16" t="s">
        <v>577</v>
      </c>
      <c r="Q76" s="15" t="s">
        <v>574</v>
      </c>
      <c r="R76" s="16" t="s">
        <v>577</v>
      </c>
      <c r="S76" s="16" t="n">
        <v>1300</v>
      </c>
      <c r="T76" s="16" t="n">
        <v>13000</v>
      </c>
      <c r="U76" s="16"/>
      <c r="V76" s="16" t="n">
        <v>6400</v>
      </c>
      <c r="W76" s="16" t="s">
        <v>575</v>
      </c>
      <c r="X76" s="16" t="s">
        <v>574</v>
      </c>
      <c r="Y76" s="16" t="n">
        <v>4500</v>
      </c>
      <c r="Z76" s="16" t="n">
        <v>1358</v>
      </c>
      <c r="AA76" s="16" t="s">
        <v>574</v>
      </c>
      <c r="AB76" s="16" t="n">
        <v>2400</v>
      </c>
      <c r="AC76" s="16" t="n">
        <v>1400</v>
      </c>
      <c r="AD76" s="16" t="s">
        <v>575</v>
      </c>
      <c r="AE76" s="16"/>
      <c r="AF76" s="15" t="s">
        <v>575</v>
      </c>
      <c r="AG76" s="15" t="n">
        <v>4600</v>
      </c>
      <c r="AH76" s="16" t="s">
        <v>574</v>
      </c>
      <c r="AI76" s="16" t="s">
        <v>574</v>
      </c>
      <c r="AJ76" s="16" t="n">
        <v>9300</v>
      </c>
      <c r="AK76" s="16" t="n">
        <v>19000</v>
      </c>
      <c r="AL76" s="16"/>
      <c r="AM76" s="16" t="s">
        <v>574</v>
      </c>
      <c r="AN76" s="16" t="s">
        <v>575</v>
      </c>
      <c r="AO76" s="16" t="s">
        <v>576</v>
      </c>
      <c r="AP76" s="16" t="s">
        <v>574</v>
      </c>
      <c r="AQ76" s="16" t="s">
        <v>577</v>
      </c>
      <c r="AR76" s="16" t="s">
        <v>574</v>
      </c>
      <c r="AS76" s="16" t="s">
        <v>577</v>
      </c>
      <c r="AT76" s="16"/>
      <c r="AU76" s="16" t="n">
        <v>21000</v>
      </c>
      <c r="AV76" s="16"/>
      <c r="AW76" s="16" t="s">
        <v>576</v>
      </c>
      <c r="AX76" s="16" t="s">
        <v>574</v>
      </c>
      <c r="AY76" s="16" t="s">
        <v>574</v>
      </c>
      <c r="AZ76" s="16" t="n">
        <v>5200</v>
      </c>
      <c r="BA76" s="16" t="s">
        <v>576</v>
      </c>
      <c r="BB76" s="16" t="s">
        <v>574</v>
      </c>
      <c r="BC76" s="16" t="s">
        <v>575</v>
      </c>
      <c r="BD76" s="16" t="s">
        <v>574</v>
      </c>
      <c r="BE76" s="16" t="n">
        <v>2800</v>
      </c>
      <c r="BF76" s="16" t="n">
        <v>1600</v>
      </c>
      <c r="BG76" s="16" t="n">
        <v>5300</v>
      </c>
      <c r="BH76" s="16" t="s">
        <v>574</v>
      </c>
      <c r="BI76" s="16" t="s">
        <v>577</v>
      </c>
      <c r="BJ76" s="16" t="n">
        <v>63</v>
      </c>
      <c r="BK76" s="15" t="s">
        <v>574</v>
      </c>
      <c r="BL76" s="16" t="s">
        <v>576</v>
      </c>
      <c r="BM76" s="16" t="s">
        <v>574</v>
      </c>
      <c r="BN76" s="16" t="n">
        <v>21000</v>
      </c>
      <c r="BO76" s="16" t="s">
        <v>574</v>
      </c>
      <c r="BP76" s="16"/>
      <c r="BQ76" s="16" t="s">
        <v>574</v>
      </c>
      <c r="BR76" s="16" t="s">
        <v>575</v>
      </c>
      <c r="BS76" s="16" t="s">
        <v>577</v>
      </c>
      <c r="BT76" s="16" t="s">
        <v>574</v>
      </c>
      <c r="BU76" s="16" t="n">
        <v>15000</v>
      </c>
      <c r="BV76" s="16" t="s">
        <v>575</v>
      </c>
      <c r="BW76" s="16" t="n">
        <v>3000</v>
      </c>
      <c r="BX76" s="16" t="s">
        <v>574</v>
      </c>
      <c r="BY76" s="16" t="s">
        <v>574</v>
      </c>
      <c r="BZ76" s="16" t="n">
        <v>1000</v>
      </c>
      <c r="CA76" s="16" t="s">
        <v>574</v>
      </c>
      <c r="CB76" s="16" t="s">
        <v>574</v>
      </c>
      <c r="CC76" s="16" t="n">
        <v>3900</v>
      </c>
      <c r="CD76" s="16" t="s">
        <v>576</v>
      </c>
      <c r="CE76" s="16" t="s">
        <v>576</v>
      </c>
      <c r="CF76" s="16" t="s">
        <v>574</v>
      </c>
      <c r="CG76" s="16"/>
      <c r="CH76" s="16" t="n">
        <v>66</v>
      </c>
      <c r="CI76" s="16" t="s">
        <v>576</v>
      </c>
      <c r="CJ76" s="16" t="s">
        <v>576</v>
      </c>
      <c r="CK76" s="16" t="n">
        <v>31000</v>
      </c>
      <c r="CL76" s="16" t="s">
        <v>577</v>
      </c>
      <c r="CM76" s="16" t="s">
        <v>577</v>
      </c>
      <c r="CN76" s="16" t="s">
        <v>574</v>
      </c>
      <c r="CO76" s="16" t="s">
        <v>577</v>
      </c>
      <c r="CP76" s="16" t="n">
        <v>3100</v>
      </c>
      <c r="CQ76" s="16" t="s">
        <v>574</v>
      </c>
      <c r="CR76" s="16" t="s">
        <v>574</v>
      </c>
      <c r="CS76" s="16"/>
      <c r="CT76" s="16" t="n">
        <v>6800</v>
      </c>
      <c r="CU76" s="23" t="n">
        <v>8</v>
      </c>
      <c r="CV76" s="16" t="s">
        <v>576</v>
      </c>
      <c r="CW76" s="16" t="s">
        <v>574</v>
      </c>
      <c r="CX76" s="16" t="s">
        <v>574</v>
      </c>
      <c r="CY76" s="16" t="n">
        <v>6100</v>
      </c>
      <c r="CZ76" s="16" t="s">
        <v>577</v>
      </c>
      <c r="DA76" s="16" t="n">
        <v>4300</v>
      </c>
      <c r="DB76" s="16" t="s">
        <v>574</v>
      </c>
      <c r="DC76" s="16" t="s">
        <v>574</v>
      </c>
      <c r="DD76" s="16" t="s">
        <v>574</v>
      </c>
      <c r="DE76" s="16" t="s">
        <v>576</v>
      </c>
      <c r="DF76" s="15" t="n">
        <v>113</v>
      </c>
      <c r="DG76" s="16"/>
      <c r="DH76" s="16" t="s">
        <v>574</v>
      </c>
      <c r="DI76" s="16" t="n">
        <v>3600</v>
      </c>
      <c r="DJ76" s="16"/>
      <c r="DK76" s="16" t="s">
        <v>575</v>
      </c>
      <c r="DL76" s="16" t="s">
        <v>577</v>
      </c>
      <c r="DM76" s="16" t="s">
        <v>574</v>
      </c>
      <c r="DN76" s="16" t="n">
        <v>50000</v>
      </c>
      <c r="DO76" s="16" t="s">
        <v>575</v>
      </c>
      <c r="DP76" s="16" t="n">
        <v>1230</v>
      </c>
      <c r="DQ76" s="16" t="n">
        <v>26000</v>
      </c>
      <c r="DR76" s="16"/>
      <c r="DS76" s="16" t="s">
        <v>574</v>
      </c>
      <c r="DT76" s="16" t="s">
        <v>574</v>
      </c>
      <c r="DU76" s="16" t="s">
        <v>574</v>
      </c>
      <c r="DV76" s="16" t="s">
        <v>574</v>
      </c>
      <c r="DW76" s="16" t="s">
        <v>574</v>
      </c>
      <c r="DX76" s="16" t="n">
        <v>22000</v>
      </c>
      <c r="DY76" s="16" t="n">
        <v>30000</v>
      </c>
      <c r="DZ76" s="16"/>
    </row>
    <row r="77" customFormat="false" ht="15" hidden="false" customHeight="false" outlineLevel="0" collapsed="false">
      <c r="A77" s="14" t="n">
        <v>1993</v>
      </c>
      <c r="B77" s="16" t="s">
        <v>574</v>
      </c>
      <c r="C77" s="16" t="s">
        <v>574</v>
      </c>
      <c r="D77" s="16" t="n">
        <v>1500</v>
      </c>
      <c r="E77" s="16" t="n">
        <v>1200</v>
      </c>
      <c r="F77" s="16" t="s">
        <v>574</v>
      </c>
      <c r="G77" s="16" t="n">
        <v>1000</v>
      </c>
      <c r="H77" s="16"/>
      <c r="I77" s="16" t="s">
        <v>574</v>
      </c>
      <c r="J77" s="16" t="s">
        <v>577</v>
      </c>
      <c r="K77" s="16" t="s">
        <v>574</v>
      </c>
      <c r="L77" s="16" t="s">
        <v>574</v>
      </c>
      <c r="M77" s="16" t="s">
        <v>574</v>
      </c>
      <c r="N77" s="16" t="n">
        <v>104</v>
      </c>
      <c r="O77" s="16" t="s">
        <v>574</v>
      </c>
      <c r="P77" s="16" t="s">
        <v>576</v>
      </c>
      <c r="Q77" s="15" t="s">
        <v>574</v>
      </c>
      <c r="R77" s="16" t="s">
        <v>576</v>
      </c>
      <c r="S77" s="16" t="n">
        <v>1900</v>
      </c>
      <c r="T77" s="16" t="n">
        <v>15000</v>
      </c>
      <c r="U77" s="16"/>
      <c r="V77" s="16" t="n">
        <v>7500</v>
      </c>
      <c r="W77" s="16" t="n">
        <v>1100</v>
      </c>
      <c r="X77" s="16" t="s">
        <v>576</v>
      </c>
      <c r="Y77" s="16" t="n">
        <v>5900</v>
      </c>
      <c r="Z77" s="16" t="n">
        <v>1562</v>
      </c>
      <c r="AA77" s="16" t="s">
        <v>574</v>
      </c>
      <c r="AB77" s="16" t="n">
        <v>3100</v>
      </c>
      <c r="AC77" s="16" t="n">
        <v>1800</v>
      </c>
      <c r="AD77" s="16" t="s">
        <v>575</v>
      </c>
      <c r="AE77" s="16"/>
      <c r="AF77" s="15" t="s">
        <v>575</v>
      </c>
      <c r="AG77" s="15" t="n">
        <v>5300</v>
      </c>
      <c r="AH77" s="16" t="s">
        <v>574</v>
      </c>
      <c r="AI77" s="16" t="s">
        <v>574</v>
      </c>
      <c r="AJ77" s="16" t="n">
        <v>12000</v>
      </c>
      <c r="AK77" s="16" t="n">
        <v>20000</v>
      </c>
      <c r="AL77" s="16"/>
      <c r="AM77" s="16" t="s">
        <v>574</v>
      </c>
      <c r="AN77" s="16" t="s">
        <v>575</v>
      </c>
      <c r="AO77" s="16" t="s">
        <v>576</v>
      </c>
      <c r="AP77" s="16" t="s">
        <v>574</v>
      </c>
      <c r="AQ77" s="16" t="s">
        <v>577</v>
      </c>
      <c r="AR77" s="16" t="s">
        <v>574</v>
      </c>
      <c r="AS77" s="16" t="s">
        <v>577</v>
      </c>
      <c r="AT77" s="16"/>
      <c r="AU77" s="16" t="n">
        <v>27000</v>
      </c>
      <c r="AV77" s="16"/>
      <c r="AW77" s="16" t="s">
        <v>576</v>
      </c>
      <c r="AX77" s="16" t="s">
        <v>574</v>
      </c>
      <c r="AY77" s="16" t="s">
        <v>574</v>
      </c>
      <c r="AZ77" s="16" t="n">
        <v>6200</v>
      </c>
      <c r="BA77" s="16" t="s">
        <v>576</v>
      </c>
      <c r="BB77" s="16" t="s">
        <v>574</v>
      </c>
      <c r="BC77" s="16" t="s">
        <v>575</v>
      </c>
      <c r="BD77" s="16" t="s">
        <v>574</v>
      </c>
      <c r="BE77" s="16" t="n">
        <v>3800</v>
      </c>
      <c r="BF77" s="16" t="n">
        <v>1900</v>
      </c>
      <c r="BG77" s="16" t="n">
        <v>8200</v>
      </c>
      <c r="BH77" s="16" t="s">
        <v>574</v>
      </c>
      <c r="BI77" s="16" t="s">
        <v>577</v>
      </c>
      <c r="BJ77" s="16" t="n">
        <v>59</v>
      </c>
      <c r="BK77" s="15" t="s">
        <v>574</v>
      </c>
      <c r="BL77" s="16" t="s">
        <v>576</v>
      </c>
      <c r="BM77" s="16" t="s">
        <v>574</v>
      </c>
      <c r="BN77" s="16" t="n">
        <v>28000</v>
      </c>
      <c r="BO77" s="16" t="s">
        <v>574</v>
      </c>
      <c r="BP77" s="16"/>
      <c r="BQ77" s="16" t="s">
        <v>574</v>
      </c>
      <c r="BR77" s="16" t="s">
        <v>575</v>
      </c>
      <c r="BS77" s="16" t="s">
        <v>576</v>
      </c>
      <c r="BT77" s="16" t="s">
        <v>574</v>
      </c>
      <c r="BU77" s="16" t="n">
        <v>19000</v>
      </c>
      <c r="BV77" s="16" t="n">
        <v>1200</v>
      </c>
      <c r="BW77" s="16" t="n">
        <v>3700</v>
      </c>
      <c r="BX77" s="16" t="s">
        <v>577</v>
      </c>
      <c r="BY77" s="16" t="s">
        <v>574</v>
      </c>
      <c r="BZ77" s="16" t="n">
        <v>1800</v>
      </c>
      <c r="CA77" s="16" t="s">
        <v>574</v>
      </c>
      <c r="CB77" s="16" t="s">
        <v>574</v>
      </c>
      <c r="CC77" s="16" t="n">
        <v>5100</v>
      </c>
      <c r="CD77" s="16" t="s">
        <v>575</v>
      </c>
      <c r="CE77" s="16" t="s">
        <v>575</v>
      </c>
      <c r="CF77" s="16" t="s">
        <v>574</v>
      </c>
      <c r="CG77" s="16"/>
      <c r="CH77" s="16" t="n">
        <v>55</v>
      </c>
      <c r="CI77" s="16" t="s">
        <v>576</v>
      </c>
      <c r="CJ77" s="16" t="s">
        <v>576</v>
      </c>
      <c r="CK77" s="16" t="n">
        <v>38000</v>
      </c>
      <c r="CL77" s="16" t="s">
        <v>577</v>
      </c>
      <c r="CM77" s="16" t="s">
        <v>577</v>
      </c>
      <c r="CN77" s="16" t="s">
        <v>574</v>
      </c>
      <c r="CO77" s="16" t="s">
        <v>577</v>
      </c>
      <c r="CP77" s="16" t="n">
        <v>3400</v>
      </c>
      <c r="CQ77" s="16" t="s">
        <v>574</v>
      </c>
      <c r="CR77" s="16" t="s">
        <v>574</v>
      </c>
      <c r="CS77" s="16"/>
      <c r="CT77" s="16" t="n">
        <v>7600</v>
      </c>
      <c r="CU77" s="23" t="n">
        <v>10</v>
      </c>
      <c r="CV77" s="16" t="s">
        <v>576</v>
      </c>
      <c r="CW77" s="16" t="s">
        <v>574</v>
      </c>
      <c r="CX77" s="16" t="s">
        <v>577</v>
      </c>
      <c r="CY77" s="16" t="n">
        <v>11000</v>
      </c>
      <c r="CZ77" s="16" t="s">
        <v>577</v>
      </c>
      <c r="DA77" s="16" t="n">
        <v>4900</v>
      </c>
      <c r="DB77" s="16" t="s">
        <v>574</v>
      </c>
      <c r="DC77" s="16" t="s">
        <v>577</v>
      </c>
      <c r="DD77" s="16" t="s">
        <v>574</v>
      </c>
      <c r="DE77" s="16" t="s">
        <v>576</v>
      </c>
      <c r="DF77" s="15" t="n">
        <v>127</v>
      </c>
      <c r="DG77" s="16"/>
      <c r="DH77" s="16" t="s">
        <v>574</v>
      </c>
      <c r="DI77" s="16" t="n">
        <v>7300</v>
      </c>
      <c r="DJ77" s="16"/>
      <c r="DK77" s="16" t="n">
        <v>1100</v>
      </c>
      <c r="DL77" s="16" t="s">
        <v>577</v>
      </c>
      <c r="DM77" s="16" t="s">
        <v>574</v>
      </c>
      <c r="DN77" s="16" t="n">
        <v>58000</v>
      </c>
      <c r="DO77" s="16" t="s">
        <v>575</v>
      </c>
      <c r="DP77" s="16" t="n">
        <v>1259</v>
      </c>
      <c r="DQ77" s="16" t="n">
        <v>32000</v>
      </c>
      <c r="DR77" s="16"/>
      <c r="DS77" s="16" t="s">
        <v>574</v>
      </c>
      <c r="DT77" s="16" t="s">
        <v>574</v>
      </c>
      <c r="DU77" s="16" t="s">
        <v>574</v>
      </c>
      <c r="DV77" s="16" t="s">
        <v>574</v>
      </c>
      <c r="DW77" s="16" t="s">
        <v>574</v>
      </c>
      <c r="DX77" s="16" t="n">
        <v>27000</v>
      </c>
      <c r="DY77" s="16" t="n">
        <v>38000</v>
      </c>
      <c r="DZ77" s="16"/>
    </row>
    <row r="78" customFormat="false" ht="15" hidden="false" customHeight="false" outlineLevel="0" collapsed="false">
      <c r="A78" s="14" t="n">
        <v>1994</v>
      </c>
      <c r="B78" s="16" t="s">
        <v>574</v>
      </c>
      <c r="C78" s="16" t="s">
        <v>574</v>
      </c>
      <c r="D78" s="16" t="n">
        <v>1800</v>
      </c>
      <c r="E78" s="16" t="n">
        <v>1500</v>
      </c>
      <c r="F78" s="16" t="s">
        <v>574</v>
      </c>
      <c r="G78" s="16" t="n">
        <v>1100</v>
      </c>
      <c r="H78" s="16"/>
      <c r="I78" s="16" t="s">
        <v>574</v>
      </c>
      <c r="J78" s="16" t="s">
        <v>577</v>
      </c>
      <c r="K78" s="16" t="s">
        <v>574</v>
      </c>
      <c r="L78" s="16" t="s">
        <v>574</v>
      </c>
      <c r="M78" s="16" t="s">
        <v>574</v>
      </c>
      <c r="N78" s="16" t="n">
        <v>130</v>
      </c>
      <c r="O78" s="16" t="s">
        <v>574</v>
      </c>
      <c r="P78" s="16" t="s">
        <v>576</v>
      </c>
      <c r="Q78" s="15" t="s">
        <v>574</v>
      </c>
      <c r="R78" s="16" t="s">
        <v>576</v>
      </c>
      <c r="S78" s="16" t="n">
        <v>2800</v>
      </c>
      <c r="T78" s="16" t="n">
        <v>17000</v>
      </c>
      <c r="U78" s="16"/>
      <c r="V78" s="16" t="n">
        <v>8600</v>
      </c>
      <c r="W78" s="16" t="n">
        <v>1500</v>
      </c>
      <c r="X78" s="16" t="s">
        <v>575</v>
      </c>
      <c r="Y78" s="16" t="n">
        <v>7600</v>
      </c>
      <c r="Z78" s="16" t="n">
        <v>1628</v>
      </c>
      <c r="AA78" s="16" t="s">
        <v>574</v>
      </c>
      <c r="AB78" s="16" t="n">
        <v>3900</v>
      </c>
      <c r="AC78" s="16" t="n">
        <v>2100</v>
      </c>
      <c r="AD78" s="16" t="s">
        <v>575</v>
      </c>
      <c r="AE78" s="16"/>
      <c r="AF78" s="15" t="n">
        <v>1100</v>
      </c>
      <c r="AG78" s="15" t="n">
        <v>6000</v>
      </c>
      <c r="AH78" s="16" t="s">
        <v>574</v>
      </c>
      <c r="AI78" s="16" t="s">
        <v>574</v>
      </c>
      <c r="AJ78" s="16" t="n">
        <v>14000</v>
      </c>
      <c r="AK78" s="16" t="n">
        <v>21000</v>
      </c>
      <c r="AL78" s="16"/>
      <c r="AM78" s="16" t="s">
        <v>574</v>
      </c>
      <c r="AN78" s="16" t="n">
        <v>1100</v>
      </c>
      <c r="AO78" s="16" t="s">
        <v>575</v>
      </c>
      <c r="AP78" s="16" t="s">
        <v>574</v>
      </c>
      <c r="AQ78" s="16" t="s">
        <v>576</v>
      </c>
      <c r="AR78" s="16" t="s">
        <v>577</v>
      </c>
      <c r="AS78" s="16" t="s">
        <v>577</v>
      </c>
      <c r="AT78" s="16"/>
      <c r="AU78" s="16" t="n">
        <v>35000</v>
      </c>
      <c r="AV78" s="16"/>
      <c r="AW78" s="16" t="s">
        <v>576</v>
      </c>
      <c r="AX78" s="16" t="s">
        <v>574</v>
      </c>
      <c r="AY78" s="16" t="s">
        <v>574</v>
      </c>
      <c r="AZ78" s="16" t="n">
        <v>7400</v>
      </c>
      <c r="BA78" s="16" t="s">
        <v>576</v>
      </c>
      <c r="BB78" s="16" t="s">
        <v>574</v>
      </c>
      <c r="BC78" s="16" t="n">
        <v>1100</v>
      </c>
      <c r="BD78" s="16" t="s">
        <v>574</v>
      </c>
      <c r="BE78" s="16" t="n">
        <v>4900</v>
      </c>
      <c r="BF78" s="16" t="n">
        <v>2200</v>
      </c>
      <c r="BG78" s="16" t="n">
        <v>12000</v>
      </c>
      <c r="BH78" s="16" t="s">
        <v>574</v>
      </c>
      <c r="BI78" s="16" t="s">
        <v>577</v>
      </c>
      <c r="BJ78" s="16" t="n">
        <v>54</v>
      </c>
      <c r="BK78" s="15" t="s">
        <v>574</v>
      </c>
      <c r="BL78" s="16" t="s">
        <v>575</v>
      </c>
      <c r="BM78" s="16" t="s">
        <v>574</v>
      </c>
      <c r="BN78" s="16" t="n">
        <v>37000</v>
      </c>
      <c r="BO78" s="16" t="s">
        <v>574</v>
      </c>
      <c r="BP78" s="16"/>
      <c r="BQ78" s="16" t="s">
        <v>574</v>
      </c>
      <c r="BR78" s="16" t="n">
        <v>1400</v>
      </c>
      <c r="BS78" s="16" t="s">
        <v>576</v>
      </c>
      <c r="BT78" s="16" t="s">
        <v>577</v>
      </c>
      <c r="BU78" s="16" t="n">
        <v>23000</v>
      </c>
      <c r="BV78" s="16" t="n">
        <v>2200</v>
      </c>
      <c r="BW78" s="16" t="n">
        <v>4400</v>
      </c>
      <c r="BX78" s="16" t="s">
        <v>577</v>
      </c>
      <c r="BY78" s="16" t="s">
        <v>574</v>
      </c>
      <c r="BZ78" s="16" t="n">
        <v>2600</v>
      </c>
      <c r="CA78" s="16" t="s">
        <v>574</v>
      </c>
      <c r="CB78" s="16" t="s">
        <v>574</v>
      </c>
      <c r="CC78" s="16" t="n">
        <v>6600</v>
      </c>
      <c r="CD78" s="16" t="n">
        <v>1100</v>
      </c>
      <c r="CE78" s="16" t="s">
        <v>575</v>
      </c>
      <c r="CF78" s="16" t="s">
        <v>574</v>
      </c>
      <c r="CG78" s="16"/>
      <c r="CH78" s="16" t="n">
        <v>45</v>
      </c>
      <c r="CI78" s="16" t="s">
        <v>576</v>
      </c>
      <c r="CJ78" s="16" t="s">
        <v>575</v>
      </c>
      <c r="CK78" s="16" t="n">
        <v>47000</v>
      </c>
      <c r="CL78" s="16" t="s">
        <v>577</v>
      </c>
      <c r="CM78" s="16" t="s">
        <v>576</v>
      </c>
      <c r="CN78" s="16" t="s">
        <v>577</v>
      </c>
      <c r="CO78" s="16" t="s">
        <v>577</v>
      </c>
      <c r="CP78" s="16" t="n">
        <v>3600</v>
      </c>
      <c r="CQ78" s="16" t="s">
        <v>574</v>
      </c>
      <c r="CR78" s="16" t="s">
        <v>574</v>
      </c>
      <c r="CS78" s="16"/>
      <c r="CT78" s="16" t="n">
        <v>8400</v>
      </c>
      <c r="CU78" s="23" t="n">
        <v>10</v>
      </c>
      <c r="CV78" s="16" t="s">
        <v>576</v>
      </c>
      <c r="CW78" s="16" t="s">
        <v>574</v>
      </c>
      <c r="CX78" s="16" t="s">
        <v>577</v>
      </c>
      <c r="CY78" s="16" t="n">
        <v>17000</v>
      </c>
      <c r="CZ78" s="16" t="s">
        <v>576</v>
      </c>
      <c r="DA78" s="16" t="n">
        <v>5600</v>
      </c>
      <c r="DB78" s="16" t="s">
        <v>574</v>
      </c>
      <c r="DC78" s="16" t="s">
        <v>577</v>
      </c>
      <c r="DD78" s="16" t="s">
        <v>574</v>
      </c>
      <c r="DE78" s="16" t="s">
        <v>575</v>
      </c>
      <c r="DF78" s="15" t="n">
        <v>146</v>
      </c>
      <c r="DG78" s="16"/>
      <c r="DH78" s="16" t="s">
        <v>574</v>
      </c>
      <c r="DI78" s="16" t="n">
        <v>13000</v>
      </c>
      <c r="DJ78" s="16"/>
      <c r="DK78" s="16" t="n">
        <v>1400</v>
      </c>
      <c r="DL78" s="16" t="s">
        <v>577</v>
      </c>
      <c r="DM78" s="16" t="s">
        <v>574</v>
      </c>
      <c r="DN78" s="16" t="n">
        <v>64000</v>
      </c>
      <c r="DO78" s="16" t="n">
        <v>1000</v>
      </c>
      <c r="DP78" s="16" t="n">
        <v>1603</v>
      </c>
      <c r="DQ78" s="16" t="n">
        <v>38000</v>
      </c>
      <c r="DR78" s="16"/>
      <c r="DS78" s="16" t="s">
        <v>577</v>
      </c>
      <c r="DT78" s="16" t="s">
        <v>574</v>
      </c>
      <c r="DU78" s="16" t="s">
        <v>574</v>
      </c>
      <c r="DV78" s="16" t="s">
        <v>574</v>
      </c>
      <c r="DW78" s="16" t="s">
        <v>574</v>
      </c>
      <c r="DX78" s="16" t="n">
        <v>31000</v>
      </c>
      <c r="DY78" s="16" t="n">
        <v>47000</v>
      </c>
      <c r="DZ78" s="16"/>
    </row>
    <row r="79" customFormat="false" ht="15" hidden="false" customHeight="false" outlineLevel="0" collapsed="false">
      <c r="A79" s="14" t="n">
        <v>1995</v>
      </c>
      <c r="B79" s="16" t="s">
        <v>574</v>
      </c>
      <c r="C79" s="16" t="s">
        <v>574</v>
      </c>
      <c r="D79" s="16" t="n">
        <v>2100</v>
      </c>
      <c r="E79" s="16" t="n">
        <v>1700</v>
      </c>
      <c r="F79" s="16" t="s">
        <v>574</v>
      </c>
      <c r="G79" s="16" t="n">
        <v>1100</v>
      </c>
      <c r="H79" s="16"/>
      <c r="I79" s="16" t="s">
        <v>574</v>
      </c>
      <c r="J79" s="16" t="s">
        <v>577</v>
      </c>
      <c r="K79" s="16" t="s">
        <v>574</v>
      </c>
      <c r="L79" s="16" t="s">
        <v>574</v>
      </c>
      <c r="M79" s="16" t="s">
        <v>574</v>
      </c>
      <c r="N79" s="16" t="n">
        <v>119</v>
      </c>
      <c r="O79" s="16" t="s">
        <v>574</v>
      </c>
      <c r="P79" s="16" t="s">
        <v>575</v>
      </c>
      <c r="Q79" s="15" t="s">
        <v>574</v>
      </c>
      <c r="R79" s="16" t="s">
        <v>576</v>
      </c>
      <c r="S79" s="16" t="n">
        <v>3800</v>
      </c>
      <c r="T79" s="16" t="n">
        <v>19000</v>
      </c>
      <c r="U79" s="16"/>
      <c r="V79" s="16" t="n">
        <v>9600</v>
      </c>
      <c r="W79" s="16" t="n">
        <v>1900</v>
      </c>
      <c r="X79" s="16" t="n">
        <v>1200</v>
      </c>
      <c r="Y79" s="16" t="n">
        <v>9500</v>
      </c>
      <c r="Z79" s="16" t="n">
        <v>1764</v>
      </c>
      <c r="AA79" s="16" t="s">
        <v>574</v>
      </c>
      <c r="AB79" s="16" t="n">
        <v>4800</v>
      </c>
      <c r="AC79" s="16" t="n">
        <v>2500</v>
      </c>
      <c r="AD79" s="16" t="s">
        <v>575</v>
      </c>
      <c r="AE79" s="16"/>
      <c r="AF79" s="15" t="n">
        <v>1400</v>
      </c>
      <c r="AG79" s="15" t="n">
        <v>6600</v>
      </c>
      <c r="AH79" s="16" t="s">
        <v>577</v>
      </c>
      <c r="AI79" s="16" t="s">
        <v>574</v>
      </c>
      <c r="AJ79" s="16" t="n">
        <v>17000</v>
      </c>
      <c r="AK79" s="16" t="n">
        <v>22000</v>
      </c>
      <c r="AL79" s="16"/>
      <c r="AM79" s="16" t="s">
        <v>574</v>
      </c>
      <c r="AN79" s="16" t="n">
        <v>1600</v>
      </c>
      <c r="AO79" s="16" t="s">
        <v>575</v>
      </c>
      <c r="AP79" s="16" t="s">
        <v>574</v>
      </c>
      <c r="AQ79" s="16" t="s">
        <v>576</v>
      </c>
      <c r="AR79" s="16" t="s">
        <v>577</v>
      </c>
      <c r="AS79" s="16" t="s">
        <v>576</v>
      </c>
      <c r="AT79" s="16"/>
      <c r="AU79" s="16" t="n">
        <v>44000</v>
      </c>
      <c r="AV79" s="16"/>
      <c r="AW79" s="16" t="s">
        <v>576</v>
      </c>
      <c r="AX79" s="16" t="s">
        <v>574</v>
      </c>
      <c r="AY79" s="16" t="s">
        <v>574</v>
      </c>
      <c r="AZ79" s="16" t="n">
        <v>8700</v>
      </c>
      <c r="BA79" s="16" t="s">
        <v>575</v>
      </c>
      <c r="BB79" s="16" t="s">
        <v>574</v>
      </c>
      <c r="BC79" s="16" t="n">
        <v>1500</v>
      </c>
      <c r="BD79" s="16" t="s">
        <v>574</v>
      </c>
      <c r="BE79" s="16" t="n">
        <v>6100</v>
      </c>
      <c r="BF79" s="16" t="n">
        <v>2500</v>
      </c>
      <c r="BG79" s="16" t="n">
        <v>18000</v>
      </c>
      <c r="BH79" s="16" t="s">
        <v>574</v>
      </c>
      <c r="BI79" s="16" t="s">
        <v>577</v>
      </c>
      <c r="BJ79" s="16" t="n">
        <v>58</v>
      </c>
      <c r="BK79" s="15" t="s">
        <v>574</v>
      </c>
      <c r="BL79" s="16" t="s">
        <v>575</v>
      </c>
      <c r="BM79" s="16" t="s">
        <v>574</v>
      </c>
      <c r="BN79" s="16" t="n">
        <v>47000</v>
      </c>
      <c r="BO79" s="16" t="s">
        <v>574</v>
      </c>
      <c r="BP79" s="16"/>
      <c r="BQ79" s="16" t="s">
        <v>574</v>
      </c>
      <c r="BR79" s="16" t="n">
        <v>1900</v>
      </c>
      <c r="BS79" s="16" t="s">
        <v>575</v>
      </c>
      <c r="BT79" s="16" t="s">
        <v>576</v>
      </c>
      <c r="BU79" s="16" t="n">
        <v>28000</v>
      </c>
      <c r="BV79" s="16" t="n">
        <v>3400</v>
      </c>
      <c r="BW79" s="16" t="n">
        <v>5100</v>
      </c>
      <c r="BX79" s="16" t="s">
        <v>577</v>
      </c>
      <c r="BY79" s="16" t="s">
        <v>574</v>
      </c>
      <c r="BZ79" s="16" t="n">
        <v>3400</v>
      </c>
      <c r="CA79" s="16" t="s">
        <v>574</v>
      </c>
      <c r="CB79" s="16" t="s">
        <v>577</v>
      </c>
      <c r="CC79" s="16" t="n">
        <v>8300</v>
      </c>
      <c r="CD79" s="16" t="n">
        <v>1900</v>
      </c>
      <c r="CE79" s="16" t="n">
        <v>1200</v>
      </c>
      <c r="CF79" s="16" t="s">
        <v>574</v>
      </c>
      <c r="CG79" s="16"/>
      <c r="CH79" s="16" t="n">
        <v>51</v>
      </c>
      <c r="CI79" s="16" t="s">
        <v>576</v>
      </c>
      <c r="CJ79" s="16" t="s">
        <v>575</v>
      </c>
      <c r="CK79" s="16" t="n">
        <v>56000</v>
      </c>
      <c r="CL79" s="16" t="s">
        <v>577</v>
      </c>
      <c r="CM79" s="16" t="s">
        <v>576</v>
      </c>
      <c r="CN79" s="16" t="s">
        <v>577</v>
      </c>
      <c r="CO79" s="16" t="s">
        <v>576</v>
      </c>
      <c r="CP79" s="16" t="n">
        <v>3800</v>
      </c>
      <c r="CQ79" s="16" t="s">
        <v>574</v>
      </c>
      <c r="CR79" s="16" t="s">
        <v>574</v>
      </c>
      <c r="CS79" s="16"/>
      <c r="CT79" s="16" t="n">
        <v>9500</v>
      </c>
      <c r="CU79" s="23" t="n">
        <v>8</v>
      </c>
      <c r="CV79" s="16" t="s">
        <v>576</v>
      </c>
      <c r="CW79" s="16" t="s">
        <v>574</v>
      </c>
      <c r="CX79" s="16" t="s">
        <v>576</v>
      </c>
      <c r="CY79" s="16" t="n">
        <v>28000</v>
      </c>
      <c r="CZ79" s="16" t="s">
        <v>576</v>
      </c>
      <c r="DA79" s="16" t="n">
        <v>6100</v>
      </c>
      <c r="DB79" s="16" t="s">
        <v>574</v>
      </c>
      <c r="DC79" s="16" t="s">
        <v>577</v>
      </c>
      <c r="DD79" s="16" t="s">
        <v>574</v>
      </c>
      <c r="DE79" s="16" t="n">
        <v>1000</v>
      </c>
      <c r="DF79" s="15" t="n">
        <v>158</v>
      </c>
      <c r="DG79" s="16"/>
      <c r="DH79" s="16" t="s">
        <v>574</v>
      </c>
      <c r="DI79" s="16" t="n">
        <v>19000</v>
      </c>
      <c r="DJ79" s="16"/>
      <c r="DK79" s="16" t="n">
        <v>1800</v>
      </c>
      <c r="DL79" s="16" t="s">
        <v>577</v>
      </c>
      <c r="DM79" s="16" t="s">
        <v>574</v>
      </c>
      <c r="DN79" s="16" t="n">
        <v>69000</v>
      </c>
      <c r="DO79" s="16" t="n">
        <v>1200</v>
      </c>
      <c r="DP79" s="16" t="n">
        <v>1690</v>
      </c>
      <c r="DQ79" s="16" t="n">
        <v>45000</v>
      </c>
      <c r="DR79" s="16"/>
      <c r="DS79" s="16" t="s">
        <v>577</v>
      </c>
      <c r="DT79" s="16" t="s">
        <v>574</v>
      </c>
      <c r="DU79" s="16" t="s">
        <v>577</v>
      </c>
      <c r="DV79" s="16" t="s">
        <v>577</v>
      </c>
      <c r="DW79" s="16" t="s">
        <v>574</v>
      </c>
      <c r="DX79" s="16" t="n">
        <v>35000</v>
      </c>
      <c r="DY79" s="16" t="n">
        <v>57000</v>
      </c>
      <c r="DZ79" s="16"/>
    </row>
    <row r="80" customFormat="false" ht="15" hidden="false" customHeight="false" outlineLevel="0" collapsed="false">
      <c r="A80" s="14" t="n">
        <v>1996</v>
      </c>
      <c r="B80" s="16" t="s">
        <v>574</v>
      </c>
      <c r="C80" s="16" t="s">
        <v>574</v>
      </c>
      <c r="D80" s="16" t="n">
        <v>2500</v>
      </c>
      <c r="E80" s="16" t="n">
        <v>1100</v>
      </c>
      <c r="F80" s="16" t="s">
        <v>574</v>
      </c>
      <c r="G80" s="16" t="s">
        <v>575</v>
      </c>
      <c r="H80" s="16"/>
      <c r="I80" s="16" t="s">
        <v>574</v>
      </c>
      <c r="J80" s="16" t="s">
        <v>577</v>
      </c>
      <c r="K80" s="16" t="s">
        <v>574</v>
      </c>
      <c r="L80" s="16" t="s">
        <v>574</v>
      </c>
      <c r="M80" s="16" t="s">
        <v>574</v>
      </c>
      <c r="N80" s="16" t="n">
        <v>86</v>
      </c>
      <c r="O80" s="16" t="s">
        <v>574</v>
      </c>
      <c r="P80" s="16" t="s">
        <v>575</v>
      </c>
      <c r="Q80" s="15" t="s">
        <v>574</v>
      </c>
      <c r="R80" s="16" t="s">
        <v>576</v>
      </c>
      <c r="S80" s="16" t="n">
        <v>5200</v>
      </c>
      <c r="T80" s="16" t="n">
        <v>19000</v>
      </c>
      <c r="U80" s="16"/>
      <c r="V80" s="16" t="n">
        <v>10000</v>
      </c>
      <c r="W80" s="16" t="n">
        <v>2400</v>
      </c>
      <c r="X80" s="16" t="n">
        <v>2100</v>
      </c>
      <c r="Y80" s="16" t="n">
        <v>12000</v>
      </c>
      <c r="Z80" s="16" t="n">
        <v>1306</v>
      </c>
      <c r="AA80" s="16" t="s">
        <v>574</v>
      </c>
      <c r="AB80" s="16" t="n">
        <v>5800</v>
      </c>
      <c r="AC80" s="16" t="n">
        <v>3000</v>
      </c>
      <c r="AD80" s="16" t="s">
        <v>575</v>
      </c>
      <c r="AE80" s="16"/>
      <c r="AF80" s="15" t="n">
        <v>1600</v>
      </c>
      <c r="AG80" s="15" t="n">
        <v>7200</v>
      </c>
      <c r="AH80" s="16" t="s">
        <v>577</v>
      </c>
      <c r="AI80" s="16" t="s">
        <v>574</v>
      </c>
      <c r="AJ80" s="16" t="n">
        <v>19000</v>
      </c>
      <c r="AK80" s="16" t="n">
        <v>23000</v>
      </c>
      <c r="AL80" s="16"/>
      <c r="AM80" s="16" t="s">
        <v>577</v>
      </c>
      <c r="AN80" s="16" t="n">
        <v>2100</v>
      </c>
      <c r="AO80" s="16" t="s">
        <v>575</v>
      </c>
      <c r="AP80" s="16" t="s">
        <v>574</v>
      </c>
      <c r="AQ80" s="16" t="s">
        <v>576</v>
      </c>
      <c r="AR80" s="16" t="s">
        <v>577</v>
      </c>
      <c r="AS80" s="16" t="s">
        <v>576</v>
      </c>
      <c r="AT80" s="16"/>
      <c r="AU80" s="16" t="n">
        <v>53000</v>
      </c>
      <c r="AV80" s="16"/>
      <c r="AW80" s="16" t="s">
        <v>575</v>
      </c>
      <c r="AX80" s="16" t="s">
        <v>577</v>
      </c>
      <c r="AY80" s="16" t="s">
        <v>574</v>
      </c>
      <c r="AZ80" s="16" t="n">
        <v>10000</v>
      </c>
      <c r="BA80" s="16" t="s">
        <v>575</v>
      </c>
      <c r="BB80" s="16" t="s">
        <v>577</v>
      </c>
      <c r="BC80" s="16" t="n">
        <v>2000</v>
      </c>
      <c r="BD80" s="16" t="s">
        <v>574</v>
      </c>
      <c r="BE80" s="16" t="n">
        <v>7500</v>
      </c>
      <c r="BF80" s="16" t="n">
        <v>2700</v>
      </c>
      <c r="BG80" s="16" t="n">
        <v>25000</v>
      </c>
      <c r="BH80" s="16" t="s">
        <v>574</v>
      </c>
      <c r="BI80" s="16" t="s">
        <v>576</v>
      </c>
      <c r="BJ80" s="16" t="n">
        <v>39</v>
      </c>
      <c r="BK80" s="15" t="s">
        <v>574</v>
      </c>
      <c r="BL80" s="16" t="s">
        <v>575</v>
      </c>
      <c r="BM80" s="16" t="s">
        <v>574</v>
      </c>
      <c r="BN80" s="16" t="n">
        <v>58000</v>
      </c>
      <c r="BO80" s="16" t="s">
        <v>574</v>
      </c>
      <c r="BP80" s="16"/>
      <c r="BQ80" s="16" t="s">
        <v>574</v>
      </c>
      <c r="BR80" s="16" t="n">
        <v>2600</v>
      </c>
      <c r="BS80" s="16" t="s">
        <v>575</v>
      </c>
      <c r="BT80" s="16" t="s">
        <v>576</v>
      </c>
      <c r="BU80" s="16" t="n">
        <v>33000</v>
      </c>
      <c r="BV80" s="16" t="n">
        <v>4600</v>
      </c>
      <c r="BW80" s="16" t="n">
        <v>5700</v>
      </c>
      <c r="BX80" s="16" t="s">
        <v>576</v>
      </c>
      <c r="BY80" s="16" t="s">
        <v>574</v>
      </c>
      <c r="BZ80" s="16" t="n">
        <v>4300</v>
      </c>
      <c r="CA80" s="16" t="s">
        <v>574</v>
      </c>
      <c r="CB80" s="16" t="s">
        <v>577</v>
      </c>
      <c r="CC80" s="16" t="n">
        <v>10000</v>
      </c>
      <c r="CD80" s="16" t="n">
        <v>2800</v>
      </c>
      <c r="CE80" s="16" t="n">
        <v>1800</v>
      </c>
      <c r="CF80" s="16" t="s">
        <v>574</v>
      </c>
      <c r="CG80" s="16"/>
      <c r="CH80" s="16" t="n">
        <v>34</v>
      </c>
      <c r="CI80" s="16" t="s">
        <v>576</v>
      </c>
      <c r="CJ80" s="16" t="s">
        <v>575</v>
      </c>
      <c r="CK80" s="16" t="n">
        <v>67000</v>
      </c>
      <c r="CL80" s="16" t="s">
        <v>576</v>
      </c>
      <c r="CM80" s="16" t="s">
        <v>576</v>
      </c>
      <c r="CN80" s="16" t="s">
        <v>576</v>
      </c>
      <c r="CO80" s="16" t="s">
        <v>576</v>
      </c>
      <c r="CP80" s="16" t="n">
        <v>4000</v>
      </c>
      <c r="CQ80" s="16" t="s">
        <v>574</v>
      </c>
      <c r="CR80" s="16" t="s">
        <v>574</v>
      </c>
      <c r="CS80" s="16"/>
      <c r="CT80" s="16" t="n">
        <v>11000</v>
      </c>
      <c r="CU80" s="23" t="n">
        <v>9</v>
      </c>
      <c r="CV80" s="16" t="s">
        <v>575</v>
      </c>
      <c r="CW80" s="16" t="s">
        <v>574</v>
      </c>
      <c r="CX80" s="16" t="s">
        <v>576</v>
      </c>
      <c r="CY80" s="16" t="n">
        <v>43000</v>
      </c>
      <c r="CZ80" s="16" t="s">
        <v>575</v>
      </c>
      <c r="DA80" s="16" t="n">
        <v>4500</v>
      </c>
      <c r="DB80" s="16" t="s">
        <v>574</v>
      </c>
      <c r="DC80" s="16" t="s">
        <v>576</v>
      </c>
      <c r="DD80" s="16" t="s">
        <v>574</v>
      </c>
      <c r="DE80" s="16" t="n">
        <v>1500</v>
      </c>
      <c r="DF80" s="15" t="n">
        <v>108</v>
      </c>
      <c r="DG80" s="16"/>
      <c r="DH80" s="16" t="s">
        <v>574</v>
      </c>
      <c r="DI80" s="16" t="n">
        <v>26000</v>
      </c>
      <c r="DJ80" s="16"/>
      <c r="DK80" s="16" t="n">
        <v>2300</v>
      </c>
      <c r="DL80" s="16" t="s">
        <v>576</v>
      </c>
      <c r="DM80" s="16" t="s">
        <v>574</v>
      </c>
      <c r="DN80" s="16" t="n">
        <v>73000</v>
      </c>
      <c r="DO80" s="16" t="n">
        <v>1500</v>
      </c>
      <c r="DP80" s="16" t="n">
        <v>1805</v>
      </c>
      <c r="DQ80" s="16" t="n">
        <v>51000</v>
      </c>
      <c r="DR80" s="16"/>
      <c r="DS80" s="16" t="s">
        <v>577</v>
      </c>
      <c r="DT80" s="16" t="s">
        <v>574</v>
      </c>
      <c r="DU80" s="16" t="s">
        <v>576</v>
      </c>
      <c r="DV80" s="16" t="s">
        <v>576</v>
      </c>
      <c r="DW80" s="16" t="s">
        <v>574</v>
      </c>
      <c r="DX80" s="16" t="n">
        <v>40000</v>
      </c>
      <c r="DY80" s="16" t="n">
        <v>68000</v>
      </c>
      <c r="DZ80" s="16"/>
    </row>
    <row r="81" customFormat="false" ht="15" hidden="false" customHeight="false" outlineLevel="0" collapsed="false">
      <c r="A81" s="14" t="n">
        <v>1997</v>
      </c>
      <c r="B81" s="16" t="s">
        <v>574</v>
      </c>
      <c r="C81" s="16" t="s">
        <v>574</v>
      </c>
      <c r="D81" s="16" t="n">
        <v>2900</v>
      </c>
      <c r="E81" s="16" t="n">
        <v>1100</v>
      </c>
      <c r="F81" s="16" t="s">
        <v>574</v>
      </c>
      <c r="G81" s="16" t="s">
        <v>575</v>
      </c>
      <c r="H81" s="16"/>
      <c r="I81" s="16" t="s">
        <v>574</v>
      </c>
      <c r="J81" s="16" t="s">
        <v>576</v>
      </c>
      <c r="K81" s="16" t="s">
        <v>574</v>
      </c>
      <c r="L81" s="16" t="s">
        <v>574</v>
      </c>
      <c r="M81" s="16" t="s">
        <v>574</v>
      </c>
      <c r="N81" s="16" t="n">
        <v>39</v>
      </c>
      <c r="O81" s="16" t="s">
        <v>574</v>
      </c>
      <c r="P81" s="16" t="n">
        <v>1000</v>
      </c>
      <c r="Q81" s="15" t="s">
        <v>574</v>
      </c>
      <c r="R81" s="16" t="s">
        <v>575</v>
      </c>
      <c r="S81" s="16" t="n">
        <v>6700</v>
      </c>
      <c r="T81" s="16" t="n">
        <v>17000</v>
      </c>
      <c r="U81" s="16"/>
      <c r="V81" s="16" t="n">
        <v>11000</v>
      </c>
      <c r="W81" s="16" t="n">
        <v>2900</v>
      </c>
      <c r="X81" s="16" t="n">
        <v>3400</v>
      </c>
      <c r="Y81" s="16" t="n">
        <v>14000</v>
      </c>
      <c r="Z81" s="16" t="n">
        <v>626</v>
      </c>
      <c r="AA81" s="16" t="s">
        <v>577</v>
      </c>
      <c r="AB81" s="16" t="n">
        <v>6800</v>
      </c>
      <c r="AC81" s="16" t="n">
        <v>3500</v>
      </c>
      <c r="AD81" s="16" t="s">
        <v>575</v>
      </c>
      <c r="AE81" s="16"/>
      <c r="AF81" s="15" t="n">
        <v>1900</v>
      </c>
      <c r="AG81" s="15" t="n">
        <v>7700</v>
      </c>
      <c r="AH81" s="16" t="s">
        <v>577</v>
      </c>
      <c r="AI81" s="16" t="s">
        <v>574</v>
      </c>
      <c r="AJ81" s="16" t="n">
        <v>22000</v>
      </c>
      <c r="AK81" s="16" t="n">
        <v>24000</v>
      </c>
      <c r="AL81" s="16"/>
      <c r="AM81" s="16" t="s">
        <v>577</v>
      </c>
      <c r="AN81" s="16" t="n">
        <v>2600</v>
      </c>
      <c r="AO81" s="16" t="s">
        <v>575</v>
      </c>
      <c r="AP81" s="16" t="s">
        <v>574</v>
      </c>
      <c r="AQ81" s="16" t="s">
        <v>576</v>
      </c>
      <c r="AR81" s="16" t="s">
        <v>577</v>
      </c>
      <c r="AS81" s="16" t="s">
        <v>576</v>
      </c>
      <c r="AT81" s="16"/>
      <c r="AU81" s="16" t="n">
        <v>63000</v>
      </c>
      <c r="AV81" s="16"/>
      <c r="AW81" s="16" t="s">
        <v>575</v>
      </c>
      <c r="AX81" s="16" t="s">
        <v>577</v>
      </c>
      <c r="AY81" s="16" t="s">
        <v>574</v>
      </c>
      <c r="AZ81" s="16" t="n">
        <v>12000</v>
      </c>
      <c r="BA81" s="16" t="s">
        <v>575</v>
      </c>
      <c r="BB81" s="16" t="s">
        <v>577</v>
      </c>
      <c r="BC81" s="16" t="n">
        <v>2500</v>
      </c>
      <c r="BD81" s="16" t="s">
        <v>574</v>
      </c>
      <c r="BE81" s="16" t="n">
        <v>8900</v>
      </c>
      <c r="BF81" s="16" t="n">
        <v>3000</v>
      </c>
      <c r="BG81" s="16" t="n">
        <v>35000</v>
      </c>
      <c r="BH81" s="16" t="s">
        <v>577</v>
      </c>
      <c r="BI81" s="16" t="s">
        <v>576</v>
      </c>
      <c r="BJ81" s="16" t="n">
        <v>43</v>
      </c>
      <c r="BK81" s="15" t="s">
        <v>577</v>
      </c>
      <c r="BL81" s="16" t="n">
        <v>1100</v>
      </c>
      <c r="BM81" s="16" t="s">
        <v>574</v>
      </c>
      <c r="BN81" s="16" t="n">
        <v>69000</v>
      </c>
      <c r="BO81" s="16" t="s">
        <v>574</v>
      </c>
      <c r="BP81" s="16"/>
      <c r="BQ81" s="16" t="s">
        <v>574</v>
      </c>
      <c r="BR81" s="16" t="n">
        <v>3500</v>
      </c>
      <c r="BS81" s="16" t="s">
        <v>575</v>
      </c>
      <c r="BT81" s="16" t="s">
        <v>576</v>
      </c>
      <c r="BU81" s="16" t="n">
        <v>38000</v>
      </c>
      <c r="BV81" s="16" t="n">
        <v>5600</v>
      </c>
      <c r="BW81" s="16" t="n">
        <v>6100</v>
      </c>
      <c r="BX81" s="16" t="s">
        <v>576</v>
      </c>
      <c r="BY81" s="16" t="s">
        <v>574</v>
      </c>
      <c r="BZ81" s="16" t="n">
        <v>5400</v>
      </c>
      <c r="CA81" s="16" t="s">
        <v>574</v>
      </c>
      <c r="CB81" s="16" t="s">
        <v>577</v>
      </c>
      <c r="CC81" s="16" t="n">
        <v>13000</v>
      </c>
      <c r="CD81" s="16" t="n">
        <v>3800</v>
      </c>
      <c r="CE81" s="16" t="n">
        <v>2600</v>
      </c>
      <c r="CF81" s="16" t="s">
        <v>574</v>
      </c>
      <c r="CG81" s="16"/>
      <c r="CH81" s="16" t="n">
        <v>33</v>
      </c>
      <c r="CI81" s="16" t="s">
        <v>576</v>
      </c>
      <c r="CJ81" s="16" t="n">
        <v>1300</v>
      </c>
      <c r="CK81" s="16" t="n">
        <v>79000</v>
      </c>
      <c r="CL81" s="16" t="s">
        <v>576</v>
      </c>
      <c r="CM81" s="16" t="s">
        <v>576</v>
      </c>
      <c r="CN81" s="16" t="s">
        <v>576</v>
      </c>
      <c r="CO81" s="16" t="s">
        <v>576</v>
      </c>
      <c r="CP81" s="16" t="n">
        <v>4100</v>
      </c>
      <c r="CQ81" s="16" t="s">
        <v>574</v>
      </c>
      <c r="CR81" s="16" t="s">
        <v>574</v>
      </c>
      <c r="CS81" s="16"/>
      <c r="CT81" s="16" t="n">
        <v>12000</v>
      </c>
      <c r="CU81" s="23" t="n">
        <v>12</v>
      </c>
      <c r="CV81" s="16" t="s">
        <v>575</v>
      </c>
      <c r="CW81" s="16" t="s">
        <v>577</v>
      </c>
      <c r="CX81" s="16" t="s">
        <v>576</v>
      </c>
      <c r="CY81" s="16" t="n">
        <v>63000</v>
      </c>
      <c r="CZ81" s="16" t="n">
        <v>1100</v>
      </c>
      <c r="DA81" s="16" t="n">
        <v>2800</v>
      </c>
      <c r="DB81" s="16" t="s">
        <v>574</v>
      </c>
      <c r="DC81" s="16" t="s">
        <v>576</v>
      </c>
      <c r="DD81" s="16" t="s">
        <v>574</v>
      </c>
      <c r="DE81" s="16" t="n">
        <v>2100</v>
      </c>
      <c r="DF81" s="15" t="n">
        <v>30</v>
      </c>
      <c r="DG81" s="16"/>
      <c r="DH81" s="16" t="s">
        <v>574</v>
      </c>
      <c r="DI81" s="16" t="n">
        <v>33000</v>
      </c>
      <c r="DJ81" s="16"/>
      <c r="DK81" s="16" t="n">
        <v>2900</v>
      </c>
      <c r="DL81" s="16" t="s">
        <v>576</v>
      </c>
      <c r="DM81" s="16" t="s">
        <v>574</v>
      </c>
      <c r="DN81" s="16" t="n">
        <v>75000</v>
      </c>
      <c r="DO81" s="16" t="n">
        <v>1900</v>
      </c>
      <c r="DP81" s="16" t="n">
        <v>1546</v>
      </c>
      <c r="DQ81" s="16" t="n">
        <v>58000</v>
      </c>
      <c r="DR81" s="16"/>
      <c r="DS81" s="16" t="s">
        <v>577</v>
      </c>
      <c r="DT81" s="16" t="s">
        <v>574</v>
      </c>
      <c r="DU81" s="16" t="s">
        <v>576</v>
      </c>
      <c r="DV81" s="16" t="s">
        <v>576</v>
      </c>
      <c r="DW81" s="16" t="s">
        <v>574</v>
      </c>
      <c r="DX81" s="16" t="n">
        <v>43000</v>
      </c>
      <c r="DY81" s="16" t="n">
        <v>78000</v>
      </c>
      <c r="DZ81" s="16"/>
    </row>
    <row r="82" customFormat="false" ht="15" hidden="false" customHeight="false" outlineLevel="0" collapsed="false">
      <c r="A82" s="14" t="n">
        <v>1998</v>
      </c>
      <c r="B82" s="16" t="s">
        <v>574</v>
      </c>
      <c r="C82" s="16" t="s">
        <v>574</v>
      </c>
      <c r="D82" s="16" t="n">
        <v>3400</v>
      </c>
      <c r="E82" s="16" t="n">
        <v>1400</v>
      </c>
      <c r="F82" s="16" t="s">
        <v>574</v>
      </c>
      <c r="G82" s="16" t="s">
        <v>575</v>
      </c>
      <c r="H82" s="16"/>
      <c r="I82" s="16" t="s">
        <v>574</v>
      </c>
      <c r="J82" s="16" t="s">
        <v>576</v>
      </c>
      <c r="K82" s="16" t="s">
        <v>574</v>
      </c>
      <c r="L82" s="16" t="s">
        <v>574</v>
      </c>
      <c r="M82" s="16" t="s">
        <v>574</v>
      </c>
      <c r="N82" s="16" t="n">
        <v>35</v>
      </c>
      <c r="O82" s="16" t="s">
        <v>574</v>
      </c>
      <c r="P82" s="16" t="n">
        <v>1400</v>
      </c>
      <c r="Q82" s="15" t="s">
        <v>574</v>
      </c>
      <c r="R82" s="16" t="s">
        <v>575</v>
      </c>
      <c r="S82" s="16" t="n">
        <v>8300</v>
      </c>
      <c r="T82" s="16" t="n">
        <v>16000</v>
      </c>
      <c r="U82" s="16"/>
      <c r="V82" s="16" t="n">
        <v>12000</v>
      </c>
      <c r="W82" s="16" t="n">
        <v>3500</v>
      </c>
      <c r="X82" s="16" t="n">
        <v>5000</v>
      </c>
      <c r="Y82" s="16" t="n">
        <v>16000</v>
      </c>
      <c r="Z82" s="16" t="n">
        <v>484</v>
      </c>
      <c r="AA82" s="16" t="s">
        <v>577</v>
      </c>
      <c r="AB82" s="16" t="n">
        <v>7800</v>
      </c>
      <c r="AC82" s="16" t="n">
        <v>4100</v>
      </c>
      <c r="AD82" s="16" t="s">
        <v>575</v>
      </c>
      <c r="AE82" s="16"/>
      <c r="AF82" s="15" t="n">
        <v>2200</v>
      </c>
      <c r="AG82" s="15" t="n">
        <v>8200</v>
      </c>
      <c r="AH82" s="16" t="s">
        <v>577</v>
      </c>
      <c r="AI82" s="16" t="s">
        <v>574</v>
      </c>
      <c r="AJ82" s="16" t="n">
        <v>25000</v>
      </c>
      <c r="AK82" s="16" t="n">
        <v>25000</v>
      </c>
      <c r="AL82" s="16"/>
      <c r="AM82" s="16" t="s">
        <v>576</v>
      </c>
      <c r="AN82" s="16" t="n">
        <v>3300</v>
      </c>
      <c r="AO82" s="16" t="n">
        <v>1000</v>
      </c>
      <c r="AP82" s="16" t="s">
        <v>574</v>
      </c>
      <c r="AQ82" s="16" t="s">
        <v>576</v>
      </c>
      <c r="AR82" s="16" t="s">
        <v>577</v>
      </c>
      <c r="AS82" s="16" t="s">
        <v>576</v>
      </c>
      <c r="AT82" s="16"/>
      <c r="AU82" s="16" t="n">
        <v>73000</v>
      </c>
      <c r="AV82" s="16"/>
      <c r="AW82" s="16" t="s">
        <v>575</v>
      </c>
      <c r="AX82" s="16" t="s">
        <v>577</v>
      </c>
      <c r="AY82" s="16" t="s">
        <v>574</v>
      </c>
      <c r="AZ82" s="16" t="n">
        <v>13000</v>
      </c>
      <c r="BA82" s="16" t="s">
        <v>575</v>
      </c>
      <c r="BB82" s="16" t="s">
        <v>576</v>
      </c>
      <c r="BC82" s="16" t="n">
        <v>3100</v>
      </c>
      <c r="BD82" s="16" t="s">
        <v>574</v>
      </c>
      <c r="BE82" s="16" t="n">
        <v>10000</v>
      </c>
      <c r="BF82" s="16" t="n">
        <v>3100</v>
      </c>
      <c r="BG82" s="16" t="n">
        <v>46000</v>
      </c>
      <c r="BH82" s="16" t="s">
        <v>576</v>
      </c>
      <c r="BI82" s="16" t="s">
        <v>576</v>
      </c>
      <c r="BJ82" s="16" t="n">
        <v>64</v>
      </c>
      <c r="BK82" s="15" t="s">
        <v>576</v>
      </c>
      <c r="BL82" s="16" t="n">
        <v>1300</v>
      </c>
      <c r="BM82" s="16" t="s">
        <v>574</v>
      </c>
      <c r="BN82" s="16" t="n">
        <v>80000</v>
      </c>
      <c r="BO82" s="16" t="s">
        <v>574</v>
      </c>
      <c r="BP82" s="16"/>
      <c r="BQ82" s="16" t="s">
        <v>574</v>
      </c>
      <c r="BR82" s="16" t="n">
        <v>4500</v>
      </c>
      <c r="BS82" s="16" t="n">
        <v>1100</v>
      </c>
      <c r="BT82" s="16" t="s">
        <v>575</v>
      </c>
      <c r="BU82" s="16" t="n">
        <v>44000</v>
      </c>
      <c r="BV82" s="16" t="n">
        <v>6400</v>
      </c>
      <c r="BW82" s="16" t="n">
        <v>6500</v>
      </c>
      <c r="BX82" s="16" t="s">
        <v>576</v>
      </c>
      <c r="BY82" s="16" t="s">
        <v>577</v>
      </c>
      <c r="BZ82" s="16" t="n">
        <v>6600</v>
      </c>
      <c r="CA82" s="16" t="s">
        <v>574</v>
      </c>
      <c r="CB82" s="16" t="s">
        <v>576</v>
      </c>
      <c r="CC82" s="16" t="n">
        <v>15000</v>
      </c>
      <c r="CD82" s="16" t="n">
        <v>5000</v>
      </c>
      <c r="CE82" s="16" t="n">
        <v>3600</v>
      </c>
      <c r="CF82" s="16" t="s">
        <v>574</v>
      </c>
      <c r="CG82" s="16"/>
      <c r="CH82" s="16" t="n">
        <v>20</v>
      </c>
      <c r="CI82" s="16" t="s">
        <v>576</v>
      </c>
      <c r="CJ82" s="16" t="n">
        <v>1600</v>
      </c>
      <c r="CK82" s="16" t="n">
        <v>93000</v>
      </c>
      <c r="CL82" s="16" t="s">
        <v>576</v>
      </c>
      <c r="CM82" s="16" t="s">
        <v>575</v>
      </c>
      <c r="CN82" s="16" t="s">
        <v>576</v>
      </c>
      <c r="CO82" s="16" t="s">
        <v>576</v>
      </c>
      <c r="CP82" s="16" t="n">
        <v>4200</v>
      </c>
      <c r="CQ82" s="16" t="s">
        <v>574</v>
      </c>
      <c r="CR82" s="16" t="s">
        <v>577</v>
      </c>
      <c r="CS82" s="16"/>
      <c r="CT82" s="16" t="n">
        <v>13000</v>
      </c>
      <c r="CU82" s="23" t="n">
        <v>9</v>
      </c>
      <c r="CV82" s="16" t="s">
        <v>575</v>
      </c>
      <c r="CW82" s="16" t="s">
        <v>577</v>
      </c>
      <c r="CX82" s="16" t="s">
        <v>575</v>
      </c>
      <c r="CY82" s="16" t="n">
        <v>89000</v>
      </c>
      <c r="CZ82" s="16" t="n">
        <v>1500</v>
      </c>
      <c r="DA82" s="16" t="n">
        <v>1700</v>
      </c>
      <c r="DB82" s="16" t="s">
        <v>574</v>
      </c>
      <c r="DC82" s="16" t="s">
        <v>576</v>
      </c>
      <c r="DD82" s="16" t="s">
        <v>574</v>
      </c>
      <c r="DE82" s="16" t="n">
        <v>2900</v>
      </c>
      <c r="DF82" s="15" t="n">
        <v>21</v>
      </c>
      <c r="DG82" s="16"/>
      <c r="DH82" s="16" t="s">
        <v>574</v>
      </c>
      <c r="DI82" s="16" t="n">
        <v>40000</v>
      </c>
      <c r="DJ82" s="16"/>
      <c r="DK82" s="16" t="n">
        <v>3600</v>
      </c>
      <c r="DL82" s="16" t="s">
        <v>576</v>
      </c>
      <c r="DM82" s="16" t="s">
        <v>574</v>
      </c>
      <c r="DN82" s="16" t="n">
        <v>76000</v>
      </c>
      <c r="DO82" s="16" t="n">
        <v>2500</v>
      </c>
      <c r="DP82" s="16" t="n">
        <v>1172</v>
      </c>
      <c r="DQ82" s="16" t="n">
        <v>64000</v>
      </c>
      <c r="DR82" s="16"/>
      <c r="DS82" s="16" t="s">
        <v>574</v>
      </c>
      <c r="DT82" s="16" t="s">
        <v>577</v>
      </c>
      <c r="DU82" s="16" t="s">
        <v>575</v>
      </c>
      <c r="DV82" s="16" t="s">
        <v>575</v>
      </c>
      <c r="DW82" s="16" t="s">
        <v>577</v>
      </c>
      <c r="DX82" s="16" t="n">
        <v>47000</v>
      </c>
      <c r="DY82" s="16" t="n">
        <v>87000</v>
      </c>
      <c r="DZ82" s="16"/>
    </row>
    <row r="83" customFormat="false" ht="15" hidden="false" customHeight="false" outlineLevel="0" collapsed="false">
      <c r="A83" s="14" t="n">
        <v>1999</v>
      </c>
      <c r="B83" s="16" t="s">
        <v>574</v>
      </c>
      <c r="C83" s="16" t="s">
        <v>574</v>
      </c>
      <c r="D83" s="16" t="n">
        <v>4000</v>
      </c>
      <c r="E83" s="16" t="n">
        <v>1300</v>
      </c>
      <c r="F83" s="16" t="s">
        <v>574</v>
      </c>
      <c r="G83" s="16" t="s">
        <v>575</v>
      </c>
      <c r="H83" s="16"/>
      <c r="I83" s="16" t="s">
        <v>574</v>
      </c>
      <c r="J83" s="16" t="s">
        <v>576</v>
      </c>
      <c r="K83" s="16" t="s">
        <v>574</v>
      </c>
      <c r="L83" s="16" t="s">
        <v>574</v>
      </c>
      <c r="M83" s="16" t="s">
        <v>574</v>
      </c>
      <c r="N83" s="16" t="n">
        <v>22</v>
      </c>
      <c r="O83" s="16" t="s">
        <v>574</v>
      </c>
      <c r="P83" s="16" t="n">
        <v>1700</v>
      </c>
      <c r="Q83" s="15" t="s">
        <v>574</v>
      </c>
      <c r="R83" s="16" t="s">
        <v>575</v>
      </c>
      <c r="S83" s="16" t="n">
        <v>10000</v>
      </c>
      <c r="T83" s="16" t="n">
        <v>13000</v>
      </c>
      <c r="U83" s="16"/>
      <c r="V83" s="16" t="n">
        <v>12000</v>
      </c>
      <c r="W83" s="16" t="n">
        <v>4100</v>
      </c>
      <c r="X83" s="16" t="n">
        <v>6600</v>
      </c>
      <c r="Y83" s="16" t="n">
        <v>19000</v>
      </c>
      <c r="Z83" s="16" t="n">
        <v>431</v>
      </c>
      <c r="AA83" s="16" t="s">
        <v>577</v>
      </c>
      <c r="AB83" s="16" t="n">
        <v>8800</v>
      </c>
      <c r="AC83" s="16" t="n">
        <v>4700</v>
      </c>
      <c r="AD83" s="16" t="s">
        <v>575</v>
      </c>
      <c r="AE83" s="16"/>
      <c r="AF83" s="15" t="n">
        <v>2500</v>
      </c>
      <c r="AG83" s="15" t="n">
        <v>8500</v>
      </c>
      <c r="AH83" s="16" t="s">
        <v>577</v>
      </c>
      <c r="AI83" s="16" t="s">
        <v>574</v>
      </c>
      <c r="AJ83" s="16" t="n">
        <v>28000</v>
      </c>
      <c r="AK83" s="16" t="n">
        <v>26000</v>
      </c>
      <c r="AL83" s="16"/>
      <c r="AM83" s="16" t="s">
        <v>576</v>
      </c>
      <c r="AN83" s="16" t="n">
        <v>3900</v>
      </c>
      <c r="AO83" s="16" t="n">
        <v>1100</v>
      </c>
      <c r="AP83" s="16" t="s">
        <v>574</v>
      </c>
      <c r="AQ83" s="16" t="s">
        <v>576</v>
      </c>
      <c r="AR83" s="16" t="s">
        <v>576</v>
      </c>
      <c r="AS83" s="16" t="s">
        <v>575</v>
      </c>
      <c r="AT83" s="16"/>
      <c r="AU83" s="16" t="n">
        <v>83000</v>
      </c>
      <c r="AV83" s="16"/>
      <c r="AW83" s="16" t="n">
        <v>1100</v>
      </c>
      <c r="AX83" s="16" t="s">
        <v>576</v>
      </c>
      <c r="AY83" s="16" t="s">
        <v>574</v>
      </c>
      <c r="AZ83" s="16" t="n">
        <v>15000</v>
      </c>
      <c r="BA83" s="16" t="s">
        <v>575</v>
      </c>
      <c r="BB83" s="16" t="s">
        <v>576</v>
      </c>
      <c r="BC83" s="16" t="n">
        <v>3600</v>
      </c>
      <c r="BD83" s="16" t="s">
        <v>577</v>
      </c>
      <c r="BE83" s="16" t="n">
        <v>12000</v>
      </c>
      <c r="BF83" s="16" t="n">
        <v>3200</v>
      </c>
      <c r="BG83" s="16" t="n">
        <v>58000</v>
      </c>
      <c r="BH83" s="16" t="s">
        <v>576</v>
      </c>
      <c r="BI83" s="16" t="s">
        <v>576</v>
      </c>
      <c r="BJ83" s="16" t="n">
        <v>47</v>
      </c>
      <c r="BK83" s="15" t="s">
        <v>575</v>
      </c>
      <c r="BL83" s="16" t="n">
        <v>1500</v>
      </c>
      <c r="BM83" s="16" t="s">
        <v>574</v>
      </c>
      <c r="BN83" s="16" t="n">
        <v>90000</v>
      </c>
      <c r="BO83" s="16" t="s">
        <v>574</v>
      </c>
      <c r="BP83" s="16"/>
      <c r="BQ83" s="16" t="s">
        <v>574</v>
      </c>
      <c r="BR83" s="16" t="n">
        <v>5700</v>
      </c>
      <c r="BS83" s="16" t="n">
        <v>1400</v>
      </c>
      <c r="BT83" s="16" t="s">
        <v>575</v>
      </c>
      <c r="BU83" s="16" t="n">
        <v>48000</v>
      </c>
      <c r="BV83" s="16" t="n">
        <v>7100</v>
      </c>
      <c r="BW83" s="16" t="n">
        <v>6800</v>
      </c>
      <c r="BX83" s="16" t="s">
        <v>576</v>
      </c>
      <c r="BY83" s="16" t="s">
        <v>577</v>
      </c>
      <c r="BZ83" s="16" t="n">
        <v>7700</v>
      </c>
      <c r="CA83" s="16" t="s">
        <v>574</v>
      </c>
      <c r="CB83" s="16" t="s">
        <v>576</v>
      </c>
      <c r="CC83" s="16" t="n">
        <v>18000</v>
      </c>
      <c r="CD83" s="16" t="n">
        <v>6300</v>
      </c>
      <c r="CE83" s="16" t="n">
        <v>4800</v>
      </c>
      <c r="CF83" s="16" t="s">
        <v>577</v>
      </c>
      <c r="CG83" s="16"/>
      <c r="CH83" s="16" t="n">
        <v>18</v>
      </c>
      <c r="CI83" s="16" t="s">
        <v>575</v>
      </c>
      <c r="CJ83" s="16" t="n">
        <v>2000</v>
      </c>
      <c r="CK83" s="16" t="n">
        <v>110000</v>
      </c>
      <c r="CL83" s="16" t="s">
        <v>576</v>
      </c>
      <c r="CM83" s="16" t="s">
        <v>575</v>
      </c>
      <c r="CN83" s="16" t="s">
        <v>575</v>
      </c>
      <c r="CO83" s="16" t="s">
        <v>576</v>
      </c>
      <c r="CP83" s="16" t="n">
        <v>4300</v>
      </c>
      <c r="CQ83" s="16" t="s">
        <v>574</v>
      </c>
      <c r="CR83" s="16" t="s">
        <v>577</v>
      </c>
      <c r="CS83" s="16"/>
      <c r="CT83" s="16" t="n">
        <v>14000</v>
      </c>
      <c r="CU83" s="23" t="n">
        <v>11</v>
      </c>
      <c r="CV83" s="16" t="s">
        <v>575</v>
      </c>
      <c r="CW83" s="16" t="s">
        <v>576</v>
      </c>
      <c r="CX83" s="16" t="s">
        <v>575</v>
      </c>
      <c r="CY83" s="16" t="n">
        <v>120000</v>
      </c>
      <c r="CZ83" s="16" t="n">
        <v>2000</v>
      </c>
      <c r="DA83" s="16" t="n">
        <v>1200</v>
      </c>
      <c r="DB83" s="16" t="s">
        <v>574</v>
      </c>
      <c r="DC83" s="16" t="s">
        <v>576</v>
      </c>
      <c r="DD83" s="16" t="s">
        <v>574</v>
      </c>
      <c r="DE83" s="16" t="n">
        <v>3700</v>
      </c>
      <c r="DF83" s="15" t="n">
        <v>20</v>
      </c>
      <c r="DG83" s="16"/>
      <c r="DH83" s="16" t="s">
        <v>574</v>
      </c>
      <c r="DI83" s="16" t="n">
        <v>45000</v>
      </c>
      <c r="DJ83" s="16"/>
      <c r="DK83" s="16" t="n">
        <v>4300</v>
      </c>
      <c r="DL83" s="16" t="s">
        <v>576</v>
      </c>
      <c r="DM83" s="16" t="s">
        <v>574</v>
      </c>
      <c r="DN83" s="16" t="n">
        <v>76000</v>
      </c>
      <c r="DO83" s="16" t="n">
        <v>3200</v>
      </c>
      <c r="DP83" s="16" t="n">
        <v>684</v>
      </c>
      <c r="DQ83" s="16" t="n">
        <v>70000</v>
      </c>
      <c r="DR83" s="16"/>
      <c r="DS83" s="16" t="s">
        <v>577</v>
      </c>
      <c r="DT83" s="16" t="s">
        <v>577</v>
      </c>
      <c r="DU83" s="16" t="s">
        <v>575</v>
      </c>
      <c r="DV83" s="16" t="n">
        <v>1400</v>
      </c>
      <c r="DW83" s="16" t="s">
        <v>577</v>
      </c>
      <c r="DX83" s="16" t="n">
        <v>50000</v>
      </c>
      <c r="DY83" s="16" t="n">
        <v>95000</v>
      </c>
      <c r="DZ83" s="16"/>
    </row>
    <row r="84" customFormat="false" ht="15" hidden="false" customHeight="false" outlineLevel="0" collapsed="false">
      <c r="A84" s="14" t="n">
        <v>2000</v>
      </c>
      <c r="B84" s="16" t="s">
        <v>574</v>
      </c>
      <c r="C84" s="16" t="s">
        <v>574</v>
      </c>
      <c r="D84" s="16" t="n">
        <v>4600</v>
      </c>
      <c r="E84" s="16" t="n">
        <v>1400</v>
      </c>
      <c r="F84" s="16" t="s">
        <v>574</v>
      </c>
      <c r="G84" s="16" t="s">
        <v>575</v>
      </c>
      <c r="H84" s="16"/>
      <c r="I84" s="16" t="s">
        <v>574</v>
      </c>
      <c r="J84" s="16" t="s">
        <v>576</v>
      </c>
      <c r="K84" s="16" t="s">
        <v>574</v>
      </c>
      <c r="L84" s="16" t="s">
        <v>574</v>
      </c>
      <c r="M84" s="16" t="s">
        <v>577</v>
      </c>
      <c r="N84" s="16" t="n">
        <v>30</v>
      </c>
      <c r="O84" s="16" t="s">
        <v>574</v>
      </c>
      <c r="P84" s="16" t="n">
        <v>2100</v>
      </c>
      <c r="Q84" s="15" t="s">
        <v>574</v>
      </c>
      <c r="R84" s="16" t="s">
        <v>575</v>
      </c>
      <c r="S84" s="16" t="n">
        <v>12000</v>
      </c>
      <c r="T84" s="16" t="n">
        <v>13000</v>
      </c>
      <c r="U84" s="16"/>
      <c r="V84" s="16" t="n">
        <v>12000</v>
      </c>
      <c r="W84" s="16" t="n">
        <v>4800</v>
      </c>
      <c r="X84" s="16" t="n">
        <v>8000</v>
      </c>
      <c r="Y84" s="16" t="n">
        <v>21000</v>
      </c>
      <c r="Z84" s="16" t="n">
        <v>511</v>
      </c>
      <c r="AA84" s="16" t="s">
        <v>577</v>
      </c>
      <c r="AB84" s="16" t="n">
        <v>9700</v>
      </c>
      <c r="AC84" s="16" t="n">
        <v>5400</v>
      </c>
      <c r="AD84" s="16" t="s">
        <v>575</v>
      </c>
      <c r="AE84" s="16"/>
      <c r="AF84" s="15" t="n">
        <v>2800</v>
      </c>
      <c r="AG84" s="15" t="n">
        <v>8800</v>
      </c>
      <c r="AH84" s="16" t="s">
        <v>577</v>
      </c>
      <c r="AI84" s="16" t="s">
        <v>577</v>
      </c>
      <c r="AJ84" s="16" t="n">
        <v>30000</v>
      </c>
      <c r="AK84" s="16" t="n">
        <v>27000</v>
      </c>
      <c r="AL84" s="16"/>
      <c r="AM84" s="16" t="s">
        <v>576</v>
      </c>
      <c r="AN84" s="16" t="n">
        <v>4600</v>
      </c>
      <c r="AO84" s="16" t="n">
        <v>1300</v>
      </c>
      <c r="AP84" s="16" t="s">
        <v>574</v>
      </c>
      <c r="AQ84" s="16" t="s">
        <v>576</v>
      </c>
      <c r="AR84" s="16" t="s">
        <v>576</v>
      </c>
      <c r="AS84" s="16" t="s">
        <v>575</v>
      </c>
      <c r="AT84" s="16"/>
      <c r="AU84" s="16" t="n">
        <v>92000</v>
      </c>
      <c r="AV84" s="16"/>
      <c r="AW84" s="16" t="n">
        <v>1400</v>
      </c>
      <c r="AX84" s="16" t="s">
        <v>576</v>
      </c>
      <c r="AY84" s="16" t="s">
        <v>574</v>
      </c>
      <c r="AZ84" s="16" t="n">
        <v>16000</v>
      </c>
      <c r="BA84" s="16" t="s">
        <v>575</v>
      </c>
      <c r="BB84" s="16" t="s">
        <v>576</v>
      </c>
      <c r="BC84" s="16" t="n">
        <v>4100</v>
      </c>
      <c r="BD84" s="16" t="s">
        <v>577</v>
      </c>
      <c r="BE84" s="16" t="n">
        <v>13000</v>
      </c>
      <c r="BF84" s="16" t="n">
        <v>3200</v>
      </c>
      <c r="BG84" s="16" t="n">
        <v>72000</v>
      </c>
      <c r="BH84" s="16" t="s">
        <v>575</v>
      </c>
      <c r="BI84" s="16" t="s">
        <v>575</v>
      </c>
      <c r="BJ84" s="16" t="n">
        <v>45</v>
      </c>
      <c r="BK84" s="15" t="s">
        <v>575</v>
      </c>
      <c r="BL84" s="16" t="n">
        <v>1700</v>
      </c>
      <c r="BM84" s="16" t="s">
        <v>577</v>
      </c>
      <c r="BN84" s="16" t="n">
        <v>98000</v>
      </c>
      <c r="BO84" s="16" t="s">
        <v>574</v>
      </c>
      <c r="BP84" s="16"/>
      <c r="BQ84" s="16" t="s">
        <v>574</v>
      </c>
      <c r="BR84" s="16" t="n">
        <v>7000</v>
      </c>
      <c r="BS84" s="16" t="n">
        <v>1600</v>
      </c>
      <c r="BT84" s="16" t="n">
        <v>1100</v>
      </c>
      <c r="BU84" s="16" t="n">
        <v>53000</v>
      </c>
      <c r="BV84" s="16" t="n">
        <v>7700</v>
      </c>
      <c r="BW84" s="16" t="n">
        <v>7000</v>
      </c>
      <c r="BX84" s="16" t="s">
        <v>576</v>
      </c>
      <c r="BY84" s="16" t="s">
        <v>576</v>
      </c>
      <c r="BZ84" s="16" t="n">
        <v>8400</v>
      </c>
      <c r="CA84" s="16" t="s">
        <v>574</v>
      </c>
      <c r="CB84" s="16" t="s">
        <v>576</v>
      </c>
      <c r="CC84" s="16" t="n">
        <v>22000</v>
      </c>
      <c r="CD84" s="16" t="n">
        <v>7600</v>
      </c>
      <c r="CE84" s="16" t="n">
        <v>6100</v>
      </c>
      <c r="CF84" s="16" t="s">
        <v>576</v>
      </c>
      <c r="CG84" s="16"/>
      <c r="CH84" s="16" t="n">
        <v>19</v>
      </c>
      <c r="CI84" s="16" t="s">
        <v>575</v>
      </c>
      <c r="CJ84" s="16" t="n">
        <v>2400</v>
      </c>
      <c r="CK84" s="16" t="n">
        <v>120000</v>
      </c>
      <c r="CL84" s="16" t="s">
        <v>576</v>
      </c>
      <c r="CM84" s="16" t="s">
        <v>576</v>
      </c>
      <c r="CN84" s="16" t="s">
        <v>575</v>
      </c>
      <c r="CO84" s="16" t="s">
        <v>576</v>
      </c>
      <c r="CP84" s="16" t="n">
        <v>4300</v>
      </c>
      <c r="CQ84" s="16" t="s">
        <v>574</v>
      </c>
      <c r="CR84" s="16" t="s">
        <v>576</v>
      </c>
      <c r="CS84" s="16"/>
      <c r="CT84" s="16" t="n">
        <v>15000</v>
      </c>
      <c r="CU84" s="23" t="n">
        <v>7</v>
      </c>
      <c r="CV84" s="16" t="n">
        <v>1100</v>
      </c>
      <c r="CW84" s="16" t="s">
        <v>576</v>
      </c>
      <c r="CX84" s="16" t="s">
        <v>575</v>
      </c>
      <c r="CY84" s="16" t="n">
        <v>160000</v>
      </c>
      <c r="CZ84" s="16" t="n">
        <v>2600</v>
      </c>
      <c r="DA84" s="16" t="n">
        <v>1000</v>
      </c>
      <c r="DB84" s="16" t="s">
        <v>574</v>
      </c>
      <c r="DC84" s="16" t="s">
        <v>576</v>
      </c>
      <c r="DD84" s="16" t="s">
        <v>574</v>
      </c>
      <c r="DE84" s="16" t="n">
        <v>4500</v>
      </c>
      <c r="DF84" s="15" t="n">
        <v>12</v>
      </c>
      <c r="DG84" s="16"/>
      <c r="DH84" s="16" t="s">
        <v>577</v>
      </c>
      <c r="DI84" s="16" t="n">
        <v>48000</v>
      </c>
      <c r="DJ84" s="16"/>
      <c r="DK84" s="16" t="n">
        <v>5000</v>
      </c>
      <c r="DL84" s="16" t="s">
        <v>576</v>
      </c>
      <c r="DM84" s="16" t="s">
        <v>574</v>
      </c>
      <c r="DN84" s="16" t="n">
        <v>75000</v>
      </c>
      <c r="DO84" s="16" t="n">
        <v>4200</v>
      </c>
      <c r="DP84" s="16" t="n">
        <v>598</v>
      </c>
      <c r="DQ84" s="16" t="n">
        <v>75000</v>
      </c>
      <c r="DR84" s="16"/>
      <c r="DS84" s="16" t="s">
        <v>577</v>
      </c>
      <c r="DT84" s="16" t="s">
        <v>576</v>
      </c>
      <c r="DU84" s="16" t="n">
        <v>1300</v>
      </c>
      <c r="DV84" s="16" t="n">
        <v>2200</v>
      </c>
      <c r="DW84" s="16" t="s">
        <v>577</v>
      </c>
      <c r="DX84" s="16" t="n">
        <v>52000</v>
      </c>
      <c r="DY84" s="16" t="n">
        <v>100000</v>
      </c>
      <c r="DZ84" s="16"/>
    </row>
    <row r="85" customFormat="false" ht="15" hidden="false" customHeight="false" outlineLevel="0" collapsed="false">
      <c r="A85" s="14" t="n">
        <v>2001</v>
      </c>
      <c r="B85" s="16" t="s">
        <v>574</v>
      </c>
      <c r="C85" s="16" t="s">
        <v>577</v>
      </c>
      <c r="D85" s="16" t="n">
        <v>5300</v>
      </c>
      <c r="E85" s="16" t="n">
        <v>1400</v>
      </c>
      <c r="F85" s="16" t="s">
        <v>574</v>
      </c>
      <c r="G85" s="16" t="s">
        <v>575</v>
      </c>
      <c r="H85" s="16"/>
      <c r="I85" s="16" t="s">
        <v>574</v>
      </c>
      <c r="J85" s="16" t="s">
        <v>576</v>
      </c>
      <c r="K85" s="16" t="s">
        <v>574</v>
      </c>
      <c r="L85" s="16" t="s">
        <v>574</v>
      </c>
      <c r="M85" s="16" t="s">
        <v>577</v>
      </c>
      <c r="N85" s="16" t="n">
        <v>30</v>
      </c>
      <c r="O85" s="16" t="s">
        <v>574</v>
      </c>
      <c r="P85" s="16" t="n">
        <v>2400</v>
      </c>
      <c r="Q85" s="15" t="s">
        <v>574</v>
      </c>
      <c r="R85" s="16" t="s">
        <v>575</v>
      </c>
      <c r="S85" s="16" t="n">
        <v>13000</v>
      </c>
      <c r="T85" s="16" t="n">
        <v>13000</v>
      </c>
      <c r="U85" s="10"/>
      <c r="V85" s="16" t="n">
        <v>12000</v>
      </c>
      <c r="W85" s="16" t="n">
        <v>5500</v>
      </c>
      <c r="X85" s="16" t="n">
        <v>9100</v>
      </c>
      <c r="Y85" s="16" t="n">
        <v>24000</v>
      </c>
      <c r="Z85" s="16" t="n">
        <v>435</v>
      </c>
      <c r="AA85" s="16" t="s">
        <v>577</v>
      </c>
      <c r="AB85" s="16" t="n">
        <v>10000</v>
      </c>
      <c r="AC85" s="16" t="n">
        <v>6100</v>
      </c>
      <c r="AD85" s="16" t="s">
        <v>575</v>
      </c>
      <c r="AE85" s="16"/>
      <c r="AF85" s="15" t="n">
        <v>3000</v>
      </c>
      <c r="AG85" s="15" t="n">
        <v>9000</v>
      </c>
      <c r="AH85" s="16" t="s">
        <v>577</v>
      </c>
      <c r="AI85" s="16" t="s">
        <v>577</v>
      </c>
      <c r="AJ85" s="16" t="n">
        <v>32000</v>
      </c>
      <c r="AK85" s="16" t="n">
        <v>28000</v>
      </c>
      <c r="AL85" s="16"/>
      <c r="AM85" s="16" t="s">
        <v>576</v>
      </c>
      <c r="AN85" s="16" t="n">
        <v>5200</v>
      </c>
      <c r="AO85" s="16" t="n">
        <v>1400</v>
      </c>
      <c r="AP85" s="16" t="s">
        <v>574</v>
      </c>
      <c r="AQ85" s="16" t="s">
        <v>575</v>
      </c>
      <c r="AR85" s="16" t="s">
        <v>576</v>
      </c>
      <c r="AS85" s="16" t="s">
        <v>575</v>
      </c>
      <c r="AT85" s="16"/>
      <c r="AU85" s="16" t="n">
        <v>100000</v>
      </c>
      <c r="AV85" s="16"/>
      <c r="AW85" s="16" t="n">
        <v>1600</v>
      </c>
      <c r="AX85" s="16" t="s">
        <v>576</v>
      </c>
      <c r="AY85" s="16" t="s">
        <v>574</v>
      </c>
      <c r="AZ85" s="16" t="n">
        <v>17000</v>
      </c>
      <c r="BA85" s="16" t="s">
        <v>576</v>
      </c>
      <c r="BB85" s="16" t="s">
        <v>576</v>
      </c>
      <c r="BC85" s="16" t="n">
        <v>4600</v>
      </c>
      <c r="BD85" s="16" t="s">
        <v>577</v>
      </c>
      <c r="BE85" s="16" t="n">
        <v>15000</v>
      </c>
      <c r="BF85" s="16" t="n">
        <v>3200</v>
      </c>
      <c r="BG85" s="16" t="n">
        <v>86000</v>
      </c>
      <c r="BH85" s="16" t="s">
        <v>575</v>
      </c>
      <c r="BI85" s="16" t="s">
        <v>575</v>
      </c>
      <c r="BJ85" s="16" t="n">
        <v>54</v>
      </c>
      <c r="BK85" s="15" t="n">
        <v>1200</v>
      </c>
      <c r="BL85" s="16" t="n">
        <v>1800</v>
      </c>
      <c r="BM85" s="16" t="s">
        <v>577</v>
      </c>
      <c r="BN85" s="16" t="n">
        <v>100000</v>
      </c>
      <c r="BO85" s="16" t="s">
        <v>574</v>
      </c>
      <c r="BP85" s="16"/>
      <c r="BQ85" s="16" t="s">
        <v>574</v>
      </c>
      <c r="BR85" s="16" t="n">
        <v>8300</v>
      </c>
      <c r="BS85" s="16" t="n">
        <v>1800</v>
      </c>
      <c r="BT85" s="16" t="n">
        <v>1400</v>
      </c>
      <c r="BU85" s="16" t="n">
        <v>57000</v>
      </c>
      <c r="BV85" s="16" t="n">
        <v>8100</v>
      </c>
      <c r="BW85" s="16" t="n">
        <v>7100</v>
      </c>
      <c r="BX85" s="16" t="s">
        <v>575</v>
      </c>
      <c r="BY85" s="16" t="s">
        <v>576</v>
      </c>
      <c r="BZ85" s="16" t="n">
        <v>8500</v>
      </c>
      <c r="CA85" s="16" t="s">
        <v>574</v>
      </c>
      <c r="CB85" s="16" t="s">
        <v>576</v>
      </c>
      <c r="CC85" s="16" t="n">
        <v>26000</v>
      </c>
      <c r="CD85" s="16" t="n">
        <v>9100</v>
      </c>
      <c r="CE85" s="16" t="n">
        <v>7300</v>
      </c>
      <c r="CF85" s="16" t="s">
        <v>576</v>
      </c>
      <c r="CG85" s="16"/>
      <c r="CH85" s="16" t="n">
        <v>15</v>
      </c>
      <c r="CI85" s="16" t="s">
        <v>575</v>
      </c>
      <c r="CJ85" s="16" t="n">
        <v>2800</v>
      </c>
      <c r="CK85" s="16" t="n">
        <v>140000</v>
      </c>
      <c r="CL85" s="16" t="s">
        <v>576</v>
      </c>
      <c r="CM85" s="16" t="s">
        <v>576</v>
      </c>
      <c r="CN85" s="16" t="s">
        <v>575</v>
      </c>
      <c r="CO85" s="16" t="s">
        <v>576</v>
      </c>
      <c r="CP85" s="16" t="n">
        <v>4400</v>
      </c>
      <c r="CQ85" s="16" t="s">
        <v>574</v>
      </c>
      <c r="CR85" s="16" t="s">
        <v>576</v>
      </c>
      <c r="CS85" s="16"/>
      <c r="CT85" s="16" t="n">
        <v>15000</v>
      </c>
      <c r="CU85" s="23" t="n">
        <v>4</v>
      </c>
      <c r="CV85" s="16" t="n">
        <v>1300</v>
      </c>
      <c r="CW85" s="16" t="s">
        <v>575</v>
      </c>
      <c r="CX85" s="16" t="n">
        <v>1000</v>
      </c>
      <c r="CY85" s="16" t="n">
        <v>200000</v>
      </c>
      <c r="CZ85" s="16" t="n">
        <v>3300</v>
      </c>
      <c r="DA85" s="16" t="s">
        <v>575</v>
      </c>
      <c r="DB85" s="16" t="s">
        <v>574</v>
      </c>
      <c r="DC85" s="16" t="s">
        <v>575</v>
      </c>
      <c r="DD85" s="16" t="s">
        <v>577</v>
      </c>
      <c r="DE85" s="16" t="n">
        <v>5400</v>
      </c>
      <c r="DF85" s="15" t="n">
        <v>18</v>
      </c>
      <c r="DG85" s="16"/>
      <c r="DH85" s="16" t="s">
        <v>577</v>
      </c>
      <c r="DI85" s="16" t="n">
        <v>50000</v>
      </c>
      <c r="DJ85" s="16"/>
      <c r="DK85" s="16" t="n">
        <v>5700</v>
      </c>
      <c r="DL85" s="16" t="s">
        <v>576</v>
      </c>
      <c r="DM85" s="16" t="s">
        <v>574</v>
      </c>
      <c r="DN85" s="16" t="n">
        <v>73000</v>
      </c>
      <c r="DO85" s="16" t="n">
        <v>5400</v>
      </c>
      <c r="DP85" s="16" t="n">
        <v>540</v>
      </c>
      <c r="DQ85" s="16" t="n">
        <v>79000</v>
      </c>
      <c r="DR85" s="16"/>
      <c r="DS85" s="16" t="s">
        <v>577</v>
      </c>
      <c r="DT85" s="16" t="s">
        <v>576</v>
      </c>
      <c r="DU85" s="16" t="n">
        <v>1400</v>
      </c>
      <c r="DV85" s="16" t="n">
        <v>3300</v>
      </c>
      <c r="DW85" s="16" t="s">
        <v>577</v>
      </c>
      <c r="DX85" s="16" t="n">
        <v>55000</v>
      </c>
      <c r="DY85" s="16" t="n">
        <v>100000</v>
      </c>
      <c r="DZ85" s="16"/>
    </row>
    <row r="86" customFormat="false" ht="15" hidden="false" customHeight="false" outlineLevel="0" collapsed="false">
      <c r="A86" s="14" t="n">
        <v>2002</v>
      </c>
      <c r="B86" s="16" t="s">
        <v>577</v>
      </c>
      <c r="C86" s="16" t="s">
        <v>577</v>
      </c>
      <c r="D86" s="16" t="n">
        <v>6100</v>
      </c>
      <c r="E86" s="16" t="n">
        <v>1500</v>
      </c>
      <c r="F86" s="16" t="s">
        <v>574</v>
      </c>
      <c r="G86" s="16" t="s">
        <v>575</v>
      </c>
      <c r="H86" s="16"/>
      <c r="I86" s="16" t="s">
        <v>574</v>
      </c>
      <c r="J86" s="16" t="s">
        <v>576</v>
      </c>
      <c r="K86" s="16" t="s">
        <v>574</v>
      </c>
      <c r="L86" s="133" t="s">
        <v>574</v>
      </c>
      <c r="M86" s="133" t="s">
        <v>576</v>
      </c>
      <c r="N86" s="133" t="n">
        <v>25</v>
      </c>
      <c r="O86" s="16" t="s">
        <v>574</v>
      </c>
      <c r="P86" s="16" t="n">
        <v>2800</v>
      </c>
      <c r="Q86" s="15" t="s">
        <v>574</v>
      </c>
      <c r="R86" s="16" t="s">
        <v>575</v>
      </c>
      <c r="S86" s="16" t="n">
        <v>14000</v>
      </c>
      <c r="T86" s="16" t="n">
        <v>13000</v>
      </c>
      <c r="U86" s="10"/>
      <c r="V86" s="16" t="n">
        <v>12000</v>
      </c>
      <c r="W86" s="16" t="n">
        <v>6000</v>
      </c>
      <c r="X86" s="16" t="n">
        <v>9800</v>
      </c>
      <c r="Y86" s="16" t="n">
        <v>26000</v>
      </c>
      <c r="Z86" s="16" t="n">
        <v>405</v>
      </c>
      <c r="AA86" s="16" t="s">
        <v>577</v>
      </c>
      <c r="AB86" s="16" t="n">
        <v>11000</v>
      </c>
      <c r="AC86" s="16" t="n">
        <v>6800</v>
      </c>
      <c r="AD86" s="16" t="s">
        <v>575</v>
      </c>
      <c r="AE86" s="16"/>
      <c r="AF86" s="15" t="n">
        <v>3000</v>
      </c>
      <c r="AG86" s="15" t="n">
        <v>9100</v>
      </c>
      <c r="AH86" s="16" t="s">
        <v>574</v>
      </c>
      <c r="AI86" s="16" t="s">
        <v>574</v>
      </c>
      <c r="AJ86" s="16" t="n">
        <v>33000</v>
      </c>
      <c r="AK86" s="16" t="n">
        <v>29000</v>
      </c>
      <c r="AL86" s="16"/>
      <c r="AM86" s="16" t="s">
        <v>575</v>
      </c>
      <c r="AN86" s="16" t="n">
        <v>5800</v>
      </c>
      <c r="AO86" s="16" t="n">
        <v>1500</v>
      </c>
      <c r="AP86" s="16" t="s">
        <v>574</v>
      </c>
      <c r="AQ86" s="16" t="s">
        <v>575</v>
      </c>
      <c r="AR86" s="16" t="s">
        <v>576</v>
      </c>
      <c r="AS86" s="16" t="n">
        <v>1000</v>
      </c>
      <c r="AT86" s="16"/>
      <c r="AU86" s="16" t="n">
        <v>110000</v>
      </c>
      <c r="AV86" s="16"/>
      <c r="AW86" s="16" t="n">
        <v>1800</v>
      </c>
      <c r="AX86" s="16" t="s">
        <v>576</v>
      </c>
      <c r="AY86" s="16" t="s">
        <v>577</v>
      </c>
      <c r="AZ86" s="16" t="n">
        <v>19000</v>
      </c>
      <c r="BA86" s="16" t="s">
        <v>576</v>
      </c>
      <c r="BB86" s="16" t="s">
        <v>575</v>
      </c>
      <c r="BC86" s="16" t="n">
        <v>4900</v>
      </c>
      <c r="BD86" s="16" t="s">
        <v>577</v>
      </c>
      <c r="BE86" s="16" t="n">
        <v>16000</v>
      </c>
      <c r="BF86" s="16" t="n">
        <v>3200</v>
      </c>
      <c r="BG86" s="16" t="n">
        <v>100000</v>
      </c>
      <c r="BH86" s="16" t="n">
        <v>1500</v>
      </c>
      <c r="BI86" s="16" t="s">
        <v>575</v>
      </c>
      <c r="BJ86" s="16" t="n">
        <v>51</v>
      </c>
      <c r="BK86" s="15" t="n">
        <v>1300</v>
      </c>
      <c r="BL86" s="16" t="n">
        <v>1900</v>
      </c>
      <c r="BM86" s="16" t="s">
        <v>577</v>
      </c>
      <c r="BN86" s="16" t="n">
        <v>110000</v>
      </c>
      <c r="BO86" s="16" t="s">
        <v>574</v>
      </c>
      <c r="BP86" s="16"/>
      <c r="BQ86" s="16" t="s">
        <v>574</v>
      </c>
      <c r="BR86" s="16" t="n">
        <v>9600</v>
      </c>
      <c r="BS86" s="16" t="n">
        <v>2000</v>
      </c>
      <c r="BT86" s="16" t="n">
        <v>1800</v>
      </c>
      <c r="BU86" s="16" t="n">
        <v>60000</v>
      </c>
      <c r="BV86" s="16" t="n">
        <v>8100</v>
      </c>
      <c r="BW86" s="16" t="n">
        <v>7100</v>
      </c>
      <c r="BX86" s="16" t="s">
        <v>575</v>
      </c>
      <c r="BY86" s="16" t="s">
        <v>576</v>
      </c>
      <c r="BZ86" s="16" t="n">
        <v>8300</v>
      </c>
      <c r="CA86" s="16" t="s">
        <v>574</v>
      </c>
      <c r="CB86" s="16" t="s">
        <v>576</v>
      </c>
      <c r="CC86" s="16" t="n">
        <v>30000</v>
      </c>
      <c r="CD86" s="16" t="n">
        <v>11000</v>
      </c>
      <c r="CE86" s="16" t="n">
        <v>8600</v>
      </c>
      <c r="CF86" s="16" t="s">
        <v>575</v>
      </c>
      <c r="CG86" s="16"/>
      <c r="CH86" s="16" t="n">
        <v>11</v>
      </c>
      <c r="CI86" s="16" t="s">
        <v>575</v>
      </c>
      <c r="CJ86" s="16" t="n">
        <v>3200</v>
      </c>
      <c r="CK86" s="16" t="n">
        <v>150000</v>
      </c>
      <c r="CL86" s="16" t="s">
        <v>576</v>
      </c>
      <c r="CM86" s="16" t="s">
        <v>575</v>
      </c>
      <c r="CN86" s="16" t="n">
        <v>1100</v>
      </c>
      <c r="CO86" s="16" t="s">
        <v>575</v>
      </c>
      <c r="CP86" s="16" t="n">
        <v>4300</v>
      </c>
      <c r="CQ86" s="16" t="s">
        <v>577</v>
      </c>
      <c r="CR86" s="16" t="s">
        <v>576</v>
      </c>
      <c r="CS86" s="16"/>
      <c r="CT86" s="16" t="n">
        <v>15000</v>
      </c>
      <c r="CU86" s="23" t="n">
        <v>10</v>
      </c>
      <c r="CV86" s="16" t="n">
        <v>1400</v>
      </c>
      <c r="CW86" s="16" t="s">
        <v>575</v>
      </c>
      <c r="CX86" s="16" t="n">
        <v>1200</v>
      </c>
      <c r="CY86" s="16" t="n">
        <v>240000</v>
      </c>
      <c r="CZ86" s="16" t="n">
        <v>4000</v>
      </c>
      <c r="DA86" s="16" t="s">
        <v>575</v>
      </c>
      <c r="DB86" s="16" t="s">
        <v>574</v>
      </c>
      <c r="DC86" s="16" t="s">
        <v>575</v>
      </c>
      <c r="DD86" s="16" t="s">
        <v>577</v>
      </c>
      <c r="DE86" s="16" t="n">
        <v>6000</v>
      </c>
      <c r="DF86" s="15" t="n">
        <v>22</v>
      </c>
      <c r="DG86" s="16"/>
      <c r="DH86" s="16" t="s">
        <v>576</v>
      </c>
      <c r="DI86" s="16" t="n">
        <v>49000</v>
      </c>
      <c r="DJ86" s="16"/>
      <c r="DK86" s="16" t="n">
        <v>6500</v>
      </c>
      <c r="DL86" s="16" t="s">
        <v>576</v>
      </c>
      <c r="DM86" s="16" t="s">
        <v>574</v>
      </c>
      <c r="DN86" s="16" t="n">
        <v>70000</v>
      </c>
      <c r="DO86" s="16" t="n">
        <v>6900</v>
      </c>
      <c r="DP86" s="16" t="n">
        <v>540</v>
      </c>
      <c r="DQ86" s="16" t="n">
        <v>83000</v>
      </c>
      <c r="DR86" s="16" t="n">
        <v>12079</v>
      </c>
      <c r="DS86" s="16" t="s">
        <v>577</v>
      </c>
      <c r="DT86" s="16" t="s">
        <v>575</v>
      </c>
      <c r="DU86" s="16" t="n">
        <v>1200</v>
      </c>
      <c r="DV86" s="16" t="n">
        <v>4600</v>
      </c>
      <c r="DW86" s="16" t="s">
        <v>577</v>
      </c>
      <c r="DX86" s="16" t="n">
        <v>56000</v>
      </c>
      <c r="DY86" s="16" t="n">
        <v>110000</v>
      </c>
      <c r="DZ86" s="16"/>
    </row>
    <row r="87" customFormat="false" ht="15" hidden="false" customHeight="false" outlineLevel="0" collapsed="false">
      <c r="A87" s="14" t="n">
        <v>2003</v>
      </c>
      <c r="B87" s="16" t="s">
        <v>577</v>
      </c>
      <c r="C87" s="16" t="s">
        <v>577</v>
      </c>
      <c r="D87" s="16" t="n">
        <v>6900</v>
      </c>
      <c r="E87" s="16" t="n">
        <v>1600</v>
      </c>
      <c r="F87" s="16" t="s">
        <v>574</v>
      </c>
      <c r="G87" s="16" t="s">
        <v>575</v>
      </c>
      <c r="H87" s="16"/>
      <c r="I87" s="16" t="s">
        <v>574</v>
      </c>
      <c r="J87" s="16" t="s">
        <v>576</v>
      </c>
      <c r="K87" s="16" t="s">
        <v>577</v>
      </c>
      <c r="L87" s="16" t="s">
        <v>574</v>
      </c>
      <c r="M87" s="16" t="s">
        <v>576</v>
      </c>
      <c r="N87" s="16" t="n">
        <v>27</v>
      </c>
      <c r="O87" s="16" t="s">
        <v>574</v>
      </c>
      <c r="P87" s="16" t="n">
        <v>3100</v>
      </c>
      <c r="Q87" s="15" t="s">
        <v>574</v>
      </c>
      <c r="R87" s="16" t="s">
        <v>575</v>
      </c>
      <c r="S87" s="16" t="n">
        <v>14000</v>
      </c>
      <c r="T87" s="16" t="n">
        <v>14000</v>
      </c>
      <c r="U87" s="10"/>
      <c r="V87" s="16" t="n">
        <v>11000</v>
      </c>
      <c r="W87" s="16" t="n">
        <v>6600</v>
      </c>
      <c r="X87" s="16" t="n">
        <v>9900</v>
      </c>
      <c r="Y87" s="16" t="n">
        <v>28000</v>
      </c>
      <c r="Z87" s="16" t="n">
        <v>440</v>
      </c>
      <c r="AA87" s="16" t="s">
        <v>577</v>
      </c>
      <c r="AB87" s="16" t="n">
        <v>11000</v>
      </c>
      <c r="AC87" s="16" t="n">
        <v>7600</v>
      </c>
      <c r="AD87" s="16" t="s">
        <v>575</v>
      </c>
      <c r="AE87" s="16"/>
      <c r="AF87" s="15" t="n">
        <v>3000</v>
      </c>
      <c r="AG87" s="15" t="n">
        <v>9100</v>
      </c>
      <c r="AH87" s="16" t="s">
        <v>577</v>
      </c>
      <c r="AI87" s="16" t="s">
        <v>574</v>
      </c>
      <c r="AJ87" s="16" t="n">
        <v>34000</v>
      </c>
      <c r="AK87" s="16" t="n">
        <v>30000</v>
      </c>
      <c r="AL87" s="16"/>
      <c r="AM87" s="16" t="s">
        <v>575</v>
      </c>
      <c r="AN87" s="16" t="n">
        <v>6300</v>
      </c>
      <c r="AO87" s="16" t="n">
        <v>1500</v>
      </c>
      <c r="AP87" s="16" t="s">
        <v>574</v>
      </c>
      <c r="AQ87" s="16" t="s">
        <v>575</v>
      </c>
      <c r="AR87" s="16" t="s">
        <v>576</v>
      </c>
      <c r="AS87" s="16" t="n">
        <v>1100</v>
      </c>
      <c r="AT87" s="16"/>
      <c r="AU87" s="16" t="n">
        <v>110000</v>
      </c>
      <c r="AV87" s="16"/>
      <c r="AW87" s="16" t="n">
        <v>2000</v>
      </c>
      <c r="AX87" s="16" t="s">
        <v>575</v>
      </c>
      <c r="AY87" s="16" t="s">
        <v>577</v>
      </c>
      <c r="AZ87" s="16" t="n">
        <v>20000</v>
      </c>
      <c r="BA87" s="16" t="s">
        <v>576</v>
      </c>
      <c r="BB87" s="16" t="s">
        <v>575</v>
      </c>
      <c r="BC87" s="16" t="n">
        <v>5200</v>
      </c>
      <c r="BD87" s="16" t="s">
        <v>576</v>
      </c>
      <c r="BE87" s="16" t="n">
        <v>17000</v>
      </c>
      <c r="BF87" s="16" t="n">
        <v>3000</v>
      </c>
      <c r="BG87" s="16" t="n">
        <v>110000</v>
      </c>
      <c r="BH87" s="16" t="n">
        <v>2300</v>
      </c>
      <c r="BI87" s="16" t="n">
        <v>1200</v>
      </c>
      <c r="BJ87" s="16" t="n">
        <v>41</v>
      </c>
      <c r="BK87" s="15" t="n">
        <v>1500</v>
      </c>
      <c r="BL87" s="16" t="n">
        <v>2000</v>
      </c>
      <c r="BM87" s="16" t="s">
        <v>576</v>
      </c>
      <c r="BN87" s="16" t="n">
        <v>110000</v>
      </c>
      <c r="BO87" s="16" t="s">
        <v>574</v>
      </c>
      <c r="BP87" s="16"/>
      <c r="BQ87" s="16" t="s">
        <v>574</v>
      </c>
      <c r="BR87" s="16" t="n">
        <v>11000</v>
      </c>
      <c r="BS87" s="16" t="n">
        <v>2200</v>
      </c>
      <c r="BT87" s="16" t="n">
        <v>2100</v>
      </c>
      <c r="BU87" s="16" t="n">
        <v>63000</v>
      </c>
      <c r="BV87" s="16" t="n">
        <v>8000</v>
      </c>
      <c r="BW87" s="16" t="n">
        <v>7000</v>
      </c>
      <c r="BX87" s="16" t="s">
        <v>575</v>
      </c>
      <c r="BY87" s="16" t="s">
        <v>576</v>
      </c>
      <c r="BZ87" s="16" t="n">
        <v>7900</v>
      </c>
      <c r="CA87" s="16" t="s">
        <v>574</v>
      </c>
      <c r="CB87" s="16" t="s">
        <v>575</v>
      </c>
      <c r="CC87" s="16" t="n">
        <v>35000</v>
      </c>
      <c r="CD87" s="16" t="n">
        <v>12000</v>
      </c>
      <c r="CE87" s="16" t="n">
        <v>9700</v>
      </c>
      <c r="CF87" s="16" t="n">
        <v>1000</v>
      </c>
      <c r="CG87" s="16"/>
      <c r="CH87" s="16" t="n">
        <v>11</v>
      </c>
      <c r="CI87" s="16" t="s">
        <v>575</v>
      </c>
      <c r="CJ87" s="16" t="n">
        <v>3600</v>
      </c>
      <c r="CK87" s="16" t="n">
        <v>160000</v>
      </c>
      <c r="CL87" s="16" t="s">
        <v>575</v>
      </c>
      <c r="CM87" s="16" t="s">
        <v>575</v>
      </c>
      <c r="CN87" s="16" t="n">
        <v>1300</v>
      </c>
      <c r="CO87" s="16" t="s">
        <v>575</v>
      </c>
      <c r="CP87" s="16" t="n">
        <v>4100</v>
      </c>
      <c r="CQ87" s="16" t="s">
        <v>577</v>
      </c>
      <c r="CR87" s="16" t="s">
        <v>576</v>
      </c>
      <c r="CS87" s="16"/>
      <c r="CT87" s="16" t="n">
        <v>15000</v>
      </c>
      <c r="CU87" s="23" t="n">
        <v>14</v>
      </c>
      <c r="CV87" s="16" t="n">
        <v>1700</v>
      </c>
      <c r="CW87" s="16" t="s">
        <v>575</v>
      </c>
      <c r="CX87" s="16" t="n">
        <v>1300</v>
      </c>
      <c r="CY87" s="16" t="n">
        <v>280000</v>
      </c>
      <c r="CZ87" s="16" t="n">
        <v>4800</v>
      </c>
      <c r="DA87" s="16" t="s">
        <v>575</v>
      </c>
      <c r="DB87" s="16" t="s">
        <v>574</v>
      </c>
      <c r="DC87" s="16" t="s">
        <v>575</v>
      </c>
      <c r="DD87" s="16" t="s">
        <v>577</v>
      </c>
      <c r="DE87" s="16" t="n">
        <v>6500</v>
      </c>
      <c r="DF87" s="15" t="n">
        <v>19</v>
      </c>
      <c r="DG87" s="16"/>
      <c r="DH87" s="16" t="s">
        <v>576</v>
      </c>
      <c r="DI87" s="16" t="n">
        <v>46000</v>
      </c>
      <c r="DJ87" s="16"/>
      <c r="DK87" s="16" t="n">
        <v>7100</v>
      </c>
      <c r="DL87" s="16" t="s">
        <v>576</v>
      </c>
      <c r="DM87" s="16" t="s">
        <v>574</v>
      </c>
      <c r="DN87" s="16" t="n">
        <v>66000</v>
      </c>
      <c r="DO87" s="16" t="n">
        <v>8500</v>
      </c>
      <c r="DP87" s="16" t="n">
        <v>569</v>
      </c>
      <c r="DQ87" s="16" t="n">
        <v>85000</v>
      </c>
      <c r="DR87" s="16" t="n">
        <v>11490</v>
      </c>
      <c r="DS87" s="16" t="s">
        <v>577</v>
      </c>
      <c r="DT87" s="16" t="n">
        <v>1000</v>
      </c>
      <c r="DU87" s="16" t="n">
        <v>1200</v>
      </c>
      <c r="DV87" s="16" t="n">
        <v>6100</v>
      </c>
      <c r="DW87" s="16" t="s">
        <v>577</v>
      </c>
      <c r="DX87" s="16" t="n">
        <v>57000</v>
      </c>
      <c r="DY87" s="16" t="n">
        <v>110000</v>
      </c>
      <c r="DZ87" s="16"/>
    </row>
    <row r="88" customFormat="false" ht="15" hidden="false" customHeight="false" outlineLevel="0" collapsed="false">
      <c r="A88" s="14" t="n">
        <v>2004</v>
      </c>
      <c r="B88" s="16" t="s">
        <v>577</v>
      </c>
      <c r="C88" s="16" t="s">
        <v>577</v>
      </c>
      <c r="D88" s="16" t="n">
        <v>7700</v>
      </c>
      <c r="E88" s="16" t="n">
        <v>1700</v>
      </c>
      <c r="F88" s="16" t="s">
        <v>574</v>
      </c>
      <c r="G88" s="16" t="s">
        <v>576</v>
      </c>
      <c r="H88" s="16"/>
      <c r="I88" s="16" t="s">
        <v>577</v>
      </c>
      <c r="J88" s="16" t="s">
        <v>576</v>
      </c>
      <c r="K88" s="16" t="s">
        <v>577</v>
      </c>
      <c r="L88" s="16" t="s">
        <v>574</v>
      </c>
      <c r="M88" s="16" t="s">
        <v>576</v>
      </c>
      <c r="N88" s="16" t="n">
        <v>30</v>
      </c>
      <c r="O88" s="16" t="s">
        <v>574</v>
      </c>
      <c r="P88" s="16" t="n">
        <v>3400</v>
      </c>
      <c r="Q88" s="15" t="s">
        <v>574</v>
      </c>
      <c r="R88" s="16" t="s">
        <v>575</v>
      </c>
      <c r="S88" s="16" t="n">
        <v>12000</v>
      </c>
      <c r="T88" s="16" t="n">
        <v>14000</v>
      </c>
      <c r="U88" s="10"/>
      <c r="V88" s="16" t="n">
        <v>10000</v>
      </c>
      <c r="W88" s="16" t="n">
        <v>7000</v>
      </c>
      <c r="X88" s="16" t="n">
        <v>9300</v>
      </c>
      <c r="Y88" s="16" t="n">
        <v>29000</v>
      </c>
      <c r="Z88" s="16" t="n">
        <v>420</v>
      </c>
      <c r="AA88" s="16" t="s">
        <v>576</v>
      </c>
      <c r="AB88" s="16" t="n">
        <v>12000</v>
      </c>
      <c r="AC88" s="16" t="n">
        <v>8300</v>
      </c>
      <c r="AD88" s="16" t="s">
        <v>576</v>
      </c>
      <c r="AE88" s="16"/>
      <c r="AF88" s="15" t="n">
        <v>3100</v>
      </c>
      <c r="AG88" s="15" t="n">
        <v>9000</v>
      </c>
      <c r="AH88" s="16" t="s">
        <v>577</v>
      </c>
      <c r="AI88" s="16" t="s">
        <v>574</v>
      </c>
      <c r="AJ88" s="16" t="n">
        <v>35000</v>
      </c>
      <c r="AK88" s="16" t="n">
        <v>31000</v>
      </c>
      <c r="AL88" s="16" t="n">
        <v>31</v>
      </c>
      <c r="AM88" s="16" t="s">
        <v>575</v>
      </c>
      <c r="AN88" s="16" t="n">
        <v>6700</v>
      </c>
      <c r="AO88" s="16" t="n">
        <v>1600</v>
      </c>
      <c r="AP88" s="16" t="s">
        <v>577</v>
      </c>
      <c r="AQ88" s="16" t="s">
        <v>575</v>
      </c>
      <c r="AR88" s="16" t="s">
        <v>575</v>
      </c>
      <c r="AS88" s="16" t="n">
        <v>1200</v>
      </c>
      <c r="AT88" s="16" t="n">
        <v>15</v>
      </c>
      <c r="AU88" s="16" t="n">
        <v>110000</v>
      </c>
      <c r="AV88" s="16" t="n">
        <v>424</v>
      </c>
      <c r="AW88" s="16" t="n">
        <v>2100</v>
      </c>
      <c r="AX88" s="16" t="s">
        <v>575</v>
      </c>
      <c r="AY88" s="16" t="s">
        <v>577</v>
      </c>
      <c r="AZ88" s="16" t="n">
        <v>20000</v>
      </c>
      <c r="BA88" s="16" t="s">
        <v>576</v>
      </c>
      <c r="BB88" s="16" t="s">
        <v>575</v>
      </c>
      <c r="BC88" s="16" t="n">
        <v>5400</v>
      </c>
      <c r="BD88" s="16" t="s">
        <v>576</v>
      </c>
      <c r="BE88" s="16" t="n">
        <v>18000</v>
      </c>
      <c r="BF88" s="16" t="n">
        <v>2400</v>
      </c>
      <c r="BG88" s="16" t="n">
        <v>130000</v>
      </c>
      <c r="BH88" s="16" t="n">
        <v>3400</v>
      </c>
      <c r="BI88" s="16" t="n">
        <v>1500</v>
      </c>
      <c r="BJ88" s="16" t="n">
        <v>29</v>
      </c>
      <c r="BK88" s="15" t="n">
        <v>1400</v>
      </c>
      <c r="BL88" s="16" t="n">
        <v>2000</v>
      </c>
      <c r="BM88" s="16" t="s">
        <v>576</v>
      </c>
      <c r="BN88" s="16" t="n">
        <v>110000</v>
      </c>
      <c r="BO88" s="16" t="s">
        <v>574</v>
      </c>
      <c r="BP88" s="16"/>
      <c r="BQ88" s="16" t="s">
        <v>574</v>
      </c>
      <c r="BR88" s="16" t="n">
        <v>12000</v>
      </c>
      <c r="BS88" s="16" t="n">
        <v>2300</v>
      </c>
      <c r="BT88" s="16" t="n">
        <v>2400</v>
      </c>
      <c r="BU88" s="16" t="n">
        <v>65000</v>
      </c>
      <c r="BV88" s="16" t="n">
        <v>8100</v>
      </c>
      <c r="BW88" s="16" t="n">
        <v>6600</v>
      </c>
      <c r="BX88" s="16" t="s">
        <v>575</v>
      </c>
      <c r="BY88" s="16" t="s">
        <v>576</v>
      </c>
      <c r="BZ88" s="16" t="n">
        <v>7300</v>
      </c>
      <c r="CA88" s="16" t="s">
        <v>574</v>
      </c>
      <c r="CB88" s="16" t="s">
        <v>576</v>
      </c>
      <c r="CC88" s="16" t="n">
        <v>39000</v>
      </c>
      <c r="CD88" s="16" t="n">
        <v>14000</v>
      </c>
      <c r="CE88" s="16" t="n">
        <v>10000</v>
      </c>
      <c r="CF88" s="16" t="n">
        <v>1400</v>
      </c>
      <c r="CG88" s="16" t="n">
        <v>68</v>
      </c>
      <c r="CH88" s="16" t="n">
        <v>14</v>
      </c>
      <c r="CI88" s="16" t="s">
        <v>575</v>
      </c>
      <c r="CJ88" s="16" t="n">
        <v>4000</v>
      </c>
      <c r="CK88" s="16" t="n">
        <v>170000</v>
      </c>
      <c r="CL88" s="16" t="s">
        <v>575</v>
      </c>
      <c r="CM88" s="16" t="s">
        <v>575</v>
      </c>
      <c r="CN88" s="16" t="n">
        <v>1500</v>
      </c>
      <c r="CO88" s="16" t="s">
        <v>575</v>
      </c>
      <c r="CP88" s="16" t="n">
        <v>3800</v>
      </c>
      <c r="CQ88" s="16" t="s">
        <v>577</v>
      </c>
      <c r="CR88" s="16" t="s">
        <v>576</v>
      </c>
      <c r="CS88" s="16"/>
      <c r="CT88" s="16" t="n">
        <v>14000</v>
      </c>
      <c r="CU88" s="23" t="n">
        <v>11</v>
      </c>
      <c r="CV88" s="16" t="n">
        <v>2000</v>
      </c>
      <c r="CW88" s="16" t="n">
        <v>1200</v>
      </c>
      <c r="CX88" s="16" t="n">
        <v>1400</v>
      </c>
      <c r="CY88" s="16" t="n">
        <v>320000</v>
      </c>
      <c r="CZ88" s="16" t="n">
        <v>5500</v>
      </c>
      <c r="DA88" s="16" t="s">
        <v>575</v>
      </c>
      <c r="DB88" s="16" t="s">
        <v>574</v>
      </c>
      <c r="DC88" s="16" t="s">
        <v>575</v>
      </c>
      <c r="DD88" s="16" t="s">
        <v>577</v>
      </c>
      <c r="DE88" s="16" t="n">
        <v>6900</v>
      </c>
      <c r="DF88" s="15" t="n">
        <v>12</v>
      </c>
      <c r="DG88" s="16"/>
      <c r="DH88" s="16" t="s">
        <v>576</v>
      </c>
      <c r="DI88" s="16" t="n">
        <v>42000</v>
      </c>
      <c r="DJ88" s="16"/>
      <c r="DK88" s="16" t="n">
        <v>7400</v>
      </c>
      <c r="DL88" s="16" t="s">
        <v>576</v>
      </c>
      <c r="DM88" s="16" t="s">
        <v>574</v>
      </c>
      <c r="DN88" s="16" t="n">
        <v>62000</v>
      </c>
      <c r="DO88" s="16" t="n">
        <v>10000</v>
      </c>
      <c r="DP88" s="16" t="n">
        <v>598</v>
      </c>
      <c r="DQ88" s="16" t="n">
        <v>87000</v>
      </c>
      <c r="DR88" s="16" t="n">
        <v>10890</v>
      </c>
      <c r="DS88" s="16" t="s">
        <v>577</v>
      </c>
      <c r="DT88" s="16" t="n">
        <v>1400</v>
      </c>
      <c r="DU88" s="16" t="n">
        <v>1300</v>
      </c>
      <c r="DV88" s="16" t="n">
        <v>7600</v>
      </c>
      <c r="DW88" s="16" t="s">
        <v>577</v>
      </c>
      <c r="DX88" s="16" t="n">
        <v>53000</v>
      </c>
      <c r="DY88" s="16" t="n">
        <v>100000</v>
      </c>
      <c r="DZ88" s="16"/>
    </row>
    <row r="89" customFormat="false" ht="15" hidden="false" customHeight="false" outlineLevel="0" collapsed="false">
      <c r="A89" s="14" t="n">
        <v>2005</v>
      </c>
      <c r="B89" s="16" t="s">
        <v>577</v>
      </c>
      <c r="C89" s="16" t="s">
        <v>577</v>
      </c>
      <c r="D89" s="16" t="n">
        <v>8500</v>
      </c>
      <c r="E89" s="16" t="n">
        <v>1800</v>
      </c>
      <c r="F89" s="16" t="s">
        <v>574</v>
      </c>
      <c r="G89" s="16" t="s">
        <v>576</v>
      </c>
      <c r="H89" s="11" t="n">
        <v>51</v>
      </c>
      <c r="I89" s="16" t="s">
        <v>577</v>
      </c>
      <c r="J89" s="16" t="s">
        <v>576</v>
      </c>
      <c r="K89" s="16" t="s">
        <v>576</v>
      </c>
      <c r="L89" s="16" t="s">
        <v>574</v>
      </c>
      <c r="M89" s="16" t="s">
        <v>576</v>
      </c>
      <c r="N89" s="16" t="n">
        <v>26</v>
      </c>
      <c r="O89" s="16" t="s">
        <v>574</v>
      </c>
      <c r="P89" s="16" t="n">
        <v>3700</v>
      </c>
      <c r="Q89" s="15" t="s">
        <v>574</v>
      </c>
      <c r="R89" s="16" t="s">
        <v>575</v>
      </c>
      <c r="S89" s="16" t="n">
        <v>9000</v>
      </c>
      <c r="T89" s="16" t="n">
        <v>13000</v>
      </c>
      <c r="U89" s="11" t="n">
        <v>12</v>
      </c>
      <c r="V89" s="16" t="n">
        <v>8900</v>
      </c>
      <c r="W89" s="16" t="n">
        <v>6700</v>
      </c>
      <c r="X89" s="16" t="n">
        <v>7900</v>
      </c>
      <c r="Y89" s="16" t="n">
        <v>26000</v>
      </c>
      <c r="Z89" s="16" t="n">
        <v>468</v>
      </c>
      <c r="AA89" s="16" t="s">
        <v>576</v>
      </c>
      <c r="AB89" s="16" t="n">
        <v>12000</v>
      </c>
      <c r="AC89" s="16" t="n">
        <v>8900</v>
      </c>
      <c r="AD89" s="16" t="s">
        <v>576</v>
      </c>
      <c r="AE89" s="16"/>
      <c r="AF89" s="15" t="n">
        <v>3200</v>
      </c>
      <c r="AG89" s="15" t="n">
        <v>8900</v>
      </c>
      <c r="AH89" s="16" t="s">
        <v>577</v>
      </c>
      <c r="AI89" s="16" t="s">
        <v>574</v>
      </c>
      <c r="AJ89" s="16" t="n">
        <v>32000</v>
      </c>
      <c r="AK89" s="16" t="n">
        <v>30000</v>
      </c>
      <c r="AL89" s="16" t="n">
        <v>27</v>
      </c>
      <c r="AM89" s="16" t="s">
        <v>575</v>
      </c>
      <c r="AN89" s="16" t="n">
        <v>6900</v>
      </c>
      <c r="AO89" s="16" t="n">
        <v>1500</v>
      </c>
      <c r="AP89" s="16" t="s">
        <v>577</v>
      </c>
      <c r="AQ89" s="16" t="s">
        <v>576</v>
      </c>
      <c r="AR89" s="16" t="s">
        <v>575</v>
      </c>
      <c r="AS89" s="16" t="n">
        <v>1300</v>
      </c>
      <c r="AT89" s="16" t="n">
        <v>12</v>
      </c>
      <c r="AU89" s="16" t="n">
        <v>110000</v>
      </c>
      <c r="AV89" s="16" t="n">
        <v>397</v>
      </c>
      <c r="AW89" s="16" t="n">
        <v>1900</v>
      </c>
      <c r="AX89" s="16" t="s">
        <v>575</v>
      </c>
      <c r="AY89" s="16" t="s">
        <v>577</v>
      </c>
      <c r="AZ89" s="16" t="n">
        <v>20000</v>
      </c>
      <c r="BA89" s="16" t="s">
        <v>576</v>
      </c>
      <c r="BB89" s="16" t="s">
        <v>575</v>
      </c>
      <c r="BC89" s="16" t="n">
        <v>5600</v>
      </c>
      <c r="BD89" s="16" t="s">
        <v>577</v>
      </c>
      <c r="BE89" s="16" t="n">
        <v>18000</v>
      </c>
      <c r="BF89" s="16" t="n">
        <v>2300</v>
      </c>
      <c r="BG89" s="16" t="n">
        <v>140000</v>
      </c>
      <c r="BH89" s="16" t="n">
        <v>4900</v>
      </c>
      <c r="BI89" s="16" t="n">
        <v>1800</v>
      </c>
      <c r="BJ89" s="16" t="n">
        <v>31</v>
      </c>
      <c r="BK89" s="15" t="n">
        <v>1200</v>
      </c>
      <c r="BL89" s="16" t="n">
        <v>2000</v>
      </c>
      <c r="BM89" s="16" t="s">
        <v>576</v>
      </c>
      <c r="BN89" s="16" t="n">
        <v>100000</v>
      </c>
      <c r="BO89" s="16" t="s">
        <v>574</v>
      </c>
      <c r="BP89" s="16"/>
      <c r="BQ89" s="16" t="s">
        <v>574</v>
      </c>
      <c r="BR89" s="16" t="n">
        <v>12000</v>
      </c>
      <c r="BS89" s="16" t="n">
        <v>2500</v>
      </c>
      <c r="BT89" s="16" t="n">
        <v>2600</v>
      </c>
      <c r="BU89" s="16" t="n">
        <v>64000</v>
      </c>
      <c r="BV89" s="16" t="n">
        <v>8100</v>
      </c>
      <c r="BW89" s="16" t="n">
        <v>5900</v>
      </c>
      <c r="BX89" s="16" t="s">
        <v>575</v>
      </c>
      <c r="BY89" s="16" t="s">
        <v>575</v>
      </c>
      <c r="BZ89" s="16" t="n">
        <v>7200</v>
      </c>
      <c r="CA89" s="16" t="s">
        <v>574</v>
      </c>
      <c r="CB89" s="16" t="s">
        <v>575</v>
      </c>
      <c r="CC89" s="16" t="n">
        <v>43000</v>
      </c>
      <c r="CD89" s="16" t="n">
        <v>15000</v>
      </c>
      <c r="CE89" s="16" t="n">
        <v>9600</v>
      </c>
      <c r="CF89" s="16" t="n">
        <v>1700</v>
      </c>
      <c r="CG89" s="16" t="n">
        <v>78</v>
      </c>
      <c r="CH89" s="16" t="n">
        <v>15</v>
      </c>
      <c r="CI89" s="16" t="s">
        <v>575</v>
      </c>
      <c r="CJ89" s="16" t="n">
        <v>4200</v>
      </c>
      <c r="CK89" s="16" t="n">
        <v>170000</v>
      </c>
      <c r="CL89" s="16" t="s">
        <v>575</v>
      </c>
      <c r="CM89" s="16" t="s">
        <v>575</v>
      </c>
      <c r="CN89" s="16" t="n">
        <v>1700</v>
      </c>
      <c r="CO89" s="16" t="s">
        <v>575</v>
      </c>
      <c r="CP89" s="16" t="n">
        <v>3800</v>
      </c>
      <c r="CQ89" s="16" t="s">
        <v>577</v>
      </c>
      <c r="CR89" s="16" t="s">
        <v>575</v>
      </c>
      <c r="CS89" s="16"/>
      <c r="CT89" s="16" t="n">
        <v>12000</v>
      </c>
      <c r="CU89" s="23" t="n">
        <v>12</v>
      </c>
      <c r="CV89" s="16" t="n">
        <v>2200</v>
      </c>
      <c r="CW89" s="16" t="n">
        <v>1500</v>
      </c>
      <c r="CX89" s="16" t="n">
        <v>1500</v>
      </c>
      <c r="CY89" s="16" t="n">
        <v>350000</v>
      </c>
      <c r="CZ89" s="16" t="n">
        <v>6300</v>
      </c>
      <c r="DA89" s="16" t="n">
        <v>1000</v>
      </c>
      <c r="DB89" s="16" t="s">
        <v>574</v>
      </c>
      <c r="DC89" s="16" t="n">
        <v>1000</v>
      </c>
      <c r="DD89" s="16" t="s">
        <v>577</v>
      </c>
      <c r="DE89" s="16" t="n">
        <v>6900</v>
      </c>
      <c r="DF89" s="15" t="n">
        <v>19</v>
      </c>
      <c r="DG89" s="15" t="n">
        <v>71</v>
      </c>
      <c r="DH89" s="16" t="s">
        <v>576</v>
      </c>
      <c r="DI89" s="16" t="n">
        <v>33000</v>
      </c>
      <c r="DJ89" s="16"/>
      <c r="DK89" s="16" t="n">
        <v>7600</v>
      </c>
      <c r="DL89" s="16" t="s">
        <v>576</v>
      </c>
      <c r="DM89" s="16" t="s">
        <v>574</v>
      </c>
      <c r="DN89" s="16" t="n">
        <v>52000</v>
      </c>
      <c r="DO89" s="16" t="n">
        <v>11000</v>
      </c>
      <c r="DP89" s="16" t="n">
        <v>569</v>
      </c>
      <c r="DQ89" s="16" t="n">
        <v>89000</v>
      </c>
      <c r="DR89" s="16" t="n">
        <v>8600</v>
      </c>
      <c r="DS89" s="16" t="s">
        <v>576</v>
      </c>
      <c r="DT89" s="16" t="n">
        <v>1900</v>
      </c>
      <c r="DU89" s="16" t="n">
        <v>1500</v>
      </c>
      <c r="DV89" s="16" t="n">
        <v>9100</v>
      </c>
      <c r="DW89" s="16" t="s">
        <v>576</v>
      </c>
      <c r="DX89" s="16" t="n">
        <v>50000</v>
      </c>
      <c r="DY89" s="16" t="n">
        <v>98000</v>
      </c>
      <c r="DZ89" s="16"/>
    </row>
    <row r="90" customFormat="false" ht="15" hidden="false" customHeight="false" outlineLevel="0" collapsed="false">
      <c r="A90" s="14" t="n">
        <v>2006</v>
      </c>
      <c r="B90" s="16" t="s">
        <v>577</v>
      </c>
      <c r="C90" s="16" t="s">
        <v>577</v>
      </c>
      <c r="D90" s="16" t="n">
        <v>9100</v>
      </c>
      <c r="E90" s="16" t="n">
        <v>1900</v>
      </c>
      <c r="F90" s="16" t="s">
        <v>574</v>
      </c>
      <c r="G90" s="16" t="s">
        <v>575</v>
      </c>
      <c r="H90" s="11" t="n">
        <v>36</v>
      </c>
      <c r="I90" s="16" t="s">
        <v>577</v>
      </c>
      <c r="J90" s="16" t="s">
        <v>576</v>
      </c>
      <c r="K90" s="16" t="s">
        <v>576</v>
      </c>
      <c r="L90" s="16" t="s">
        <v>574</v>
      </c>
      <c r="M90" s="16" t="s">
        <v>575</v>
      </c>
      <c r="N90" s="16" t="n">
        <v>25</v>
      </c>
      <c r="O90" s="16" t="s">
        <v>574</v>
      </c>
      <c r="P90" s="16" t="n">
        <v>3900</v>
      </c>
      <c r="Q90" s="15" t="s">
        <v>574</v>
      </c>
      <c r="R90" s="16" t="s">
        <v>575</v>
      </c>
      <c r="S90" s="16" t="n">
        <v>6900</v>
      </c>
      <c r="T90" s="16" t="n">
        <v>14000</v>
      </c>
      <c r="U90" s="11" t="n">
        <v>8</v>
      </c>
      <c r="V90" s="16" t="n">
        <v>7400</v>
      </c>
      <c r="W90" s="16" t="n">
        <v>6400</v>
      </c>
      <c r="X90" s="16" t="n">
        <v>6000</v>
      </c>
      <c r="Y90" s="16" t="n">
        <v>26000</v>
      </c>
      <c r="Z90" s="16" t="n">
        <v>428</v>
      </c>
      <c r="AA90" s="16" t="s">
        <v>577</v>
      </c>
      <c r="AB90" s="16" t="n">
        <v>11000</v>
      </c>
      <c r="AC90" s="16" t="n">
        <v>9000</v>
      </c>
      <c r="AD90" s="16" t="s">
        <v>576</v>
      </c>
      <c r="AE90" s="16"/>
      <c r="AF90" s="15" t="n">
        <v>3300</v>
      </c>
      <c r="AG90" s="15" t="n">
        <v>8300</v>
      </c>
      <c r="AH90" s="16" t="s">
        <v>577</v>
      </c>
      <c r="AI90" s="16" t="s">
        <v>577</v>
      </c>
      <c r="AJ90" s="16" t="n">
        <v>30000</v>
      </c>
      <c r="AK90" s="16" t="n">
        <v>30000</v>
      </c>
      <c r="AL90" s="16" t="n">
        <v>19</v>
      </c>
      <c r="AM90" s="16" t="s">
        <v>575</v>
      </c>
      <c r="AN90" s="16" t="n">
        <v>6500</v>
      </c>
      <c r="AO90" s="16" t="n">
        <v>1500</v>
      </c>
      <c r="AP90" s="16" t="s">
        <v>577</v>
      </c>
      <c r="AQ90" s="16" t="s">
        <v>576</v>
      </c>
      <c r="AR90" s="16" t="s">
        <v>575</v>
      </c>
      <c r="AS90" s="16" t="n">
        <v>1100</v>
      </c>
      <c r="AT90" s="16" t="n">
        <v>18</v>
      </c>
      <c r="AU90" s="16" t="n">
        <v>110000</v>
      </c>
      <c r="AV90" s="16" t="n">
        <v>324</v>
      </c>
      <c r="AW90" s="16" t="n">
        <v>1500</v>
      </c>
      <c r="AX90" s="16" t="s">
        <v>575</v>
      </c>
      <c r="AY90" s="16" t="s">
        <v>577</v>
      </c>
      <c r="AZ90" s="16" t="n">
        <v>20000</v>
      </c>
      <c r="BA90" s="16" t="s">
        <v>576</v>
      </c>
      <c r="BB90" s="16" t="s">
        <v>575</v>
      </c>
      <c r="BC90" s="16" t="n">
        <v>5400</v>
      </c>
      <c r="BD90" s="16" t="s">
        <v>577</v>
      </c>
      <c r="BE90" s="16" t="n">
        <v>18000</v>
      </c>
      <c r="BF90" s="16" t="n">
        <v>2000</v>
      </c>
      <c r="BG90" s="16" t="n">
        <v>140000</v>
      </c>
      <c r="BH90" s="16" t="n">
        <v>6600</v>
      </c>
      <c r="BI90" s="16" t="n">
        <v>2100</v>
      </c>
      <c r="BJ90" s="16" t="n">
        <v>26</v>
      </c>
      <c r="BK90" s="15" t="s">
        <v>575</v>
      </c>
      <c r="BL90" s="16" t="n">
        <v>1700</v>
      </c>
      <c r="BM90" s="16" t="s">
        <v>576</v>
      </c>
      <c r="BN90" s="16" t="n">
        <v>88000</v>
      </c>
      <c r="BO90" s="16" t="s">
        <v>574</v>
      </c>
      <c r="BP90" s="16"/>
      <c r="BQ90" s="16" t="s">
        <v>574</v>
      </c>
      <c r="BR90" s="16" t="n">
        <v>12000</v>
      </c>
      <c r="BS90" s="16" t="n">
        <v>2500</v>
      </c>
      <c r="BT90" s="16" t="n">
        <v>2900</v>
      </c>
      <c r="BU90" s="16" t="n">
        <v>60000</v>
      </c>
      <c r="BV90" s="16" t="n">
        <v>8100</v>
      </c>
      <c r="BW90" s="16" t="n">
        <v>5800</v>
      </c>
      <c r="BX90" s="16" t="s">
        <v>575</v>
      </c>
      <c r="BY90" s="16" t="s">
        <v>575</v>
      </c>
      <c r="BZ90" s="16" t="n">
        <v>6900</v>
      </c>
      <c r="CA90" s="16" t="s">
        <v>574</v>
      </c>
      <c r="CB90" s="16" t="s">
        <v>575</v>
      </c>
      <c r="CC90" s="16" t="n">
        <v>46000</v>
      </c>
      <c r="CD90" s="16" t="n">
        <v>16000</v>
      </c>
      <c r="CE90" s="16" t="n">
        <v>8100</v>
      </c>
      <c r="CF90" s="16" t="n">
        <v>2000</v>
      </c>
      <c r="CG90" s="16" t="n">
        <v>50</v>
      </c>
      <c r="CH90" s="16" t="n">
        <v>16</v>
      </c>
      <c r="CI90" s="16" t="s">
        <v>575</v>
      </c>
      <c r="CJ90" s="16" t="n">
        <v>4200</v>
      </c>
      <c r="CK90" s="16" t="n">
        <v>170000</v>
      </c>
      <c r="CL90" s="16" t="s">
        <v>575</v>
      </c>
      <c r="CM90" s="16" t="s">
        <v>575</v>
      </c>
      <c r="CN90" s="16" t="n">
        <v>1700</v>
      </c>
      <c r="CO90" s="16" t="s">
        <v>575</v>
      </c>
      <c r="CP90" s="16" t="n">
        <v>3600</v>
      </c>
      <c r="CQ90" s="16" t="s">
        <v>576</v>
      </c>
      <c r="CR90" s="16" t="s">
        <v>575</v>
      </c>
      <c r="CS90" s="16" t="n">
        <v>4863</v>
      </c>
      <c r="CT90" s="16" t="n">
        <v>8200</v>
      </c>
      <c r="CU90" s="23" t="n">
        <v>10</v>
      </c>
      <c r="CV90" s="16" t="n">
        <v>2500</v>
      </c>
      <c r="CW90" s="16" t="n">
        <v>1700</v>
      </c>
      <c r="CX90" s="16" t="n">
        <v>1600</v>
      </c>
      <c r="CY90" s="16" t="n">
        <v>370000</v>
      </c>
      <c r="CZ90" s="16" t="n">
        <v>7100</v>
      </c>
      <c r="DA90" s="16" t="n">
        <v>1100</v>
      </c>
      <c r="DB90" s="16" t="s">
        <v>574</v>
      </c>
      <c r="DC90" s="16" t="n">
        <v>1200</v>
      </c>
      <c r="DD90" s="16" t="s">
        <v>577</v>
      </c>
      <c r="DE90" s="16" t="n">
        <v>6200</v>
      </c>
      <c r="DF90" s="15" t="n">
        <v>8</v>
      </c>
      <c r="DG90" s="15" t="n">
        <v>57</v>
      </c>
      <c r="DH90" s="16" t="s">
        <v>576</v>
      </c>
      <c r="DI90" s="16" t="n">
        <v>24000</v>
      </c>
      <c r="DJ90" s="16"/>
      <c r="DK90" s="16" t="n">
        <v>7200</v>
      </c>
      <c r="DL90" s="16" t="s">
        <v>576</v>
      </c>
      <c r="DM90" s="16" t="s">
        <v>574</v>
      </c>
      <c r="DN90" s="16" t="n">
        <v>43000</v>
      </c>
      <c r="DO90" s="16" t="n">
        <v>12000</v>
      </c>
      <c r="DP90" s="16" t="n">
        <v>684</v>
      </c>
      <c r="DQ90" s="16" t="n">
        <v>86000</v>
      </c>
      <c r="DR90" s="16" t="n">
        <v>9956</v>
      </c>
      <c r="DS90" s="16" t="s">
        <v>576</v>
      </c>
      <c r="DT90" s="16" t="n">
        <v>2400</v>
      </c>
      <c r="DU90" s="16" t="n">
        <v>1600</v>
      </c>
      <c r="DV90" s="16" t="n">
        <v>9800</v>
      </c>
      <c r="DW90" s="16" t="s">
        <v>576</v>
      </c>
      <c r="DX90" s="16" t="n">
        <v>46000</v>
      </c>
      <c r="DY90" s="16" t="n">
        <v>89000</v>
      </c>
      <c r="DZ90" s="16"/>
    </row>
    <row r="91" customFormat="false" ht="15" hidden="false" customHeight="false" outlineLevel="0" collapsed="false">
      <c r="A91" s="14" t="n">
        <v>2007</v>
      </c>
      <c r="B91" s="16" t="s">
        <v>577</v>
      </c>
      <c r="C91" s="16" t="s">
        <v>577</v>
      </c>
      <c r="D91" s="16" t="n">
        <v>8600</v>
      </c>
      <c r="E91" s="16" t="n">
        <v>1900</v>
      </c>
      <c r="F91" s="16" t="s">
        <v>577</v>
      </c>
      <c r="G91" s="16" t="s">
        <v>575</v>
      </c>
      <c r="H91" s="11" t="n">
        <v>51</v>
      </c>
      <c r="I91" s="16" t="s">
        <v>577</v>
      </c>
      <c r="J91" s="16" t="s">
        <v>576</v>
      </c>
      <c r="K91" s="16" t="s">
        <v>576</v>
      </c>
      <c r="L91" s="16" t="s">
        <v>574</v>
      </c>
      <c r="M91" s="16" t="s">
        <v>575</v>
      </c>
      <c r="N91" s="16" t="n">
        <v>27</v>
      </c>
      <c r="O91" s="16" t="s">
        <v>574</v>
      </c>
      <c r="P91" s="16" t="n">
        <v>4100</v>
      </c>
      <c r="Q91" s="15" t="s">
        <v>574</v>
      </c>
      <c r="R91" s="16" t="s">
        <v>575</v>
      </c>
      <c r="S91" s="16" t="n">
        <v>6000</v>
      </c>
      <c r="T91" s="16" t="n">
        <v>14000</v>
      </c>
      <c r="U91" s="11" t="n">
        <v>6</v>
      </c>
      <c r="V91" s="16" t="n">
        <v>6100</v>
      </c>
      <c r="W91" s="16" t="n">
        <v>6400</v>
      </c>
      <c r="X91" s="16" t="n">
        <v>4300</v>
      </c>
      <c r="Y91" s="16" t="n">
        <v>27000</v>
      </c>
      <c r="Z91" s="16" t="n">
        <v>422</v>
      </c>
      <c r="AA91" s="16" t="s">
        <v>577</v>
      </c>
      <c r="AB91" s="16" t="n">
        <v>11000</v>
      </c>
      <c r="AC91" s="16" t="n">
        <v>8400</v>
      </c>
      <c r="AD91" s="16" t="s">
        <v>575</v>
      </c>
      <c r="AE91" s="16"/>
      <c r="AF91" s="15" t="n">
        <v>2800</v>
      </c>
      <c r="AG91" s="15" t="n">
        <v>8000</v>
      </c>
      <c r="AH91" s="16" t="s">
        <v>577</v>
      </c>
      <c r="AI91" s="16" t="s">
        <v>577</v>
      </c>
      <c r="AJ91" s="16" t="n">
        <v>29000</v>
      </c>
      <c r="AK91" s="16" t="n">
        <v>29000</v>
      </c>
      <c r="AL91" s="16" t="n">
        <v>20</v>
      </c>
      <c r="AM91" s="16" t="s">
        <v>575</v>
      </c>
      <c r="AN91" s="16" t="n">
        <v>6000</v>
      </c>
      <c r="AO91" s="16" t="n">
        <v>1500</v>
      </c>
      <c r="AP91" s="16" t="s">
        <v>577</v>
      </c>
      <c r="AQ91" s="16" t="s">
        <v>576</v>
      </c>
      <c r="AR91" s="16" t="s">
        <v>575</v>
      </c>
      <c r="AS91" s="16" t="s">
        <v>575</v>
      </c>
      <c r="AT91" s="16" t="n">
        <v>11</v>
      </c>
      <c r="AU91" s="16" t="n">
        <v>100000</v>
      </c>
      <c r="AV91" s="16" t="n">
        <v>235</v>
      </c>
      <c r="AW91" s="16" t="n">
        <v>1700</v>
      </c>
      <c r="AX91" s="16" t="s">
        <v>575</v>
      </c>
      <c r="AY91" s="16" t="s">
        <v>577</v>
      </c>
      <c r="AZ91" s="16" t="n">
        <v>20000</v>
      </c>
      <c r="BA91" s="16" t="s">
        <v>575</v>
      </c>
      <c r="BB91" s="16" t="s">
        <v>575</v>
      </c>
      <c r="BC91" s="16" t="n">
        <v>4800</v>
      </c>
      <c r="BD91" s="16" t="s">
        <v>574</v>
      </c>
      <c r="BE91" s="16" t="n">
        <v>17000</v>
      </c>
      <c r="BF91" s="16" t="n">
        <v>1800</v>
      </c>
      <c r="BG91" s="16" t="n">
        <v>140000</v>
      </c>
      <c r="BH91" s="16" t="n">
        <v>7900</v>
      </c>
      <c r="BI91" s="16" t="n">
        <v>2300</v>
      </c>
      <c r="BJ91" s="16" t="n">
        <v>18</v>
      </c>
      <c r="BK91" s="15" t="s">
        <v>575</v>
      </c>
      <c r="BL91" s="16" t="n">
        <v>1600</v>
      </c>
      <c r="BM91" s="16" t="s">
        <v>576</v>
      </c>
      <c r="BN91" s="16" t="n">
        <v>71000</v>
      </c>
      <c r="BO91" s="16" t="s">
        <v>577</v>
      </c>
      <c r="BP91" s="16"/>
      <c r="BQ91" s="16" t="s">
        <v>574</v>
      </c>
      <c r="BR91" s="16" t="n">
        <v>11000</v>
      </c>
      <c r="BS91" s="16" t="n">
        <v>2300</v>
      </c>
      <c r="BT91" s="16" t="n">
        <v>3000</v>
      </c>
      <c r="BU91" s="16" t="n">
        <v>55000</v>
      </c>
      <c r="BV91" s="16" t="n">
        <v>8100</v>
      </c>
      <c r="BW91" s="16" t="n">
        <v>4900</v>
      </c>
      <c r="BX91" s="16" t="s">
        <v>575</v>
      </c>
      <c r="BY91" s="16" t="s">
        <v>575</v>
      </c>
      <c r="BZ91" s="16" t="n">
        <v>6200</v>
      </c>
      <c r="CA91" s="16" t="s">
        <v>574</v>
      </c>
      <c r="CB91" s="16" t="s">
        <v>575</v>
      </c>
      <c r="CC91" s="16" t="n">
        <v>45000</v>
      </c>
      <c r="CD91" s="16" t="n">
        <v>16000</v>
      </c>
      <c r="CE91" s="16" t="n">
        <v>6600</v>
      </c>
      <c r="CF91" s="16" t="n">
        <v>2200</v>
      </c>
      <c r="CG91" s="16" t="n">
        <v>24</v>
      </c>
      <c r="CH91" s="16" t="n">
        <v>12</v>
      </c>
      <c r="CI91" s="16" t="s">
        <v>575</v>
      </c>
      <c r="CJ91" s="16" t="n">
        <v>4200</v>
      </c>
      <c r="CK91" s="16" t="n">
        <v>170000</v>
      </c>
      <c r="CL91" s="16" t="s">
        <v>575</v>
      </c>
      <c r="CM91" s="16" t="s">
        <v>575</v>
      </c>
      <c r="CN91" s="16" t="n">
        <v>1500</v>
      </c>
      <c r="CO91" s="16" t="s">
        <v>575</v>
      </c>
      <c r="CP91" s="16" t="n">
        <v>3200</v>
      </c>
      <c r="CQ91" s="16" t="s">
        <v>576</v>
      </c>
      <c r="CR91" s="16" t="s">
        <v>575</v>
      </c>
      <c r="CS91" s="16" t="n">
        <v>5101</v>
      </c>
      <c r="CT91" s="16" t="n">
        <v>5600</v>
      </c>
      <c r="CU91" s="23" t="n">
        <v>6</v>
      </c>
      <c r="CV91" s="16" t="n">
        <v>2400</v>
      </c>
      <c r="CW91" s="16" t="n">
        <v>1900</v>
      </c>
      <c r="CX91" s="16" t="n">
        <v>1700</v>
      </c>
      <c r="CY91" s="16" t="n">
        <v>370000</v>
      </c>
      <c r="CZ91" s="16" t="n">
        <v>7900</v>
      </c>
      <c r="DA91" s="16" t="n">
        <v>1100</v>
      </c>
      <c r="DB91" s="16" t="s">
        <v>574</v>
      </c>
      <c r="DC91" s="16" t="n">
        <v>1300</v>
      </c>
      <c r="DD91" s="16" t="s">
        <v>577</v>
      </c>
      <c r="DE91" s="16" t="n">
        <v>5200</v>
      </c>
      <c r="DF91" s="15" t="n">
        <v>6</v>
      </c>
      <c r="DG91" s="15" t="n">
        <v>50</v>
      </c>
      <c r="DH91" s="16" t="s">
        <v>576</v>
      </c>
      <c r="DI91" s="16" t="n">
        <v>21000</v>
      </c>
      <c r="DJ91" s="16"/>
      <c r="DK91" s="16" t="n">
        <v>7400</v>
      </c>
      <c r="DL91" s="16" t="s">
        <v>576</v>
      </c>
      <c r="DM91" s="16" t="s">
        <v>574</v>
      </c>
      <c r="DN91" s="16" t="n">
        <v>46000</v>
      </c>
      <c r="DO91" s="16" t="n">
        <v>13000</v>
      </c>
      <c r="DP91" s="16" t="n">
        <v>684</v>
      </c>
      <c r="DQ91" s="16" t="n">
        <v>74000</v>
      </c>
      <c r="DR91" s="16" t="n">
        <v>9639</v>
      </c>
      <c r="DS91" s="16" t="s">
        <v>576</v>
      </c>
      <c r="DT91" s="16" t="n">
        <v>2800</v>
      </c>
      <c r="DU91" s="16" t="n">
        <v>1700</v>
      </c>
      <c r="DV91" s="16" t="n">
        <v>9600</v>
      </c>
      <c r="DW91" s="16" t="s">
        <v>576</v>
      </c>
      <c r="DX91" s="16" t="n">
        <v>40000</v>
      </c>
      <c r="DY91" s="16" t="n">
        <v>77000</v>
      </c>
      <c r="DZ91" s="16"/>
    </row>
    <row r="92" customFormat="false" ht="15" hidden="false" customHeight="false" outlineLevel="0" collapsed="false">
      <c r="A92" s="14" t="n">
        <v>2008</v>
      </c>
      <c r="B92" s="16" t="s">
        <v>577</v>
      </c>
      <c r="C92" s="16" t="s">
        <v>577</v>
      </c>
      <c r="D92" s="16" t="n">
        <v>8800</v>
      </c>
      <c r="E92" s="16" t="n">
        <v>2000</v>
      </c>
      <c r="F92" s="16" t="s">
        <v>577</v>
      </c>
      <c r="G92" s="16" t="s">
        <v>575</v>
      </c>
      <c r="H92" s="11" t="n">
        <v>29</v>
      </c>
      <c r="I92" s="16" t="s">
        <v>577</v>
      </c>
      <c r="J92" s="16" t="s">
        <v>576</v>
      </c>
      <c r="K92" s="16" t="s">
        <v>576</v>
      </c>
      <c r="L92" s="16" t="s">
        <v>574</v>
      </c>
      <c r="M92" s="16" t="s">
        <v>575</v>
      </c>
      <c r="N92" s="16" t="n">
        <v>25</v>
      </c>
      <c r="O92" s="16" t="s">
        <v>577</v>
      </c>
      <c r="P92" s="16" t="n">
        <v>3700</v>
      </c>
      <c r="Q92" s="15" t="s">
        <v>574</v>
      </c>
      <c r="R92" s="16" t="s">
        <v>575</v>
      </c>
      <c r="S92" s="16" t="n">
        <v>6100</v>
      </c>
      <c r="T92" s="16" t="n">
        <v>14000</v>
      </c>
      <c r="U92" s="11" t="n">
        <v>9</v>
      </c>
      <c r="V92" s="16" t="n">
        <v>5400</v>
      </c>
      <c r="W92" s="16" t="n">
        <v>6100</v>
      </c>
      <c r="X92" s="16" t="n">
        <v>3400</v>
      </c>
      <c r="Y92" s="16" t="n">
        <v>24000</v>
      </c>
      <c r="Z92" s="16" t="n">
        <v>407</v>
      </c>
      <c r="AA92" s="16" t="s">
        <v>577</v>
      </c>
      <c r="AB92" s="16" t="n">
        <v>9600</v>
      </c>
      <c r="AC92" s="16" t="n">
        <v>8300</v>
      </c>
      <c r="AD92" s="16" t="s">
        <v>575</v>
      </c>
      <c r="AE92" s="16"/>
      <c r="AF92" s="15" t="n">
        <v>2500</v>
      </c>
      <c r="AG92" s="15" t="n">
        <v>7600</v>
      </c>
      <c r="AH92" s="16" t="s">
        <v>577</v>
      </c>
      <c r="AI92" s="16" t="s">
        <v>577</v>
      </c>
      <c r="AJ92" s="16" t="n">
        <v>26000</v>
      </c>
      <c r="AK92" s="16" t="n">
        <v>29000</v>
      </c>
      <c r="AL92" s="16" t="n">
        <v>3</v>
      </c>
      <c r="AM92" s="16" t="s">
        <v>575</v>
      </c>
      <c r="AN92" s="16" t="n">
        <v>5300</v>
      </c>
      <c r="AO92" s="16" t="n">
        <v>1300</v>
      </c>
      <c r="AP92" s="16" t="s">
        <v>577</v>
      </c>
      <c r="AQ92" s="16" t="s">
        <v>576</v>
      </c>
      <c r="AR92" s="16" t="s">
        <v>575</v>
      </c>
      <c r="AS92" s="16" t="s">
        <v>575</v>
      </c>
      <c r="AT92" s="16" t="n">
        <v>8</v>
      </c>
      <c r="AU92" s="16" t="n">
        <v>90000</v>
      </c>
      <c r="AV92" s="16" t="n">
        <v>222</v>
      </c>
      <c r="AW92" s="16" t="n">
        <v>2000</v>
      </c>
      <c r="AX92" s="16" t="s">
        <v>575</v>
      </c>
      <c r="AY92" s="16" t="s">
        <v>577</v>
      </c>
      <c r="AZ92" s="16" t="n">
        <v>19000</v>
      </c>
      <c r="BA92" s="16" t="s">
        <v>575</v>
      </c>
      <c r="BB92" s="16" t="s">
        <v>575</v>
      </c>
      <c r="BC92" s="16" t="n">
        <v>4900</v>
      </c>
      <c r="BD92" s="16" t="s">
        <v>574</v>
      </c>
      <c r="BE92" s="16" t="n">
        <v>14000</v>
      </c>
      <c r="BF92" s="16" t="n">
        <v>1700</v>
      </c>
      <c r="BG92" s="16" t="n">
        <v>130000</v>
      </c>
      <c r="BH92" s="16" t="n">
        <v>10000</v>
      </c>
      <c r="BI92" s="16" t="n">
        <v>2600</v>
      </c>
      <c r="BJ92" s="16" t="n">
        <v>16</v>
      </c>
      <c r="BK92" s="15" t="s">
        <v>575</v>
      </c>
      <c r="BL92" s="16" t="n">
        <v>1500</v>
      </c>
      <c r="BM92" s="16" t="s">
        <v>576</v>
      </c>
      <c r="BN92" s="16" t="n">
        <v>63000</v>
      </c>
      <c r="BO92" s="16" t="s">
        <v>577</v>
      </c>
      <c r="BP92" s="16"/>
      <c r="BQ92" s="16" t="s">
        <v>574</v>
      </c>
      <c r="BR92" s="16" t="n">
        <v>10000</v>
      </c>
      <c r="BS92" s="16" t="n">
        <v>2300</v>
      </c>
      <c r="BT92" s="16" t="n">
        <v>3100</v>
      </c>
      <c r="BU92" s="16" t="n">
        <v>49000</v>
      </c>
      <c r="BV92" s="16" t="n">
        <v>8000</v>
      </c>
      <c r="BW92" s="16" t="n">
        <v>4300</v>
      </c>
      <c r="BX92" s="16" t="s">
        <v>575</v>
      </c>
      <c r="BY92" s="16" t="s">
        <v>575</v>
      </c>
      <c r="BZ92" s="16" t="n">
        <v>5700</v>
      </c>
      <c r="CA92" s="16" t="s">
        <v>574</v>
      </c>
      <c r="CB92" s="16" t="s">
        <v>575</v>
      </c>
      <c r="CC92" s="16" t="n">
        <v>40000</v>
      </c>
      <c r="CD92" s="16" t="n">
        <v>15000</v>
      </c>
      <c r="CE92" s="16" t="n">
        <v>4400</v>
      </c>
      <c r="CF92" s="16" t="n">
        <v>2300</v>
      </c>
      <c r="CG92" s="16" t="n">
        <v>6</v>
      </c>
      <c r="CH92" s="16" t="n">
        <v>9</v>
      </c>
      <c r="CI92" s="16" t="s">
        <v>575</v>
      </c>
      <c r="CJ92" s="16" t="n">
        <v>4200</v>
      </c>
      <c r="CK92" s="16" t="n">
        <v>170000</v>
      </c>
      <c r="CL92" s="16" t="n">
        <v>1000</v>
      </c>
      <c r="CM92" s="16" t="s">
        <v>576</v>
      </c>
      <c r="CN92" s="16" t="n">
        <v>1100</v>
      </c>
      <c r="CO92" s="16" t="s">
        <v>575</v>
      </c>
      <c r="CP92" s="16" t="n">
        <v>2700</v>
      </c>
      <c r="CQ92" s="16" t="s">
        <v>576</v>
      </c>
      <c r="CR92" s="16" t="s">
        <v>575</v>
      </c>
      <c r="CS92" s="16" t="n">
        <v>5282</v>
      </c>
      <c r="CT92" s="16" t="n">
        <v>5100</v>
      </c>
      <c r="CU92" s="23" t="n">
        <v>9</v>
      </c>
      <c r="CV92" s="16" t="n">
        <v>1300</v>
      </c>
      <c r="CW92" s="16" t="n">
        <v>2100</v>
      </c>
      <c r="CX92" s="16" t="n">
        <v>1700</v>
      </c>
      <c r="CY92" s="16" t="n">
        <v>350000</v>
      </c>
      <c r="CZ92" s="16" t="n">
        <v>8500</v>
      </c>
      <c r="DA92" s="16" t="n">
        <v>1200</v>
      </c>
      <c r="DB92" s="16" t="s">
        <v>574</v>
      </c>
      <c r="DC92" s="16" t="n">
        <v>1500</v>
      </c>
      <c r="DD92" s="16" t="s">
        <v>577</v>
      </c>
      <c r="DE92" s="16" t="n">
        <v>4700</v>
      </c>
      <c r="DF92" s="15"/>
      <c r="DG92" s="15" t="n">
        <v>34</v>
      </c>
      <c r="DH92" s="16" t="s">
        <v>575</v>
      </c>
      <c r="DI92" s="16" t="n">
        <v>20000</v>
      </c>
      <c r="DJ92" s="16"/>
      <c r="DK92" s="16" t="n">
        <v>7700</v>
      </c>
      <c r="DL92" s="16" t="s">
        <v>576</v>
      </c>
      <c r="DM92" s="16" t="s">
        <v>574</v>
      </c>
      <c r="DN92" s="16" t="n">
        <v>46000</v>
      </c>
      <c r="DO92" s="16" t="n">
        <v>14000</v>
      </c>
      <c r="DP92" s="16" t="n">
        <v>598</v>
      </c>
      <c r="DQ92" s="16" t="n">
        <v>58000</v>
      </c>
      <c r="DR92" s="16" t="n">
        <v>9125</v>
      </c>
      <c r="DS92" s="16" t="s">
        <v>576</v>
      </c>
      <c r="DT92" s="16" t="n">
        <v>3100</v>
      </c>
      <c r="DU92" s="16" t="n">
        <v>1600</v>
      </c>
      <c r="DV92" s="16" t="n">
        <v>8700</v>
      </c>
      <c r="DW92" s="16" t="s">
        <v>576</v>
      </c>
      <c r="DX92" s="16" t="n">
        <v>27000</v>
      </c>
      <c r="DY92" s="16" t="n">
        <v>66000</v>
      </c>
      <c r="DZ92" s="16"/>
    </row>
    <row r="93" customFormat="false" ht="15" hidden="false" customHeight="false" outlineLevel="0" collapsed="false">
      <c r="A93" s="14" t="n">
        <v>2009</v>
      </c>
      <c r="B93" s="16" t="s">
        <v>576</v>
      </c>
      <c r="C93" s="16" t="s">
        <v>577</v>
      </c>
      <c r="D93" s="16" t="n">
        <v>9300</v>
      </c>
      <c r="E93" s="16" t="n">
        <v>2000</v>
      </c>
      <c r="F93" s="16" t="s">
        <v>577</v>
      </c>
      <c r="G93" s="16" t="s">
        <v>575</v>
      </c>
      <c r="H93" s="11" t="n">
        <v>32</v>
      </c>
      <c r="I93" s="16" t="s">
        <v>576</v>
      </c>
      <c r="J93" s="16" t="s">
        <v>576</v>
      </c>
      <c r="K93" s="16" t="s">
        <v>575</v>
      </c>
      <c r="L93" s="16" t="s">
        <v>574</v>
      </c>
      <c r="M93" s="16" t="s">
        <v>575</v>
      </c>
      <c r="N93" s="16" t="n">
        <v>22</v>
      </c>
      <c r="O93" s="16" t="s">
        <v>577</v>
      </c>
      <c r="P93" s="16" t="n">
        <v>2100</v>
      </c>
      <c r="Q93" s="15" t="s">
        <v>574</v>
      </c>
      <c r="R93" s="16" t="s">
        <v>575</v>
      </c>
      <c r="S93" s="16" t="n">
        <v>5300</v>
      </c>
      <c r="T93" s="16" t="n">
        <v>14000</v>
      </c>
      <c r="U93" s="11" t="n">
        <v>2</v>
      </c>
      <c r="V93" s="16" t="n">
        <v>4800</v>
      </c>
      <c r="W93" s="16" t="n">
        <v>5500</v>
      </c>
      <c r="X93" s="16" t="n">
        <v>3000</v>
      </c>
      <c r="Y93" s="16" t="n">
        <v>23000</v>
      </c>
      <c r="Z93" s="16" t="n">
        <v>355</v>
      </c>
      <c r="AA93" s="16" t="s">
        <v>577</v>
      </c>
      <c r="AB93" s="16" t="n">
        <v>8100</v>
      </c>
      <c r="AC93" s="16" t="n">
        <v>6200</v>
      </c>
      <c r="AD93" s="16" t="s">
        <v>575</v>
      </c>
      <c r="AE93" s="16"/>
      <c r="AF93" s="15" t="n">
        <v>3400</v>
      </c>
      <c r="AG93" s="15" t="n">
        <v>6700</v>
      </c>
      <c r="AH93" s="16" t="s">
        <v>577</v>
      </c>
      <c r="AI93" s="16" t="s">
        <v>577</v>
      </c>
      <c r="AJ93" s="16" t="n">
        <v>27000</v>
      </c>
      <c r="AK93" s="16" t="n">
        <v>29000</v>
      </c>
      <c r="AL93" s="16" t="n">
        <v>9</v>
      </c>
      <c r="AM93" s="16" t="s">
        <v>575</v>
      </c>
      <c r="AN93" s="16" t="n">
        <v>4800</v>
      </c>
      <c r="AO93" s="16" t="n">
        <v>1100</v>
      </c>
      <c r="AP93" s="16" t="s">
        <v>577</v>
      </c>
      <c r="AQ93" s="16" t="s">
        <v>576</v>
      </c>
      <c r="AR93" s="16" t="n">
        <v>1000</v>
      </c>
      <c r="AS93" s="16" t="s">
        <v>575</v>
      </c>
      <c r="AT93" s="16"/>
      <c r="AU93" s="16" t="n">
        <v>78000</v>
      </c>
      <c r="AV93" s="16" t="n">
        <v>129</v>
      </c>
      <c r="AW93" s="16" t="n">
        <v>2200</v>
      </c>
      <c r="AX93" s="16" t="s">
        <v>575</v>
      </c>
      <c r="AY93" s="16" t="s">
        <v>577</v>
      </c>
      <c r="AZ93" s="16" t="n">
        <v>18000</v>
      </c>
      <c r="BA93" s="16" t="s">
        <v>575</v>
      </c>
      <c r="BB93" s="16" t="s">
        <v>575</v>
      </c>
      <c r="BC93" s="16" t="n">
        <v>4200</v>
      </c>
      <c r="BD93" s="16" t="s">
        <v>574</v>
      </c>
      <c r="BE93" s="16" t="n">
        <v>13000</v>
      </c>
      <c r="BF93" s="16" t="n">
        <v>1500</v>
      </c>
      <c r="BG93" s="16" t="n">
        <v>110000</v>
      </c>
      <c r="BH93" s="16" t="n">
        <v>13000</v>
      </c>
      <c r="BI93" s="16" t="n">
        <v>2800</v>
      </c>
      <c r="BJ93" s="16" t="n">
        <v>12</v>
      </c>
      <c r="BK93" s="15" t="s">
        <v>575</v>
      </c>
      <c r="BL93" s="16" t="n">
        <v>1400</v>
      </c>
      <c r="BM93" s="16" t="s">
        <v>576</v>
      </c>
      <c r="BN93" s="16" t="n">
        <v>52000</v>
      </c>
      <c r="BO93" s="16" t="s">
        <v>577</v>
      </c>
      <c r="BP93" s="16"/>
      <c r="BQ93" s="16" t="s">
        <v>574</v>
      </c>
      <c r="BR93" s="16" t="n">
        <v>9300</v>
      </c>
      <c r="BS93" s="16" t="n">
        <v>2200</v>
      </c>
      <c r="BT93" s="16" t="n">
        <v>3100</v>
      </c>
      <c r="BU93" s="16" t="n">
        <v>42000</v>
      </c>
      <c r="BV93" s="16" t="n">
        <v>8000</v>
      </c>
      <c r="BW93" s="16" t="n">
        <v>4200</v>
      </c>
      <c r="BX93" s="16" t="s">
        <v>575</v>
      </c>
      <c r="BY93" s="16" t="s">
        <v>575</v>
      </c>
      <c r="BZ93" s="16" t="n">
        <v>5300</v>
      </c>
      <c r="CA93" s="16" t="s">
        <v>574</v>
      </c>
      <c r="CB93" s="16" t="s">
        <v>575</v>
      </c>
      <c r="CC93" s="16" t="n">
        <v>39000</v>
      </c>
      <c r="CD93" s="16" t="n">
        <v>15000</v>
      </c>
      <c r="CE93" s="16" t="n">
        <v>4600</v>
      </c>
      <c r="CF93" s="16" t="n">
        <v>2300</v>
      </c>
      <c r="CG93" s="16"/>
      <c r="CH93" s="16" t="n">
        <v>9</v>
      </c>
      <c r="CI93" s="16" t="s">
        <v>575</v>
      </c>
      <c r="CJ93" s="16" t="n">
        <v>4100</v>
      </c>
      <c r="CK93" s="16" t="n">
        <v>160000</v>
      </c>
      <c r="CL93" s="16" t="n">
        <v>1200</v>
      </c>
      <c r="CM93" s="16" t="s">
        <v>576</v>
      </c>
      <c r="CN93" s="16" t="n">
        <v>1100</v>
      </c>
      <c r="CO93" s="16" t="s">
        <v>575</v>
      </c>
      <c r="CP93" s="16" t="n">
        <v>2500</v>
      </c>
      <c r="CQ93" s="16" t="s">
        <v>576</v>
      </c>
      <c r="CR93" s="16" t="s">
        <v>575</v>
      </c>
      <c r="CS93" s="16"/>
      <c r="CT93" s="16" t="n">
        <v>4700</v>
      </c>
      <c r="CU93" s="23" t="n">
        <v>6</v>
      </c>
      <c r="CV93" s="16" t="n">
        <v>1300</v>
      </c>
      <c r="CW93" s="16" t="n">
        <v>2100</v>
      </c>
      <c r="CX93" s="16" t="n">
        <v>1700</v>
      </c>
      <c r="CY93" s="16" t="n">
        <v>320000</v>
      </c>
      <c r="CZ93" s="16" t="n">
        <v>9000</v>
      </c>
      <c r="DA93" s="16" t="n">
        <v>1200</v>
      </c>
      <c r="DB93" s="16" t="s">
        <v>574</v>
      </c>
      <c r="DC93" s="16" t="n">
        <v>1400</v>
      </c>
      <c r="DD93" s="16" t="s">
        <v>577</v>
      </c>
      <c r="DE93" s="16" t="n">
        <v>4400</v>
      </c>
      <c r="DF93" s="15"/>
      <c r="DG93" s="15" t="n">
        <v>41</v>
      </c>
      <c r="DH93" s="16" t="s">
        <v>575</v>
      </c>
      <c r="DI93" s="16" t="n">
        <v>20000</v>
      </c>
      <c r="DJ93" s="16"/>
      <c r="DK93" s="16" t="n">
        <v>7500</v>
      </c>
      <c r="DL93" s="16" t="s">
        <v>576</v>
      </c>
      <c r="DM93" s="16" t="s">
        <v>574</v>
      </c>
      <c r="DN93" s="16" t="n">
        <v>41000</v>
      </c>
      <c r="DO93" s="16" t="n">
        <v>14000</v>
      </c>
      <c r="DP93" s="16" t="n">
        <v>626</v>
      </c>
      <c r="DQ93" s="16" t="n">
        <v>57000</v>
      </c>
      <c r="DR93" s="16" t="n">
        <v>7915</v>
      </c>
      <c r="DS93" s="16" t="s">
        <v>575</v>
      </c>
      <c r="DT93" s="16" t="n">
        <v>3400</v>
      </c>
      <c r="DU93" s="16" t="n">
        <v>1400</v>
      </c>
      <c r="DV93" s="16" t="n">
        <v>7400</v>
      </c>
      <c r="DW93" s="16" t="s">
        <v>576</v>
      </c>
      <c r="DX93" s="16" t="n">
        <v>22000</v>
      </c>
      <c r="DY93" s="16" t="n">
        <v>55000</v>
      </c>
      <c r="DZ93" s="16"/>
    </row>
    <row r="94" customFormat="false" ht="15" hidden="false" customHeight="false" outlineLevel="0" collapsed="false">
      <c r="A94" s="14" t="n">
        <v>2010</v>
      </c>
      <c r="B94" s="16" t="s">
        <v>576</v>
      </c>
      <c r="C94" s="16" t="s">
        <v>577</v>
      </c>
      <c r="D94" s="16" t="n">
        <v>9600</v>
      </c>
      <c r="E94" s="16" t="n">
        <v>2200</v>
      </c>
      <c r="F94" s="16" t="s">
        <v>577</v>
      </c>
      <c r="G94" s="16" t="s">
        <v>576</v>
      </c>
      <c r="H94" s="11" t="n">
        <v>39</v>
      </c>
      <c r="I94" s="16" t="s">
        <v>576</v>
      </c>
      <c r="J94" s="16" t="s">
        <v>576</v>
      </c>
      <c r="K94" s="16" t="s">
        <v>575</v>
      </c>
      <c r="L94" s="16" t="s">
        <v>574</v>
      </c>
      <c r="M94" s="16" t="s">
        <v>575</v>
      </c>
      <c r="N94" s="16" t="n">
        <v>18</v>
      </c>
      <c r="O94" s="16" t="s">
        <v>577</v>
      </c>
      <c r="P94" s="16" t="n">
        <v>1900</v>
      </c>
      <c r="Q94" s="15" t="s">
        <v>574</v>
      </c>
      <c r="R94" s="16" t="s">
        <v>575</v>
      </c>
      <c r="S94" s="16" t="n">
        <v>4600</v>
      </c>
      <c r="T94" s="16" t="n">
        <v>15000</v>
      </c>
      <c r="U94" s="11" t="n">
        <v>14</v>
      </c>
      <c r="V94" s="16" t="n">
        <v>4300</v>
      </c>
      <c r="W94" s="16" t="n">
        <v>5100</v>
      </c>
      <c r="X94" s="16" t="n">
        <v>3000</v>
      </c>
      <c r="Y94" s="16" t="n">
        <v>24000</v>
      </c>
      <c r="Z94" s="16" t="n">
        <v>356</v>
      </c>
      <c r="AA94" s="16" t="s">
        <v>577</v>
      </c>
      <c r="AB94" s="16" t="n">
        <v>8300</v>
      </c>
      <c r="AC94" s="16" t="n">
        <v>6100</v>
      </c>
      <c r="AD94" s="16" t="s">
        <v>575</v>
      </c>
      <c r="AE94" s="16" t="n">
        <v>16000</v>
      </c>
      <c r="AF94" s="15" t="n">
        <v>4400</v>
      </c>
      <c r="AG94" s="15" t="n">
        <v>6000</v>
      </c>
      <c r="AH94" s="16" t="s">
        <v>577</v>
      </c>
      <c r="AI94" s="16" t="s">
        <v>577</v>
      </c>
      <c r="AJ94" s="16" t="n">
        <v>19000</v>
      </c>
      <c r="AK94" s="16" t="n">
        <v>27000</v>
      </c>
      <c r="AL94" s="16"/>
      <c r="AM94" s="16" t="s">
        <v>575</v>
      </c>
      <c r="AN94" s="16" t="n">
        <v>4700</v>
      </c>
      <c r="AO94" s="16" t="n">
        <v>1000</v>
      </c>
      <c r="AP94" s="16" t="s">
        <v>576</v>
      </c>
      <c r="AQ94" s="16" t="s">
        <v>576</v>
      </c>
      <c r="AR94" s="16" t="n">
        <v>1100</v>
      </c>
      <c r="AS94" s="16" t="s">
        <v>575</v>
      </c>
      <c r="AT94" s="16"/>
      <c r="AU94" s="16" t="n">
        <v>67000</v>
      </c>
      <c r="AV94" s="16"/>
      <c r="AW94" s="16" t="n">
        <v>2100</v>
      </c>
      <c r="AX94" s="16" t="s">
        <v>575</v>
      </c>
      <c r="AY94" s="16" t="s">
        <v>577</v>
      </c>
      <c r="AZ94" s="16" t="n">
        <v>16000</v>
      </c>
      <c r="BA94" s="16" t="s">
        <v>575</v>
      </c>
      <c r="BB94" s="16" t="s">
        <v>575</v>
      </c>
      <c r="BC94" s="16" t="n">
        <v>3700</v>
      </c>
      <c r="BD94" s="16" t="s">
        <v>574</v>
      </c>
      <c r="BE94" s="16" t="n">
        <v>13000</v>
      </c>
      <c r="BF94" s="16" t="n">
        <v>1400</v>
      </c>
      <c r="BG94" s="16" t="n">
        <v>100000</v>
      </c>
      <c r="BH94" s="16" t="n">
        <v>16000</v>
      </c>
      <c r="BI94" s="16" t="n">
        <v>3100</v>
      </c>
      <c r="BJ94" s="16" t="n">
        <v>6</v>
      </c>
      <c r="BK94" s="15" t="s">
        <v>575</v>
      </c>
      <c r="BL94" s="16" t="n">
        <v>1300</v>
      </c>
      <c r="BM94" s="16" t="s">
        <v>576</v>
      </c>
      <c r="BN94" s="16" t="n">
        <v>42000</v>
      </c>
      <c r="BO94" s="16" t="s">
        <v>577</v>
      </c>
      <c r="BP94" s="16" t="n">
        <v>561</v>
      </c>
      <c r="BQ94" s="16" t="s">
        <v>574</v>
      </c>
      <c r="BR94" s="16" t="n">
        <v>8100</v>
      </c>
      <c r="BS94" s="16" t="n">
        <v>2100</v>
      </c>
      <c r="BT94" s="16" t="n">
        <v>3100</v>
      </c>
      <c r="BU94" s="16" t="n">
        <v>37000</v>
      </c>
      <c r="BV94" s="16" t="n">
        <v>8000</v>
      </c>
      <c r="BW94" s="16" t="n">
        <v>4000</v>
      </c>
      <c r="BX94" s="16" t="s">
        <v>575</v>
      </c>
      <c r="BY94" s="16" t="s">
        <v>575</v>
      </c>
      <c r="BZ94" s="16" t="n">
        <v>5000</v>
      </c>
      <c r="CA94" s="16" t="s">
        <v>574</v>
      </c>
      <c r="CB94" s="16" t="s">
        <v>575</v>
      </c>
      <c r="CC94" s="16" t="n">
        <v>43000</v>
      </c>
      <c r="CD94" s="16" t="n">
        <v>15000</v>
      </c>
      <c r="CE94" s="16" t="n">
        <v>4200</v>
      </c>
      <c r="CF94" s="16" t="n">
        <v>2400</v>
      </c>
      <c r="CG94" s="16"/>
      <c r="CH94" s="16" t="n">
        <v>16</v>
      </c>
      <c r="CI94" s="16" t="s">
        <v>576</v>
      </c>
      <c r="CJ94" s="16" t="n">
        <v>3500</v>
      </c>
      <c r="CK94" s="16" t="n">
        <v>160000</v>
      </c>
      <c r="CL94" s="16" t="n">
        <v>1400</v>
      </c>
      <c r="CM94" s="16" t="s">
        <v>576</v>
      </c>
      <c r="CN94" s="16" t="n">
        <v>1200</v>
      </c>
      <c r="CO94" s="16" t="s">
        <v>575</v>
      </c>
      <c r="CP94" s="16" t="n">
        <v>1900</v>
      </c>
      <c r="CQ94" s="16" t="s">
        <v>576</v>
      </c>
      <c r="CR94" s="16" t="s">
        <v>575</v>
      </c>
      <c r="CS94" s="16"/>
      <c r="CT94" s="16" t="n">
        <v>3900</v>
      </c>
      <c r="CU94" s="23" t="n">
        <v>6</v>
      </c>
      <c r="CV94" s="16" t="n">
        <v>1300</v>
      </c>
      <c r="CW94" s="16" t="n">
        <v>2000</v>
      </c>
      <c r="CX94" s="16" t="n">
        <v>1700</v>
      </c>
      <c r="CY94" s="16" t="n">
        <v>300000</v>
      </c>
      <c r="CZ94" s="16" t="n">
        <v>9300</v>
      </c>
      <c r="DA94" s="16" t="n">
        <v>1300</v>
      </c>
      <c r="DB94" s="16" t="s">
        <v>574</v>
      </c>
      <c r="DC94" s="16" t="n">
        <v>1400</v>
      </c>
      <c r="DD94" s="16" t="s">
        <v>577</v>
      </c>
      <c r="DE94" s="16" t="n">
        <v>4600</v>
      </c>
      <c r="DF94" s="15"/>
      <c r="DG94" s="15" t="n">
        <v>23</v>
      </c>
      <c r="DH94" s="16" t="s">
        <v>575</v>
      </c>
      <c r="DI94" s="16" t="n">
        <v>19000</v>
      </c>
      <c r="DJ94" s="16"/>
      <c r="DK94" s="16" t="n">
        <v>6700</v>
      </c>
      <c r="DL94" s="16" t="s">
        <v>576</v>
      </c>
      <c r="DM94" s="16" t="s">
        <v>574</v>
      </c>
      <c r="DN94" s="16" t="n">
        <v>38000</v>
      </c>
      <c r="DO94" s="16" t="n">
        <v>14000</v>
      </c>
      <c r="DP94" s="16" t="n">
        <v>684</v>
      </c>
      <c r="DQ94" s="16" t="n">
        <v>56000</v>
      </c>
      <c r="DR94" s="16" t="n">
        <v>6822</v>
      </c>
      <c r="DS94" s="16" t="s">
        <v>575</v>
      </c>
      <c r="DT94" s="16" t="n">
        <v>3700</v>
      </c>
      <c r="DU94" s="16" t="n">
        <v>1500</v>
      </c>
      <c r="DV94" s="16" t="n">
        <v>7500</v>
      </c>
      <c r="DW94" s="16" t="s">
        <v>576</v>
      </c>
      <c r="DX94" s="16" t="n">
        <v>22000</v>
      </c>
      <c r="DY94" s="16" t="n">
        <v>44000</v>
      </c>
      <c r="DZ94" s="16"/>
    </row>
    <row r="95" customFormat="false" ht="15" hidden="false" customHeight="false" outlineLevel="0" collapsed="false">
      <c r="A95" s="14" t="n">
        <v>2011</v>
      </c>
      <c r="B95" s="16" t="s">
        <v>576</v>
      </c>
      <c r="C95" s="16" t="s">
        <v>577</v>
      </c>
      <c r="D95" s="16" t="n">
        <v>9700</v>
      </c>
      <c r="E95" s="16" t="n">
        <v>2600</v>
      </c>
      <c r="F95" s="16" t="s">
        <v>577</v>
      </c>
      <c r="G95" s="16" t="s">
        <v>576</v>
      </c>
      <c r="H95" s="11" t="n">
        <v>34</v>
      </c>
      <c r="I95" s="16" t="s">
        <v>576</v>
      </c>
      <c r="J95" s="16" t="s">
        <v>576</v>
      </c>
      <c r="K95" s="16" t="s">
        <v>575</v>
      </c>
      <c r="L95" s="16" t="s">
        <v>574</v>
      </c>
      <c r="M95" s="16" t="s">
        <v>575</v>
      </c>
      <c r="N95" s="16" t="n">
        <v>30</v>
      </c>
      <c r="O95" s="16" t="s">
        <v>577</v>
      </c>
      <c r="P95" s="16" t="n">
        <v>2000</v>
      </c>
      <c r="Q95" s="15" t="s">
        <v>574</v>
      </c>
      <c r="R95" s="16" t="s">
        <v>575</v>
      </c>
      <c r="S95" s="16" t="n">
        <v>4300</v>
      </c>
      <c r="T95" s="16" t="n">
        <v>15000</v>
      </c>
      <c r="U95" s="11" t="n">
        <v>17</v>
      </c>
      <c r="V95" s="16" t="n">
        <v>3700</v>
      </c>
      <c r="W95" s="16" t="n">
        <v>4500</v>
      </c>
      <c r="X95" s="16" t="n">
        <v>3000</v>
      </c>
      <c r="Y95" s="16" t="n">
        <v>26000</v>
      </c>
      <c r="Z95" s="16" t="n">
        <v>303</v>
      </c>
      <c r="AA95" s="16" t="s">
        <v>577</v>
      </c>
      <c r="AB95" s="16" t="n">
        <v>8500</v>
      </c>
      <c r="AC95" s="16" t="n">
        <v>6700</v>
      </c>
      <c r="AD95" s="16" t="s">
        <v>575</v>
      </c>
      <c r="AE95" s="16" t="n">
        <v>19000</v>
      </c>
      <c r="AF95" s="15" t="n">
        <v>4700</v>
      </c>
      <c r="AG95" s="15" t="n">
        <v>5600</v>
      </c>
      <c r="AH95" s="16" t="s">
        <v>577</v>
      </c>
      <c r="AI95" s="16" t="s">
        <v>577</v>
      </c>
      <c r="AJ95" s="16" t="n">
        <v>14000</v>
      </c>
      <c r="AK95" s="16" t="n">
        <v>26000</v>
      </c>
      <c r="AL95" s="16"/>
      <c r="AM95" s="16" t="s">
        <v>575</v>
      </c>
      <c r="AN95" s="16" t="n">
        <v>4500</v>
      </c>
      <c r="AO95" s="16" t="n">
        <v>1000</v>
      </c>
      <c r="AP95" s="16" t="s">
        <v>576</v>
      </c>
      <c r="AQ95" s="16" t="s">
        <v>576</v>
      </c>
      <c r="AR95" s="16" t="n">
        <v>1200</v>
      </c>
      <c r="AS95" s="16" t="s">
        <v>575</v>
      </c>
      <c r="AT95" s="16"/>
      <c r="AU95" s="16" t="n">
        <v>56000</v>
      </c>
      <c r="AV95" s="16"/>
      <c r="AW95" s="16" t="n">
        <v>2100</v>
      </c>
      <c r="AX95" s="16" t="s">
        <v>575</v>
      </c>
      <c r="AY95" s="16" t="s">
        <v>577</v>
      </c>
      <c r="AZ95" s="16" t="n">
        <v>15000</v>
      </c>
      <c r="BA95" s="16" t="s">
        <v>575</v>
      </c>
      <c r="BB95" s="16" t="s">
        <v>575</v>
      </c>
      <c r="BC95" s="16" t="n">
        <v>3700</v>
      </c>
      <c r="BD95" s="16" t="s">
        <v>577</v>
      </c>
      <c r="BE95" s="16" t="n">
        <v>13000</v>
      </c>
      <c r="BF95" s="16" t="n">
        <v>1400</v>
      </c>
      <c r="BG95" s="16" t="n">
        <v>94000</v>
      </c>
      <c r="BH95" s="16" t="n">
        <v>20000</v>
      </c>
      <c r="BI95" s="16" t="n">
        <v>3300</v>
      </c>
      <c r="BJ95" s="16"/>
      <c r="BK95" s="15" t="s">
        <v>575</v>
      </c>
      <c r="BL95" s="16" t="n">
        <v>1400</v>
      </c>
      <c r="BM95" s="16" t="s">
        <v>575</v>
      </c>
      <c r="BN95" s="16" t="n">
        <v>36000</v>
      </c>
      <c r="BO95" s="16" t="s">
        <v>577</v>
      </c>
      <c r="BP95" s="16" t="n">
        <v>676</v>
      </c>
      <c r="BQ95" s="16" t="s">
        <v>574</v>
      </c>
      <c r="BR95" s="16" t="n">
        <v>7500</v>
      </c>
      <c r="BS95" s="16" t="n">
        <v>1900</v>
      </c>
      <c r="BT95" s="16" t="n">
        <v>3100</v>
      </c>
      <c r="BU95" s="16" t="n">
        <v>34000</v>
      </c>
      <c r="BV95" s="16" t="n">
        <v>8100</v>
      </c>
      <c r="BW95" s="16" t="n">
        <v>3700</v>
      </c>
      <c r="BX95" s="16" t="s">
        <v>575</v>
      </c>
      <c r="BY95" s="16" t="s">
        <v>575</v>
      </c>
      <c r="BZ95" s="16" t="n">
        <v>4900</v>
      </c>
      <c r="CA95" s="16" t="s">
        <v>574</v>
      </c>
      <c r="CB95" s="16" t="n">
        <v>1000</v>
      </c>
      <c r="CC95" s="16" t="n">
        <v>45000</v>
      </c>
      <c r="CD95" s="16" t="n">
        <v>15000</v>
      </c>
      <c r="CE95" s="16" t="n">
        <v>3500</v>
      </c>
      <c r="CF95" s="16" t="n">
        <v>2500</v>
      </c>
      <c r="CG95" s="16"/>
      <c r="CH95" s="16" t="n">
        <v>6</v>
      </c>
      <c r="CI95" s="16" t="s">
        <v>576</v>
      </c>
      <c r="CJ95" s="16" t="n">
        <v>3500</v>
      </c>
      <c r="CK95" s="16" t="n">
        <v>170000</v>
      </c>
      <c r="CL95" s="16" t="n">
        <v>1600</v>
      </c>
      <c r="CM95" s="16" t="s">
        <v>576</v>
      </c>
      <c r="CN95" s="16" t="n">
        <v>1300</v>
      </c>
      <c r="CO95" s="16" t="s">
        <v>575</v>
      </c>
      <c r="CP95" s="16" t="n">
        <v>1700</v>
      </c>
      <c r="CQ95" s="16" t="s">
        <v>576</v>
      </c>
      <c r="CR95" s="16" t="s">
        <v>575</v>
      </c>
      <c r="CS95" s="16"/>
      <c r="CT95" s="16" t="n">
        <v>3200</v>
      </c>
      <c r="CU95" s="23" t="n">
        <v>9</v>
      </c>
      <c r="CV95" s="16" t="n">
        <v>1300</v>
      </c>
      <c r="CW95" s="16" t="n">
        <v>2100</v>
      </c>
      <c r="CX95" s="16" t="n">
        <v>1700</v>
      </c>
      <c r="CY95" s="16" t="n">
        <v>290000</v>
      </c>
      <c r="CZ95" s="16" t="n">
        <v>9800</v>
      </c>
      <c r="DA95" s="16" t="n">
        <v>1300</v>
      </c>
      <c r="DB95" s="16" t="s">
        <v>574</v>
      </c>
      <c r="DC95" s="16" t="n">
        <v>1700</v>
      </c>
      <c r="DD95" s="16" t="s">
        <v>577</v>
      </c>
      <c r="DE95" s="16" t="n">
        <v>4400</v>
      </c>
      <c r="DF95" s="11"/>
      <c r="DG95" s="11" t="n">
        <v>13</v>
      </c>
      <c r="DH95" s="16" t="s">
        <v>575</v>
      </c>
      <c r="DI95" s="16" t="n">
        <v>18000</v>
      </c>
      <c r="DJ95" s="16"/>
      <c r="DK95" s="16" t="n">
        <v>5500</v>
      </c>
      <c r="DL95" s="16" t="s">
        <v>576</v>
      </c>
      <c r="DM95" s="16" t="s">
        <v>574</v>
      </c>
      <c r="DN95" s="16" t="n">
        <v>35000</v>
      </c>
      <c r="DO95" s="16" t="n">
        <v>14000</v>
      </c>
      <c r="DP95" s="16" t="n">
        <v>540</v>
      </c>
      <c r="DQ95" s="16" t="n">
        <v>51000</v>
      </c>
      <c r="DR95" s="16" t="n">
        <v>6212</v>
      </c>
      <c r="DS95" s="16" t="s">
        <v>575</v>
      </c>
      <c r="DT95" s="16" t="n">
        <v>3900</v>
      </c>
      <c r="DU95" s="16" t="n">
        <v>1800</v>
      </c>
      <c r="DV95" s="16" t="n">
        <v>8500</v>
      </c>
      <c r="DW95" s="16" t="s">
        <v>576</v>
      </c>
      <c r="DX95" s="16" t="n">
        <v>24000</v>
      </c>
      <c r="DY95" s="16" t="n">
        <v>36000</v>
      </c>
      <c r="DZ95" s="16"/>
    </row>
    <row r="96" customFormat="false" ht="15" hidden="false" customHeight="false" outlineLevel="0" collapsed="false">
      <c r="A96" s="14" t="n">
        <v>2012</v>
      </c>
      <c r="B96" s="16" t="s">
        <v>576</v>
      </c>
      <c r="C96" s="16" t="s">
        <v>577</v>
      </c>
      <c r="D96" s="16" t="n">
        <v>10000</v>
      </c>
      <c r="E96" s="16" t="n">
        <v>2600</v>
      </c>
      <c r="F96" s="16" t="s">
        <v>577</v>
      </c>
      <c r="G96" s="16" t="s">
        <v>576</v>
      </c>
      <c r="H96" s="11" t="n">
        <v>25</v>
      </c>
      <c r="I96" s="16" t="s">
        <v>576</v>
      </c>
      <c r="J96" s="16" t="s">
        <v>576</v>
      </c>
      <c r="K96" s="16" t="s">
        <v>575</v>
      </c>
      <c r="L96" s="16" t="s">
        <v>574</v>
      </c>
      <c r="M96" s="16" t="s">
        <v>575</v>
      </c>
      <c r="N96" s="16" t="n">
        <v>25</v>
      </c>
      <c r="O96" s="16" t="s">
        <v>577</v>
      </c>
      <c r="P96" s="16" t="n">
        <v>2000</v>
      </c>
      <c r="Q96" s="15" t="s">
        <v>574</v>
      </c>
      <c r="R96" s="16" t="s">
        <v>575</v>
      </c>
      <c r="S96" s="16" t="n">
        <v>3900</v>
      </c>
      <c r="T96" s="16" t="n">
        <v>15000</v>
      </c>
      <c r="U96" s="11" t="n">
        <v>16</v>
      </c>
      <c r="V96" s="16" t="n">
        <v>3100</v>
      </c>
      <c r="W96" s="16" t="n">
        <v>4000</v>
      </c>
      <c r="X96" s="16" t="n">
        <v>2700</v>
      </c>
      <c r="Y96" s="16" t="n">
        <v>26000</v>
      </c>
      <c r="Z96" s="16"/>
      <c r="AA96" s="16" t="s">
        <v>577</v>
      </c>
      <c r="AB96" s="16" t="n">
        <v>8700</v>
      </c>
      <c r="AC96" s="16" t="n">
        <v>7700</v>
      </c>
      <c r="AD96" s="16" t="s">
        <v>575</v>
      </c>
      <c r="AE96" s="16" t="n">
        <v>22000</v>
      </c>
      <c r="AF96" s="15" t="n">
        <v>3800</v>
      </c>
      <c r="AG96" s="15" t="n">
        <v>5200</v>
      </c>
      <c r="AH96" s="16" t="s">
        <v>577</v>
      </c>
      <c r="AI96" s="16" t="s">
        <v>577</v>
      </c>
      <c r="AJ96" s="16" t="n">
        <v>19000</v>
      </c>
      <c r="AK96" s="16" t="n">
        <v>26000</v>
      </c>
      <c r="AL96" s="16"/>
      <c r="AM96" s="16" t="s">
        <v>575</v>
      </c>
      <c r="AN96" s="16" t="n">
        <v>4300</v>
      </c>
      <c r="AO96" s="16" t="s">
        <v>575</v>
      </c>
      <c r="AP96" s="16" t="s">
        <v>576</v>
      </c>
      <c r="AQ96" s="16" t="s">
        <v>576</v>
      </c>
      <c r="AR96" s="16" t="n">
        <v>1100</v>
      </c>
      <c r="AS96" s="16" t="s">
        <v>575</v>
      </c>
      <c r="AT96" s="16"/>
      <c r="AU96" s="16" t="n">
        <v>47000</v>
      </c>
      <c r="AV96" s="16"/>
      <c r="AW96" s="16" t="n">
        <v>1900</v>
      </c>
      <c r="AX96" s="16" t="s">
        <v>575</v>
      </c>
      <c r="AY96" s="16" t="s">
        <v>577</v>
      </c>
      <c r="AZ96" s="16" t="n">
        <v>12000</v>
      </c>
      <c r="BA96" s="16" t="s">
        <v>576</v>
      </c>
      <c r="BB96" s="16" t="s">
        <v>575</v>
      </c>
      <c r="BC96" s="16" t="n">
        <v>3800</v>
      </c>
      <c r="BD96" s="16" t="s">
        <v>577</v>
      </c>
      <c r="BE96" s="16" t="n">
        <v>12000</v>
      </c>
      <c r="BF96" s="16" t="n">
        <v>1300</v>
      </c>
      <c r="BG96" s="16" t="n">
        <v>86000</v>
      </c>
      <c r="BH96" s="16" t="n">
        <v>24000</v>
      </c>
      <c r="BI96" s="16" t="n">
        <v>3500</v>
      </c>
      <c r="BJ96" s="16"/>
      <c r="BK96" s="15" t="s">
        <v>575</v>
      </c>
      <c r="BL96" s="16" t="n">
        <v>1400</v>
      </c>
      <c r="BM96" s="16" t="s">
        <v>575</v>
      </c>
      <c r="BN96" s="16" t="n">
        <v>31000</v>
      </c>
      <c r="BO96" s="16" t="s">
        <v>576</v>
      </c>
      <c r="BP96" s="16" t="n">
        <v>619</v>
      </c>
      <c r="BQ96" s="16" t="s">
        <v>574</v>
      </c>
      <c r="BR96" s="16" t="n">
        <v>8100</v>
      </c>
      <c r="BS96" s="16" t="n">
        <v>1800</v>
      </c>
      <c r="BT96" s="16" t="n">
        <v>3000</v>
      </c>
      <c r="BU96" s="16" t="n">
        <v>32000</v>
      </c>
      <c r="BV96" s="16" t="n">
        <v>7900</v>
      </c>
      <c r="BW96" s="16" t="n">
        <v>3500</v>
      </c>
      <c r="BX96" s="16" t="s">
        <v>575</v>
      </c>
      <c r="BY96" s="16" t="s">
        <v>576</v>
      </c>
      <c r="BZ96" s="16" t="n">
        <v>4600</v>
      </c>
      <c r="CA96" s="16" t="s">
        <v>574</v>
      </c>
      <c r="CB96" s="16" t="n">
        <v>1000</v>
      </c>
      <c r="CC96" s="16" t="n">
        <v>47000</v>
      </c>
      <c r="CD96" s="16" t="n">
        <v>14000</v>
      </c>
      <c r="CE96" s="16" t="n">
        <v>3000</v>
      </c>
      <c r="CF96" s="16" t="n">
        <v>2500</v>
      </c>
      <c r="CG96" s="16"/>
      <c r="CH96" s="16" t="n">
        <v>10</v>
      </c>
      <c r="CI96" s="16" t="s">
        <v>576</v>
      </c>
      <c r="CJ96" s="16" t="n">
        <v>3300</v>
      </c>
      <c r="CK96" s="16" t="n">
        <v>170000</v>
      </c>
      <c r="CL96" s="16" t="n">
        <v>1900</v>
      </c>
      <c r="CM96" s="16" t="s">
        <v>576</v>
      </c>
      <c r="CN96" s="16" t="n">
        <v>1200</v>
      </c>
      <c r="CO96" s="16" t="s">
        <v>575</v>
      </c>
      <c r="CP96" s="16" t="n">
        <v>1500</v>
      </c>
      <c r="CQ96" s="16" t="s">
        <v>576</v>
      </c>
      <c r="CR96" s="16" t="s">
        <v>575</v>
      </c>
      <c r="CS96" s="16"/>
      <c r="CT96" s="16" t="n">
        <v>2800</v>
      </c>
      <c r="CU96" s="23" t="n">
        <v>5</v>
      </c>
      <c r="CV96" s="16" t="n">
        <v>1400</v>
      </c>
      <c r="CW96" s="16" t="n">
        <v>2000</v>
      </c>
      <c r="CX96" s="16" t="n">
        <v>1700</v>
      </c>
      <c r="CY96" s="16" t="n">
        <v>250000</v>
      </c>
      <c r="CZ96" s="16" t="n">
        <v>10000</v>
      </c>
      <c r="DA96" s="16" t="n">
        <v>1300</v>
      </c>
      <c r="DB96" s="16" t="s">
        <v>574</v>
      </c>
      <c r="DC96" s="16" t="n">
        <v>2000</v>
      </c>
      <c r="DD96" s="16" t="s">
        <v>577</v>
      </c>
      <c r="DE96" s="16" t="n">
        <v>4000</v>
      </c>
      <c r="DF96" s="11"/>
      <c r="DG96" s="11" t="n">
        <v>3</v>
      </c>
      <c r="DH96" s="16" t="s">
        <v>575</v>
      </c>
      <c r="DI96" s="16" t="n">
        <v>17000</v>
      </c>
      <c r="DJ96" s="16"/>
      <c r="DK96" s="16" t="n">
        <v>4900</v>
      </c>
      <c r="DL96" s="16" t="s">
        <v>576</v>
      </c>
      <c r="DM96" s="16" t="s">
        <v>574</v>
      </c>
      <c r="DN96" s="16" t="n">
        <v>34000</v>
      </c>
      <c r="DO96" s="16" t="n">
        <v>14000</v>
      </c>
      <c r="DP96" s="16"/>
      <c r="DQ96" s="16" t="n">
        <v>55000</v>
      </c>
      <c r="DR96" s="16" t="n">
        <v>5617</v>
      </c>
      <c r="DS96" s="16" t="s">
        <v>576</v>
      </c>
      <c r="DT96" s="16" t="n">
        <v>3700</v>
      </c>
      <c r="DU96" s="16" t="n">
        <v>2100</v>
      </c>
      <c r="DV96" s="16" t="n">
        <v>9000</v>
      </c>
      <c r="DW96" s="16" t="s">
        <v>576</v>
      </c>
      <c r="DX96" s="16" t="n">
        <v>21000</v>
      </c>
      <c r="DY96" s="16" t="n">
        <v>32000</v>
      </c>
      <c r="DZ96" s="16"/>
    </row>
    <row r="97" customFormat="false" ht="15" hidden="false" customHeight="false" outlineLevel="0" collapsed="false">
      <c r="A97" s="14" t="n">
        <v>2013</v>
      </c>
      <c r="B97" s="16" t="s">
        <v>576</v>
      </c>
      <c r="C97" s="16" t="s">
        <v>577</v>
      </c>
      <c r="D97" s="16" t="n">
        <v>10000</v>
      </c>
      <c r="E97" s="16" t="n">
        <v>2500</v>
      </c>
      <c r="F97" s="16" t="s">
        <v>577</v>
      </c>
      <c r="G97" s="16" t="s">
        <v>576</v>
      </c>
      <c r="H97" s="11" t="n">
        <v>34</v>
      </c>
      <c r="I97" s="16" t="s">
        <v>576</v>
      </c>
      <c r="J97" s="16" t="s">
        <v>576</v>
      </c>
      <c r="K97" s="16" t="s">
        <v>575</v>
      </c>
      <c r="L97" s="16" t="s">
        <v>574</v>
      </c>
      <c r="M97" s="16" t="s">
        <v>575</v>
      </c>
      <c r="N97" s="16"/>
      <c r="O97" s="16" t="s">
        <v>577</v>
      </c>
      <c r="P97" s="16" t="n">
        <v>2100</v>
      </c>
      <c r="Q97" s="16"/>
      <c r="R97" s="16" t="s">
        <v>575</v>
      </c>
      <c r="S97" s="16" t="n">
        <v>3600</v>
      </c>
      <c r="T97" s="16" t="n">
        <v>15000</v>
      </c>
      <c r="U97" s="11" t="n">
        <v>14</v>
      </c>
      <c r="V97" s="16" t="n">
        <v>3300</v>
      </c>
      <c r="W97" s="16" t="n">
        <v>3400</v>
      </c>
      <c r="X97" s="16" t="n">
        <v>2500</v>
      </c>
      <c r="Y97" s="16" t="n">
        <v>26000</v>
      </c>
      <c r="Z97" s="16"/>
      <c r="AA97" s="16" t="s">
        <v>577</v>
      </c>
      <c r="AB97" s="16" t="n">
        <v>8600</v>
      </c>
      <c r="AC97" s="16" t="n">
        <v>7900</v>
      </c>
      <c r="AD97" s="16" t="s">
        <v>575</v>
      </c>
      <c r="AE97" s="16" t="n">
        <v>22000</v>
      </c>
      <c r="AF97" s="15" t="n">
        <v>2900</v>
      </c>
      <c r="AG97" s="16"/>
      <c r="AH97" s="16" t="s">
        <v>576</v>
      </c>
      <c r="AI97" s="16" t="s">
        <v>577</v>
      </c>
      <c r="AJ97" s="16" t="n">
        <v>22000</v>
      </c>
      <c r="AK97" s="16" t="n">
        <v>24000</v>
      </c>
      <c r="AL97" s="16"/>
      <c r="AM97" s="16" t="s">
        <v>575</v>
      </c>
      <c r="AN97" s="16" t="n">
        <v>3900</v>
      </c>
      <c r="AO97" s="16" t="s">
        <v>575</v>
      </c>
      <c r="AP97" s="16" t="s">
        <v>576</v>
      </c>
      <c r="AQ97" s="16" t="s">
        <v>576</v>
      </c>
      <c r="AR97" s="16" t="s">
        <v>575</v>
      </c>
      <c r="AS97" s="16" t="s">
        <v>576</v>
      </c>
      <c r="AT97" s="16"/>
      <c r="AU97" s="16"/>
      <c r="AV97" s="16" t="s">
        <v>578</v>
      </c>
      <c r="AW97" s="16" t="n">
        <v>1500</v>
      </c>
      <c r="AX97" s="16" t="s">
        <v>575</v>
      </c>
      <c r="AY97" s="16" t="s">
        <v>577</v>
      </c>
      <c r="AZ97" s="16" t="n">
        <v>11000</v>
      </c>
      <c r="BA97" s="16" t="s">
        <v>576</v>
      </c>
      <c r="BB97" s="16" t="s">
        <v>575</v>
      </c>
      <c r="BC97" s="16" t="n">
        <v>3500</v>
      </c>
      <c r="BD97" s="16" t="s">
        <v>577</v>
      </c>
      <c r="BE97" s="16" t="n">
        <v>10000</v>
      </c>
      <c r="BF97" s="16" t="n">
        <v>1100</v>
      </c>
      <c r="BG97" s="16" t="n">
        <v>78000</v>
      </c>
      <c r="BH97" s="16" t="n">
        <v>27000</v>
      </c>
      <c r="BI97" s="16" t="n">
        <v>3600</v>
      </c>
      <c r="BJ97" s="16"/>
      <c r="BK97" s="15" t="s">
        <v>575</v>
      </c>
      <c r="BL97" s="16" t="n">
        <v>1300</v>
      </c>
      <c r="BM97" s="16" t="s">
        <v>575</v>
      </c>
      <c r="BN97" s="16" t="n">
        <v>31000</v>
      </c>
      <c r="BO97" s="16" t="s">
        <v>576</v>
      </c>
      <c r="BP97" s="16" t="n">
        <v>720</v>
      </c>
      <c r="BQ97" s="16" t="s">
        <v>574</v>
      </c>
      <c r="BR97" s="16" t="n">
        <v>8400</v>
      </c>
      <c r="BS97" s="16" t="n">
        <v>1700</v>
      </c>
      <c r="BT97" s="16" t="n">
        <v>3000</v>
      </c>
      <c r="BU97" s="16" t="n">
        <v>28000</v>
      </c>
      <c r="BV97" s="16" t="n">
        <v>8000</v>
      </c>
      <c r="BW97" s="16" t="n">
        <v>4000</v>
      </c>
      <c r="BX97" s="16" t="s">
        <v>575</v>
      </c>
      <c r="BY97" s="16" t="s">
        <v>575</v>
      </c>
      <c r="BZ97" s="16" t="n">
        <v>4100</v>
      </c>
      <c r="CA97" s="16" t="s">
        <v>574</v>
      </c>
      <c r="CB97" s="16" t="s">
        <v>575</v>
      </c>
      <c r="CC97" s="16" t="n">
        <v>49000</v>
      </c>
      <c r="CD97" s="16" t="n">
        <v>12000</v>
      </c>
      <c r="CE97" s="16" t="n">
        <v>2800</v>
      </c>
      <c r="CF97" s="16" t="n">
        <v>2400</v>
      </c>
      <c r="CG97" s="16"/>
      <c r="CH97" s="16" t="n">
        <v>7</v>
      </c>
      <c r="CI97" s="16" t="s">
        <v>576</v>
      </c>
      <c r="CJ97" s="16" t="n">
        <v>3000</v>
      </c>
      <c r="CK97" s="16" t="n">
        <v>170000</v>
      </c>
      <c r="CL97" s="16" t="n">
        <v>2300</v>
      </c>
      <c r="CM97" s="16" t="s">
        <v>576</v>
      </c>
      <c r="CN97" s="16" t="n">
        <v>1100</v>
      </c>
      <c r="CO97" s="16" t="s">
        <v>575</v>
      </c>
      <c r="CP97" s="16" t="n">
        <v>1200</v>
      </c>
      <c r="CQ97" s="16" t="s">
        <v>576</v>
      </c>
      <c r="CR97" s="16" t="s">
        <v>575</v>
      </c>
      <c r="CS97" s="16"/>
      <c r="CT97" s="16" t="n">
        <v>2600</v>
      </c>
      <c r="CU97" s="23" t="n">
        <v>2</v>
      </c>
      <c r="CV97" s="16" t="n">
        <v>1600</v>
      </c>
      <c r="CW97" s="16" t="n">
        <v>2100</v>
      </c>
      <c r="CX97" s="16" t="n">
        <v>1700</v>
      </c>
      <c r="CY97" s="16" t="n">
        <v>210000</v>
      </c>
      <c r="CZ97" s="16" t="n">
        <v>11000</v>
      </c>
      <c r="DA97" s="16" t="n">
        <v>1300</v>
      </c>
      <c r="DB97" s="16" t="s">
        <v>577</v>
      </c>
      <c r="DC97" s="16" t="n">
        <v>2200</v>
      </c>
      <c r="DD97" s="16" t="s">
        <v>577</v>
      </c>
      <c r="DE97" s="16" t="n">
        <v>3700</v>
      </c>
      <c r="DF97" s="11"/>
      <c r="DG97" s="11" t="n">
        <v>4</v>
      </c>
      <c r="DH97" s="16" t="s">
        <v>575</v>
      </c>
      <c r="DI97" s="16" t="n">
        <v>17000</v>
      </c>
      <c r="DJ97" s="16"/>
      <c r="DK97" s="16" t="n">
        <v>4500</v>
      </c>
      <c r="DL97" s="16" t="s">
        <v>576</v>
      </c>
      <c r="DM97" s="16" t="s">
        <v>574</v>
      </c>
      <c r="DN97" s="16" t="n">
        <v>31000</v>
      </c>
      <c r="DO97" s="16" t="n">
        <v>11000</v>
      </c>
      <c r="DP97" s="16"/>
      <c r="DQ97" s="16" t="n">
        <v>44000</v>
      </c>
      <c r="DR97" s="16"/>
      <c r="DS97" s="16" t="s">
        <v>576</v>
      </c>
      <c r="DT97" s="16" t="n">
        <v>3400</v>
      </c>
      <c r="DU97" s="16" t="n">
        <v>2300</v>
      </c>
      <c r="DV97" s="16" t="n">
        <v>9400</v>
      </c>
      <c r="DW97" s="16" t="s">
        <v>576</v>
      </c>
      <c r="DX97" s="16" t="n">
        <v>19000</v>
      </c>
      <c r="DY97" s="16" t="n">
        <v>31000</v>
      </c>
      <c r="DZ97" s="16"/>
    </row>
    <row r="98" customFormat="false" ht="15" hidden="false" customHeight="false" outlineLevel="0" collapsed="false">
      <c r="A98" s="14" t="n">
        <v>2014</v>
      </c>
      <c r="B98" s="16" t="s">
        <v>576</v>
      </c>
      <c r="C98" s="16" t="s">
        <v>577</v>
      </c>
      <c r="D98" s="16" t="n">
        <v>9800</v>
      </c>
      <c r="E98" s="16" t="n">
        <v>2400</v>
      </c>
      <c r="F98" s="16" t="s">
        <v>577</v>
      </c>
      <c r="G98" s="16" t="s">
        <v>577</v>
      </c>
      <c r="H98" s="11" t="n">
        <v>29</v>
      </c>
      <c r="I98" s="16" t="s">
        <v>576</v>
      </c>
      <c r="J98" s="16" t="s">
        <v>576</v>
      </c>
      <c r="K98" s="16" t="s">
        <v>575</v>
      </c>
      <c r="L98" s="16" t="s">
        <v>574</v>
      </c>
      <c r="M98" s="16" t="s">
        <v>575</v>
      </c>
      <c r="N98" s="16"/>
      <c r="O98" s="16" t="s">
        <v>577</v>
      </c>
      <c r="P98" s="16" t="n">
        <v>2300</v>
      </c>
      <c r="Q98" s="16"/>
      <c r="R98" s="16" t="s">
        <v>575</v>
      </c>
      <c r="S98" s="16" t="n">
        <v>3200</v>
      </c>
      <c r="T98" s="16" t="n">
        <v>15000</v>
      </c>
      <c r="U98" s="11" t="n">
        <v>13</v>
      </c>
      <c r="V98" s="16" t="n">
        <v>3400</v>
      </c>
      <c r="W98" s="16" t="n">
        <v>3200</v>
      </c>
      <c r="X98" s="16" t="n">
        <v>2200</v>
      </c>
      <c r="Y98" s="16" t="n">
        <v>29000</v>
      </c>
      <c r="Z98" s="16"/>
      <c r="AA98" s="16" t="s">
        <v>577</v>
      </c>
      <c r="AB98" s="16" t="n">
        <v>8200</v>
      </c>
      <c r="AC98" s="16" t="n">
        <v>7900</v>
      </c>
      <c r="AD98" s="16" t="s">
        <v>576</v>
      </c>
      <c r="AE98" s="16" t="n">
        <v>21000</v>
      </c>
      <c r="AF98" s="15" t="n">
        <v>2500</v>
      </c>
      <c r="AG98" s="16"/>
      <c r="AH98" s="16" t="s">
        <v>576</v>
      </c>
      <c r="AI98" s="16" t="s">
        <v>577</v>
      </c>
      <c r="AJ98" s="16" t="n">
        <v>23000</v>
      </c>
      <c r="AK98" s="16" t="n">
        <v>21000</v>
      </c>
      <c r="AL98" s="16"/>
      <c r="AM98" s="16" t="s">
        <v>575</v>
      </c>
      <c r="AN98" s="16" t="n">
        <v>3600</v>
      </c>
      <c r="AO98" s="16" t="n">
        <v>1000</v>
      </c>
      <c r="AP98" s="16" t="s">
        <v>576</v>
      </c>
      <c r="AQ98" s="16" t="s">
        <v>576</v>
      </c>
      <c r="AR98" s="16" t="s">
        <v>575</v>
      </c>
      <c r="AS98" s="16" t="s">
        <v>576</v>
      </c>
      <c r="AT98" s="16"/>
      <c r="AU98" s="16" t="n">
        <v>23000</v>
      </c>
      <c r="AV98" s="16"/>
      <c r="AW98" s="16" t="n">
        <v>1100</v>
      </c>
      <c r="AX98" s="16" t="s">
        <v>575</v>
      </c>
      <c r="AY98" s="16" t="s">
        <v>577</v>
      </c>
      <c r="AZ98" s="16" t="n">
        <v>11000</v>
      </c>
      <c r="BA98" s="16" t="s">
        <v>576</v>
      </c>
      <c r="BB98" s="16" t="n">
        <v>1100</v>
      </c>
      <c r="BC98" s="16" t="n">
        <v>4100</v>
      </c>
      <c r="BD98" s="16" t="s">
        <v>577</v>
      </c>
      <c r="BE98" s="16" t="n">
        <v>8900</v>
      </c>
      <c r="BF98" s="16" t="n">
        <v>1000</v>
      </c>
      <c r="BG98" s="16" t="n">
        <v>68000</v>
      </c>
      <c r="BH98" s="16" t="n">
        <v>31000</v>
      </c>
      <c r="BI98" s="16" t="n">
        <v>3700</v>
      </c>
      <c r="BJ98" s="16"/>
      <c r="BK98" s="15" t="s">
        <v>575</v>
      </c>
      <c r="BL98" s="16" t="n">
        <v>1200</v>
      </c>
      <c r="BM98" s="16" t="s">
        <v>575</v>
      </c>
      <c r="BN98" s="16" t="n">
        <v>32000</v>
      </c>
      <c r="BO98" s="16" t="s">
        <v>576</v>
      </c>
      <c r="BP98" s="16" t="n">
        <v>725</v>
      </c>
      <c r="BQ98" s="16" t="s">
        <v>574</v>
      </c>
      <c r="BR98" s="16" t="n">
        <v>8800</v>
      </c>
      <c r="BS98" s="16" t="n">
        <v>1600</v>
      </c>
      <c r="BT98" s="16" t="n">
        <v>2900</v>
      </c>
      <c r="BU98" s="16" t="n">
        <v>25000</v>
      </c>
      <c r="BV98" s="16" t="n">
        <v>7800</v>
      </c>
      <c r="BW98" s="16" t="n">
        <v>5000</v>
      </c>
      <c r="BX98" s="16" t="s">
        <v>575</v>
      </c>
      <c r="BY98" s="16" t="s">
        <v>576</v>
      </c>
      <c r="BZ98" s="16" t="n">
        <v>4000</v>
      </c>
      <c r="CA98" s="16" t="s">
        <v>574</v>
      </c>
      <c r="CB98" s="16" t="s">
        <v>575</v>
      </c>
      <c r="CC98" s="16" t="n">
        <v>42000</v>
      </c>
      <c r="CD98" s="16" t="n">
        <v>11000</v>
      </c>
      <c r="CE98" s="16" t="n">
        <v>2700</v>
      </c>
      <c r="CF98" s="16" t="n">
        <v>2300</v>
      </c>
      <c r="CG98" s="16"/>
      <c r="CH98" s="16"/>
      <c r="CI98" s="16" t="s">
        <v>576</v>
      </c>
      <c r="CJ98" s="16" t="n">
        <v>2800</v>
      </c>
      <c r="CK98" s="16" t="n">
        <v>150000</v>
      </c>
      <c r="CL98" s="16" t="n">
        <v>2800</v>
      </c>
      <c r="CM98" s="16" t="s">
        <v>576</v>
      </c>
      <c r="CN98" s="16" t="s">
        <v>575</v>
      </c>
      <c r="CO98" s="16" t="s">
        <v>575</v>
      </c>
      <c r="CP98" s="16" t="n">
        <v>1200</v>
      </c>
      <c r="CQ98" s="16" t="s">
        <v>576</v>
      </c>
      <c r="CR98" s="16" t="s">
        <v>575</v>
      </c>
      <c r="CS98" s="16"/>
      <c r="CT98" s="16" t="n">
        <v>2500</v>
      </c>
      <c r="CU98" s="23"/>
      <c r="CV98" s="16" t="n">
        <v>1700</v>
      </c>
      <c r="CW98" s="16" t="n">
        <v>2200</v>
      </c>
      <c r="CX98" s="16" t="n">
        <v>1700</v>
      </c>
      <c r="CY98" s="16" t="n">
        <v>180000</v>
      </c>
      <c r="CZ98" s="16" t="n">
        <v>11000</v>
      </c>
      <c r="DA98" s="16" t="n">
        <v>1300</v>
      </c>
      <c r="DB98" s="16" t="s">
        <v>577</v>
      </c>
      <c r="DC98" s="16" t="n">
        <v>2400</v>
      </c>
      <c r="DD98" s="16" t="s">
        <v>577</v>
      </c>
      <c r="DE98" s="16" t="n">
        <v>3600</v>
      </c>
      <c r="DF98" s="11"/>
      <c r="DG98" s="11" t="n">
        <v>4</v>
      </c>
      <c r="DH98" s="16" t="s">
        <v>575</v>
      </c>
      <c r="DI98" s="16" t="n">
        <v>15000</v>
      </c>
      <c r="DJ98" s="16" t="n">
        <v>7</v>
      </c>
      <c r="DK98" s="16" t="n">
        <v>4600</v>
      </c>
      <c r="DL98" s="16" t="s">
        <v>576</v>
      </c>
      <c r="DM98" s="16" t="s">
        <v>574</v>
      </c>
      <c r="DN98" s="16" t="n">
        <v>26000</v>
      </c>
      <c r="DO98" s="16" t="n">
        <v>8600</v>
      </c>
      <c r="DP98" s="16" t="s">
        <v>579</v>
      </c>
      <c r="DQ98" s="16" t="n">
        <v>37000</v>
      </c>
      <c r="DR98" s="16"/>
      <c r="DS98" s="16" t="s">
        <v>576</v>
      </c>
      <c r="DT98" s="16" t="n">
        <v>3000</v>
      </c>
      <c r="DU98" s="16" t="n">
        <v>2900</v>
      </c>
      <c r="DV98" s="16" t="n">
        <v>9300</v>
      </c>
      <c r="DW98" s="16" t="s">
        <v>576</v>
      </c>
      <c r="DX98" s="16" t="n">
        <v>16000</v>
      </c>
      <c r="DY98" s="16" t="n">
        <v>26000</v>
      </c>
      <c r="DZ98" s="16"/>
    </row>
    <row r="99" customFormat="false" ht="15" hidden="false" customHeight="false" outlineLevel="0" collapsed="false">
      <c r="A99" s="14" t="n">
        <v>2015</v>
      </c>
      <c r="B99" s="16" t="s">
        <v>576</v>
      </c>
      <c r="C99" s="16" t="s">
        <v>574</v>
      </c>
      <c r="D99" s="16" t="n">
        <v>9400</v>
      </c>
      <c r="E99" s="16" t="n">
        <v>2300</v>
      </c>
      <c r="F99" s="16" t="s">
        <v>577</v>
      </c>
      <c r="G99" s="16" t="s">
        <v>577</v>
      </c>
      <c r="H99" s="16"/>
      <c r="I99" s="16" t="s">
        <v>576</v>
      </c>
      <c r="J99" s="16" t="s">
        <v>576</v>
      </c>
      <c r="K99" s="16" t="s">
        <v>575</v>
      </c>
      <c r="L99" s="16" t="s">
        <v>574</v>
      </c>
      <c r="M99" s="16" t="s">
        <v>575</v>
      </c>
      <c r="N99" s="16"/>
      <c r="O99" s="16" t="s">
        <v>577</v>
      </c>
      <c r="P99" s="16" t="n">
        <v>2400</v>
      </c>
      <c r="Q99" s="16"/>
      <c r="R99" s="16" t="s">
        <v>575</v>
      </c>
      <c r="S99" s="16" t="n">
        <v>2900</v>
      </c>
      <c r="T99" s="16" t="n">
        <v>15000</v>
      </c>
      <c r="U99" s="10"/>
      <c r="V99" s="16" t="n">
        <v>3100</v>
      </c>
      <c r="W99" s="16" t="n">
        <v>2700</v>
      </c>
      <c r="X99" s="16" t="n">
        <v>2000</v>
      </c>
      <c r="Y99" s="16" t="n">
        <v>30000</v>
      </c>
      <c r="Z99" s="16"/>
      <c r="AA99" s="16" t="s">
        <v>577</v>
      </c>
      <c r="AB99" s="16" t="n">
        <v>7100</v>
      </c>
      <c r="AC99" s="16" t="n">
        <v>7000</v>
      </c>
      <c r="AD99" s="16" t="s">
        <v>576</v>
      </c>
      <c r="AE99" s="16"/>
      <c r="AF99" s="15" t="n">
        <v>2200</v>
      </c>
      <c r="AG99" s="16"/>
      <c r="AH99" s="16" t="s">
        <v>576</v>
      </c>
      <c r="AI99" s="16" t="s">
        <v>576</v>
      </c>
      <c r="AJ99" s="16" t="n">
        <v>23000</v>
      </c>
      <c r="AK99" s="16" t="n">
        <v>19000</v>
      </c>
      <c r="AL99" s="16"/>
      <c r="AM99" s="16" t="s">
        <v>575</v>
      </c>
      <c r="AN99" s="16" t="n">
        <v>3000</v>
      </c>
      <c r="AO99" s="16" t="s">
        <v>575</v>
      </c>
      <c r="AP99" s="16" t="s">
        <v>576</v>
      </c>
      <c r="AQ99" s="16" t="s">
        <v>576</v>
      </c>
      <c r="AR99" s="16" t="s">
        <v>575</v>
      </c>
      <c r="AS99" s="16" t="s">
        <v>576</v>
      </c>
      <c r="AT99" s="16"/>
      <c r="AU99" s="16"/>
      <c r="AV99" s="16"/>
      <c r="AW99" s="16" t="n">
        <v>1100</v>
      </c>
      <c r="AX99" s="16" t="s">
        <v>575</v>
      </c>
      <c r="AY99" s="16" t="s">
        <v>576</v>
      </c>
      <c r="AZ99" s="16" t="n">
        <v>11000</v>
      </c>
      <c r="BA99" s="16" t="s">
        <v>576</v>
      </c>
      <c r="BB99" s="16" t="n">
        <v>1500</v>
      </c>
      <c r="BC99" s="16" t="n">
        <v>4300</v>
      </c>
      <c r="BD99" s="16" t="s">
        <v>577</v>
      </c>
      <c r="BE99" s="16" t="n">
        <v>7400</v>
      </c>
      <c r="BF99" s="16" t="n">
        <v>1000</v>
      </c>
      <c r="BG99" s="16" t="n">
        <v>60000</v>
      </c>
      <c r="BH99" s="16" t="n">
        <v>33000</v>
      </c>
      <c r="BI99" s="16" t="n">
        <v>3800</v>
      </c>
      <c r="BJ99" s="16"/>
      <c r="BK99" s="15" t="s">
        <v>575</v>
      </c>
      <c r="BL99" s="16" t="n">
        <v>1200</v>
      </c>
      <c r="BM99" s="16" t="s">
        <v>575</v>
      </c>
      <c r="BN99" s="16" t="n">
        <v>31000</v>
      </c>
      <c r="BO99" s="16" t="s">
        <v>576</v>
      </c>
      <c r="BP99" s="16" t="n">
        <v>481</v>
      </c>
      <c r="BQ99" s="16" t="s">
        <v>574</v>
      </c>
      <c r="BR99" s="16" t="n">
        <v>9200</v>
      </c>
      <c r="BS99" s="16" t="n">
        <v>1600</v>
      </c>
      <c r="BT99" s="16" t="n">
        <v>2800</v>
      </c>
      <c r="BU99" s="16" t="n">
        <v>23000</v>
      </c>
      <c r="BV99" s="16" t="n">
        <v>7200</v>
      </c>
      <c r="BW99" s="16" t="n">
        <v>5500</v>
      </c>
      <c r="BX99" s="16" t="s">
        <v>575</v>
      </c>
      <c r="BY99" s="16" t="s">
        <v>576</v>
      </c>
      <c r="BZ99" s="16" t="n">
        <v>3900</v>
      </c>
      <c r="CA99" s="16" t="s">
        <v>574</v>
      </c>
      <c r="CB99" s="16" t="s">
        <v>575</v>
      </c>
      <c r="CC99" s="16" t="n">
        <v>34000</v>
      </c>
      <c r="CD99" s="16" t="n">
        <v>9300</v>
      </c>
      <c r="CE99" s="16" t="n">
        <v>2900</v>
      </c>
      <c r="CF99" s="16" t="n">
        <v>2200</v>
      </c>
      <c r="CG99" s="16"/>
      <c r="CH99" s="16"/>
      <c r="CI99" s="16" t="s">
        <v>576</v>
      </c>
      <c r="CJ99" s="16" t="n">
        <v>3000</v>
      </c>
      <c r="CK99" s="16" t="n">
        <v>150000</v>
      </c>
      <c r="CL99" s="16" t="n">
        <v>3300</v>
      </c>
      <c r="CM99" s="16" t="s">
        <v>576</v>
      </c>
      <c r="CN99" s="16" t="s">
        <v>575</v>
      </c>
      <c r="CO99" s="16" t="s">
        <v>575</v>
      </c>
      <c r="CP99" s="16" t="n">
        <v>1500</v>
      </c>
      <c r="CQ99" s="16" t="s">
        <v>575</v>
      </c>
      <c r="CR99" s="16" t="s">
        <v>575</v>
      </c>
      <c r="CS99" s="16" t="n">
        <v>24940</v>
      </c>
      <c r="CT99" s="16" t="n">
        <v>2500</v>
      </c>
      <c r="CU99" s="23"/>
      <c r="CV99" s="16" t="n">
        <v>1800</v>
      </c>
      <c r="CW99" s="16" t="n">
        <v>2200</v>
      </c>
      <c r="CX99" s="16" t="n">
        <v>1700</v>
      </c>
      <c r="CY99" s="16" t="n">
        <v>170000</v>
      </c>
      <c r="CZ99" s="16" t="n">
        <v>10000</v>
      </c>
      <c r="DA99" s="16" t="n">
        <v>1200</v>
      </c>
      <c r="DB99" s="16" t="s">
        <v>577</v>
      </c>
      <c r="DC99" s="16" t="n">
        <v>2600</v>
      </c>
      <c r="DD99" s="16" t="s">
        <v>577</v>
      </c>
      <c r="DE99" s="16" t="n">
        <v>3500</v>
      </c>
      <c r="DF99" s="16"/>
      <c r="DG99" s="16"/>
      <c r="DH99" s="16" t="s">
        <v>575</v>
      </c>
      <c r="DI99" s="16" t="n">
        <v>14000</v>
      </c>
      <c r="DJ99" s="16" t="n">
        <v>8</v>
      </c>
      <c r="DK99" s="16" t="n">
        <v>4700</v>
      </c>
      <c r="DL99" s="16" t="s">
        <v>576</v>
      </c>
      <c r="DM99" s="16" t="s">
        <v>574</v>
      </c>
      <c r="DN99" s="16" t="n">
        <v>23000</v>
      </c>
      <c r="DO99" s="16" t="n">
        <v>7800</v>
      </c>
      <c r="DP99" s="16"/>
      <c r="DQ99" s="16" t="n">
        <v>31000</v>
      </c>
      <c r="DR99" s="16"/>
      <c r="DS99" s="16" t="s">
        <v>576</v>
      </c>
      <c r="DT99" s="16" t="n">
        <v>2500</v>
      </c>
      <c r="DU99" s="16" t="n">
        <v>3100</v>
      </c>
      <c r="DV99" s="16" t="n">
        <v>8800</v>
      </c>
      <c r="DW99" s="16" t="s">
        <v>576</v>
      </c>
      <c r="DX99" s="16" t="n">
        <v>16000</v>
      </c>
      <c r="DY99" s="16" t="n">
        <v>26000</v>
      </c>
      <c r="DZ99" s="16"/>
    </row>
    <row r="100" customFormat="false" ht="15" hidden="false" customHeight="false" outlineLevel="0" collapsed="false">
      <c r="A100" s="127"/>
      <c r="B100" s="15"/>
      <c r="C100" s="15"/>
      <c r="D100" s="15"/>
      <c r="E100" s="15"/>
      <c r="F100" s="15"/>
      <c r="G100" s="15"/>
      <c r="H100" s="15"/>
      <c r="I100" s="15"/>
      <c r="J100" s="15"/>
      <c r="K100" s="15"/>
      <c r="L100" s="15"/>
      <c r="M100" s="15"/>
      <c r="N100" s="15"/>
      <c r="O100" s="15"/>
      <c r="P100" s="15"/>
      <c r="Q100" s="15"/>
      <c r="R100" s="15"/>
      <c r="S100" s="15"/>
      <c r="T100" s="15"/>
      <c r="U100" s="10"/>
      <c r="V100" s="15"/>
      <c r="W100" s="15"/>
      <c r="X100" s="15"/>
      <c r="Y100" s="15"/>
      <c r="Z100" s="15"/>
      <c r="AA100" s="15"/>
      <c r="AB100" s="15"/>
      <c r="AC100" s="15"/>
      <c r="AD100" s="15"/>
      <c r="AE100" s="15"/>
      <c r="AF100" s="15"/>
      <c r="AG100" s="15"/>
      <c r="AH100" s="12"/>
      <c r="AI100" s="12"/>
      <c r="AJ100" s="15"/>
      <c r="AK100" s="15"/>
      <c r="AL100" s="12"/>
      <c r="AM100" s="15"/>
      <c r="AN100" s="15"/>
      <c r="AO100" s="15"/>
      <c r="AP100" s="15"/>
      <c r="AQ100" s="15"/>
      <c r="AR100" s="15"/>
      <c r="AS100" s="15"/>
      <c r="AT100" s="15"/>
      <c r="AU100" s="15"/>
      <c r="AV100" s="12"/>
      <c r="AW100" s="15"/>
      <c r="AX100" s="15"/>
      <c r="AY100" s="15"/>
      <c r="AZ100" s="15"/>
      <c r="BA100" s="15"/>
      <c r="BB100" s="15"/>
      <c r="BC100" s="15"/>
      <c r="BD100" s="15"/>
      <c r="BE100" s="15"/>
      <c r="BF100" s="15"/>
      <c r="BG100" s="15"/>
      <c r="BH100" s="15"/>
      <c r="BI100" s="15"/>
      <c r="BJ100" s="26"/>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2"/>
      <c r="CI100" s="15"/>
      <c r="CJ100" s="15"/>
      <c r="CK100" s="15"/>
      <c r="CL100" s="15"/>
      <c r="CM100" s="15"/>
      <c r="CN100" s="15"/>
      <c r="CO100" s="15"/>
      <c r="CP100" s="15"/>
      <c r="CQ100" s="15"/>
      <c r="CR100" s="15"/>
      <c r="CS100" s="15"/>
      <c r="CT100" s="15"/>
      <c r="CU100" s="134"/>
      <c r="CV100" s="15"/>
      <c r="CW100" s="15"/>
      <c r="CX100" s="15"/>
      <c r="CY100" s="15"/>
      <c r="CZ100" s="15"/>
      <c r="DA100" s="15"/>
      <c r="DB100" s="15"/>
      <c r="DC100" s="15"/>
      <c r="DD100" s="15"/>
      <c r="DE100" s="15"/>
      <c r="DF100" s="15"/>
      <c r="DG100" s="15"/>
      <c r="DH100" s="15"/>
      <c r="DI100" s="15"/>
      <c r="DJ100" s="15"/>
      <c r="DK100" s="15"/>
      <c r="DL100" s="15"/>
      <c r="DM100" s="15"/>
      <c r="DN100" s="15"/>
      <c r="DO100" s="15"/>
      <c r="DP100" s="12"/>
      <c r="DQ100" s="15"/>
      <c r="DR100" s="15"/>
      <c r="DS100" s="15"/>
      <c r="DT100" s="15"/>
      <c r="DU100" s="15"/>
      <c r="DV100" s="15"/>
      <c r="DW100" s="15"/>
      <c r="DX100" s="15"/>
      <c r="DY100" s="15"/>
      <c r="DZ100" s="15"/>
    </row>
    <row r="101" customFormat="false" ht="15" hidden="false" customHeight="false" outlineLevel="0" collapsed="false">
      <c r="A101" s="127" t="s">
        <v>142</v>
      </c>
      <c r="B101" s="15" t="s">
        <v>143</v>
      </c>
      <c r="C101" s="15" t="s">
        <v>143</v>
      </c>
      <c r="D101" s="15" t="s">
        <v>143</v>
      </c>
      <c r="E101" s="15" t="s">
        <v>143</v>
      </c>
      <c r="F101" s="15" t="s">
        <v>143</v>
      </c>
      <c r="G101" s="15" t="s">
        <v>143</v>
      </c>
      <c r="H101" s="12" t="s">
        <v>503</v>
      </c>
      <c r="I101" s="15" t="s">
        <v>143</v>
      </c>
      <c r="J101" s="15" t="s">
        <v>143</v>
      </c>
      <c r="K101" s="15" t="s">
        <v>143</v>
      </c>
      <c r="L101" s="15" t="s">
        <v>143</v>
      </c>
      <c r="M101" s="15" t="s">
        <v>143</v>
      </c>
      <c r="N101" s="27" t="s">
        <v>580</v>
      </c>
      <c r="O101" s="15" t="s">
        <v>143</v>
      </c>
      <c r="P101" s="15" t="s">
        <v>143</v>
      </c>
      <c r="Q101" s="26" t="s">
        <v>536</v>
      </c>
      <c r="R101" s="15" t="s">
        <v>143</v>
      </c>
      <c r="S101" s="15" t="s">
        <v>143</v>
      </c>
      <c r="T101" s="15" t="s">
        <v>143</v>
      </c>
      <c r="U101" s="12" t="s">
        <v>581</v>
      </c>
      <c r="V101" s="15" t="s">
        <v>143</v>
      </c>
      <c r="W101" s="15" t="s">
        <v>143</v>
      </c>
      <c r="X101" s="15" t="s">
        <v>143</v>
      </c>
      <c r="Y101" s="15" t="s">
        <v>143</v>
      </c>
      <c r="Z101" s="27" t="s">
        <v>582</v>
      </c>
      <c r="AA101" s="15" t="s">
        <v>143</v>
      </c>
      <c r="AB101" s="15" t="s">
        <v>143</v>
      </c>
      <c r="AC101" s="15" t="s">
        <v>143</v>
      </c>
      <c r="AD101" s="15" t="s">
        <v>143</v>
      </c>
      <c r="AE101" s="27" t="s">
        <v>148</v>
      </c>
      <c r="AF101" s="15" t="s">
        <v>143</v>
      </c>
      <c r="AG101" s="26" t="s">
        <v>583</v>
      </c>
      <c r="AH101" s="15" t="s">
        <v>143</v>
      </c>
      <c r="AI101" s="15" t="s">
        <v>143</v>
      </c>
      <c r="AJ101" s="15" t="s">
        <v>143</v>
      </c>
      <c r="AK101" s="15" t="s">
        <v>143</v>
      </c>
      <c r="AL101" s="135" t="s">
        <v>584</v>
      </c>
      <c r="AM101" s="15" t="s">
        <v>143</v>
      </c>
      <c r="AN101" s="15" t="s">
        <v>143</v>
      </c>
      <c r="AO101" s="15" t="s">
        <v>143</v>
      </c>
      <c r="AP101" s="15" t="s">
        <v>143</v>
      </c>
      <c r="AQ101" s="15" t="s">
        <v>143</v>
      </c>
      <c r="AR101" s="15" t="s">
        <v>143</v>
      </c>
      <c r="AS101" s="15" t="s">
        <v>143</v>
      </c>
      <c r="AT101" s="135" t="s">
        <v>584</v>
      </c>
      <c r="AU101" s="12" t="s">
        <v>585</v>
      </c>
      <c r="AV101" s="135" t="s">
        <v>584</v>
      </c>
      <c r="AW101" s="15" t="s">
        <v>143</v>
      </c>
      <c r="AX101" s="15" t="s">
        <v>143</v>
      </c>
      <c r="AY101" s="15" t="s">
        <v>143</v>
      </c>
      <c r="AZ101" s="15" t="s">
        <v>143</v>
      </c>
      <c r="BA101" s="15" t="s">
        <v>143</v>
      </c>
      <c r="BB101" s="15" t="s">
        <v>143</v>
      </c>
      <c r="BC101" s="15" t="s">
        <v>143</v>
      </c>
      <c r="BD101" s="15" t="s">
        <v>143</v>
      </c>
      <c r="BE101" s="15" t="s">
        <v>143</v>
      </c>
      <c r="BF101" s="15" t="s">
        <v>143</v>
      </c>
      <c r="BG101" s="15" t="s">
        <v>143</v>
      </c>
      <c r="BH101" s="15" t="s">
        <v>143</v>
      </c>
      <c r="BI101" s="15" t="s">
        <v>143</v>
      </c>
      <c r="BJ101" s="26" t="s">
        <v>586</v>
      </c>
      <c r="BK101" s="15" t="s">
        <v>143</v>
      </c>
      <c r="BL101" s="15" t="s">
        <v>143</v>
      </c>
      <c r="BM101" s="15" t="s">
        <v>143</v>
      </c>
      <c r="BN101" s="15" t="s">
        <v>143</v>
      </c>
      <c r="BO101" s="15" t="s">
        <v>143</v>
      </c>
      <c r="BP101" s="135" t="s">
        <v>587</v>
      </c>
      <c r="BQ101" s="15" t="s">
        <v>143</v>
      </c>
      <c r="BR101" s="15" t="s">
        <v>143</v>
      </c>
      <c r="BS101" s="15" t="s">
        <v>143</v>
      </c>
      <c r="BT101" s="15" t="s">
        <v>143</v>
      </c>
      <c r="BU101" s="15" t="s">
        <v>143</v>
      </c>
      <c r="BV101" s="15" t="s">
        <v>143</v>
      </c>
      <c r="BW101" s="15" t="s">
        <v>143</v>
      </c>
      <c r="BX101" s="15" t="s">
        <v>143</v>
      </c>
      <c r="BY101" s="15" t="s">
        <v>143</v>
      </c>
      <c r="BZ101" s="15" t="s">
        <v>143</v>
      </c>
      <c r="CA101" s="15" t="s">
        <v>143</v>
      </c>
      <c r="CB101" s="15" t="s">
        <v>143</v>
      </c>
      <c r="CC101" s="15" t="s">
        <v>143</v>
      </c>
      <c r="CD101" s="15" t="s">
        <v>143</v>
      </c>
      <c r="CE101" s="15" t="s">
        <v>143</v>
      </c>
      <c r="CF101" s="15" t="s">
        <v>143</v>
      </c>
      <c r="CG101" s="135" t="s">
        <v>584</v>
      </c>
      <c r="CH101" s="27" t="s">
        <v>588</v>
      </c>
      <c r="CI101" s="15" t="s">
        <v>143</v>
      </c>
      <c r="CJ101" s="15" t="s">
        <v>143</v>
      </c>
      <c r="CK101" s="15" t="s">
        <v>143</v>
      </c>
      <c r="CL101" s="15" t="s">
        <v>143</v>
      </c>
      <c r="CM101" s="15" t="s">
        <v>143</v>
      </c>
      <c r="CN101" s="15" t="s">
        <v>143</v>
      </c>
      <c r="CO101" s="15" t="s">
        <v>143</v>
      </c>
      <c r="CP101" s="15" t="s">
        <v>143</v>
      </c>
      <c r="CQ101" s="15" t="s">
        <v>143</v>
      </c>
      <c r="CR101" s="15" t="s">
        <v>143</v>
      </c>
      <c r="CS101" s="15" t="s">
        <v>586</v>
      </c>
      <c r="CT101" s="15" t="s">
        <v>143</v>
      </c>
      <c r="CU101" s="134" t="s">
        <v>162</v>
      </c>
      <c r="CV101" s="15" t="s">
        <v>143</v>
      </c>
      <c r="CW101" s="15" t="s">
        <v>143</v>
      </c>
      <c r="CX101" s="15" t="s">
        <v>143</v>
      </c>
      <c r="CY101" s="15" t="s">
        <v>143</v>
      </c>
      <c r="CZ101" s="15" t="s">
        <v>143</v>
      </c>
      <c r="DA101" s="15" t="s">
        <v>143</v>
      </c>
      <c r="DB101" s="15" t="s">
        <v>143</v>
      </c>
      <c r="DC101" s="15" t="s">
        <v>143</v>
      </c>
      <c r="DD101" s="15" t="s">
        <v>143</v>
      </c>
      <c r="DE101" s="15" t="s">
        <v>143</v>
      </c>
      <c r="DF101" s="15" t="s">
        <v>581</v>
      </c>
      <c r="DG101" s="15" t="s">
        <v>581</v>
      </c>
      <c r="DH101" s="15" t="s">
        <v>143</v>
      </c>
      <c r="DI101" s="15" t="s">
        <v>143</v>
      </c>
      <c r="DJ101" s="135" t="s">
        <v>518</v>
      </c>
      <c r="DK101" s="15" t="s">
        <v>143</v>
      </c>
      <c r="DL101" s="15" t="s">
        <v>143</v>
      </c>
      <c r="DM101" s="15" t="s">
        <v>143</v>
      </c>
      <c r="DN101" s="15" t="s">
        <v>143</v>
      </c>
      <c r="DO101" s="15" t="s">
        <v>143</v>
      </c>
      <c r="DP101" s="27" t="s">
        <v>562</v>
      </c>
      <c r="DQ101" s="15" t="s">
        <v>143</v>
      </c>
      <c r="DR101" s="15" t="s">
        <v>520</v>
      </c>
      <c r="DS101" s="15" t="s">
        <v>143</v>
      </c>
      <c r="DT101" s="15" t="s">
        <v>143</v>
      </c>
      <c r="DU101" s="15" t="s">
        <v>143</v>
      </c>
      <c r="DV101" s="15" t="s">
        <v>143</v>
      </c>
      <c r="DW101" s="15" t="s">
        <v>143</v>
      </c>
      <c r="DX101" s="15" t="s">
        <v>143</v>
      </c>
      <c r="DY101" s="15" t="s">
        <v>143</v>
      </c>
      <c r="DZ101" s="15"/>
    </row>
    <row r="102" customFormat="false" ht="15" hidden="false" customHeight="false" outlineLevel="0" collapsed="false">
      <c r="A102" s="13"/>
      <c r="B102" s="15"/>
      <c r="C102" s="15"/>
      <c r="D102" s="15"/>
      <c r="E102" s="15"/>
      <c r="F102" s="15"/>
      <c r="G102" s="15"/>
      <c r="H102" s="15" t="s">
        <v>589</v>
      </c>
      <c r="I102" s="15"/>
      <c r="J102" s="15"/>
      <c r="K102" s="15"/>
      <c r="L102" s="15"/>
      <c r="M102" s="15"/>
      <c r="N102" s="15"/>
      <c r="O102" s="15"/>
      <c r="P102" s="15"/>
      <c r="Q102" s="15"/>
      <c r="R102" s="15"/>
      <c r="S102" s="15"/>
      <c r="T102" s="15"/>
      <c r="U102" s="12" t="s">
        <v>503</v>
      </c>
      <c r="V102" s="15"/>
      <c r="W102" s="15"/>
      <c r="X102" s="15"/>
      <c r="Y102" s="15"/>
      <c r="Z102" s="26" t="s">
        <v>590</v>
      </c>
      <c r="AA102" s="15"/>
      <c r="AB102" s="15"/>
      <c r="AC102" s="15"/>
      <c r="AD102" s="26"/>
      <c r="AE102" s="26" t="s">
        <v>591</v>
      </c>
      <c r="AF102" s="26"/>
      <c r="AG102" s="26"/>
      <c r="AH102" s="15"/>
      <c r="AI102" s="15"/>
      <c r="AJ102" s="15"/>
      <c r="AK102" s="15"/>
      <c r="AL102" s="15" t="s">
        <v>592</v>
      </c>
      <c r="AM102" s="26"/>
      <c r="AN102" s="26"/>
      <c r="AO102" s="26"/>
      <c r="AP102" s="26"/>
      <c r="AQ102" s="12"/>
      <c r="AR102" s="12"/>
      <c r="AS102" s="12"/>
      <c r="AT102" s="12" t="s">
        <v>592</v>
      </c>
      <c r="AU102" s="27" t="s">
        <v>593</v>
      </c>
      <c r="AV102" s="26" t="s">
        <v>594</v>
      </c>
      <c r="AW102" s="15"/>
      <c r="AX102" s="15"/>
      <c r="AY102" s="15"/>
      <c r="AZ102" s="12"/>
      <c r="BA102" s="15"/>
      <c r="BB102" s="15"/>
      <c r="BC102" s="15"/>
      <c r="BD102" s="15"/>
      <c r="BE102" s="15"/>
      <c r="BF102" s="15"/>
      <c r="BG102" s="15"/>
      <c r="BH102" s="15"/>
      <c r="BI102" s="15"/>
      <c r="BJ102" s="29" t="s">
        <v>595</v>
      </c>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t="s">
        <v>592</v>
      </c>
      <c r="CH102" s="15" t="s">
        <v>592</v>
      </c>
      <c r="CI102" s="15"/>
      <c r="CJ102" s="15"/>
      <c r="CK102" s="15"/>
      <c r="CL102" s="15"/>
      <c r="CM102" s="15"/>
      <c r="CN102" s="15"/>
      <c r="CO102" s="15"/>
      <c r="CP102" s="15"/>
      <c r="CQ102" s="15"/>
      <c r="CR102" s="15"/>
      <c r="CS102" s="15"/>
      <c r="CT102" s="15"/>
      <c r="CU102" s="136" t="s">
        <v>596</v>
      </c>
      <c r="CV102" s="15"/>
      <c r="CW102" s="15"/>
      <c r="CX102" s="15"/>
      <c r="CY102" s="15"/>
      <c r="CZ102" s="15"/>
      <c r="DA102" s="15"/>
      <c r="DB102" s="15"/>
      <c r="DC102" s="15"/>
      <c r="DD102" s="15"/>
      <c r="DE102" s="15"/>
      <c r="DF102" s="12" t="s">
        <v>503</v>
      </c>
      <c r="DG102" s="12" t="s">
        <v>503</v>
      </c>
      <c r="DH102" s="15"/>
      <c r="DI102" s="15"/>
      <c r="DJ102" s="15"/>
      <c r="DK102" s="15"/>
      <c r="DL102" s="15"/>
      <c r="DM102" s="15"/>
      <c r="DN102" s="15"/>
      <c r="DO102" s="15"/>
      <c r="DP102" s="26" t="s">
        <v>594</v>
      </c>
      <c r="DQ102" s="15"/>
      <c r="DR102" s="15"/>
      <c r="DS102" s="15"/>
      <c r="DT102" s="15"/>
      <c r="DU102" s="15"/>
      <c r="DV102" s="15"/>
      <c r="DW102" s="15"/>
      <c r="DX102" s="15"/>
      <c r="DY102" s="15"/>
      <c r="DZ102" s="15"/>
    </row>
    <row r="103" customFormat="false" ht="15" hidden="false" customHeight="false" outlineLevel="0" collapsed="false">
      <c r="A103" s="13"/>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26"/>
      <c r="AN103" s="26"/>
      <c r="AO103" s="26"/>
      <c r="AP103" s="26"/>
      <c r="AQ103" s="12"/>
      <c r="AR103" s="12"/>
      <c r="AS103" s="12"/>
      <c r="AT103" s="12"/>
      <c r="AU103" s="27" t="s">
        <v>597</v>
      </c>
      <c r="AV103" s="15" t="s">
        <v>592</v>
      </c>
      <c r="AW103" s="15"/>
      <c r="AX103" s="15"/>
      <c r="AY103" s="15"/>
      <c r="AZ103" s="15"/>
      <c r="BA103" s="15"/>
      <c r="BB103" s="15"/>
      <c r="BC103" s="15"/>
      <c r="BD103" s="15"/>
      <c r="BE103" s="15"/>
      <c r="BF103" s="15"/>
      <c r="BG103" s="15"/>
      <c r="BH103" s="15"/>
      <c r="BI103" s="15"/>
      <c r="BJ103" s="26"/>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7" t="s">
        <v>517</v>
      </c>
      <c r="DG103" s="15"/>
      <c r="DH103" s="15"/>
      <c r="DI103" s="15"/>
      <c r="DJ103" s="15"/>
      <c r="DK103" s="15"/>
      <c r="DL103" s="15"/>
      <c r="DM103" s="27" t="s">
        <v>495</v>
      </c>
      <c r="DN103" s="15"/>
      <c r="DO103" s="15"/>
      <c r="DP103" s="15"/>
      <c r="DQ103" s="15"/>
      <c r="DR103" s="15"/>
      <c r="DS103" s="15"/>
      <c r="DT103" s="15"/>
      <c r="DU103" s="15"/>
      <c r="DV103" s="15"/>
      <c r="DW103" s="15"/>
      <c r="DX103" s="15"/>
      <c r="DY103" s="15"/>
      <c r="DZ103" s="15"/>
    </row>
    <row r="104" customFormat="false" ht="15" hidden="false" customHeight="false" outlineLevel="0" collapsed="false">
      <c r="A104" s="13"/>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27" t="s">
        <v>598</v>
      </c>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row>
    <row r="105" customFormat="false" ht="15" hidden="false" customHeight="false" outlineLevel="0" collapsed="false">
      <c r="A105" s="13"/>
      <c r="B105" s="15"/>
      <c r="C105" s="15"/>
      <c r="D105" s="15"/>
      <c r="E105" s="15"/>
      <c r="F105" s="15"/>
      <c r="G105" s="15"/>
      <c r="H105" s="15"/>
      <c r="I105" s="15"/>
      <c r="J105" s="15"/>
      <c r="K105" s="15"/>
      <c r="L105" s="15"/>
      <c r="M105" s="15"/>
      <c r="N105" s="15" t="s">
        <v>599</v>
      </c>
      <c r="O105" s="15"/>
      <c r="P105" s="15"/>
      <c r="Q105" s="15"/>
      <c r="R105" s="15"/>
      <c r="S105" s="15"/>
      <c r="T105" s="15"/>
      <c r="U105" s="15"/>
      <c r="V105" s="15"/>
      <c r="W105" s="15"/>
      <c r="X105" s="15"/>
      <c r="Y105" s="15"/>
      <c r="Z105" s="15" t="s">
        <v>600</v>
      </c>
      <c r="AA105" s="15"/>
      <c r="AB105" s="15"/>
      <c r="AC105" s="15"/>
      <c r="AD105" s="15"/>
      <c r="AE105" s="15" t="s">
        <v>601</v>
      </c>
      <c r="AF105" s="15"/>
      <c r="AG105" s="15"/>
      <c r="AH105" s="15"/>
      <c r="AI105" s="15"/>
      <c r="AJ105" s="15"/>
      <c r="AK105" s="15"/>
      <c r="AL105" s="15" t="s">
        <v>602</v>
      </c>
      <c r="AM105" s="15"/>
      <c r="AN105" s="15"/>
      <c r="AO105" s="15"/>
      <c r="AP105" s="15"/>
      <c r="AQ105" s="15"/>
      <c r="AR105" s="15"/>
      <c r="AS105" s="15"/>
      <c r="AT105" s="15" t="s">
        <v>603</v>
      </c>
      <c r="AU105" s="137" t="s">
        <v>604</v>
      </c>
      <c r="AV105" s="15" t="s">
        <v>603</v>
      </c>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t="s">
        <v>603</v>
      </c>
      <c r="CH105" s="15"/>
      <c r="CI105" s="15"/>
      <c r="CJ105" s="15"/>
      <c r="CK105" s="15"/>
      <c r="CL105" s="15"/>
      <c r="CM105" s="15"/>
      <c r="CN105" s="15"/>
      <c r="CO105" s="15"/>
      <c r="CP105" s="15"/>
      <c r="CQ105" s="15"/>
      <c r="CR105" s="15"/>
      <c r="CS105" s="15"/>
      <c r="CT105" s="15"/>
      <c r="CU105" s="15" t="s">
        <v>605</v>
      </c>
      <c r="CV105" s="15"/>
      <c r="CW105" s="15"/>
      <c r="CX105" s="15"/>
      <c r="CY105" s="15"/>
      <c r="CZ105" s="15"/>
      <c r="DA105" s="15"/>
      <c r="DB105" s="15"/>
      <c r="DC105" s="15"/>
      <c r="DD105" s="15"/>
      <c r="DE105" s="15"/>
      <c r="DF105" s="15"/>
      <c r="DG105" s="15"/>
      <c r="DH105" s="15"/>
      <c r="DI105" s="15"/>
      <c r="DJ105" s="15"/>
      <c r="DK105" s="15"/>
      <c r="DL105" s="15"/>
      <c r="DM105" s="15"/>
      <c r="DN105" s="136" t="s">
        <v>382</v>
      </c>
      <c r="DO105" s="15"/>
      <c r="DP105" s="15" t="s">
        <v>603</v>
      </c>
      <c r="DQ105" s="15"/>
      <c r="DR105" s="15" t="s">
        <v>606</v>
      </c>
      <c r="DS105" s="15"/>
      <c r="DT105" s="15"/>
      <c r="DU105" s="15"/>
      <c r="DV105" s="15"/>
      <c r="DW105" s="15"/>
      <c r="DX105" s="15"/>
      <c r="DY105" s="15"/>
      <c r="DZ105" s="15"/>
    </row>
    <row r="106" customFormat="false" ht="15" hidden="false" customHeight="false" outlineLevel="0" collapsed="false">
      <c r="A106" s="13"/>
      <c r="B106" s="15"/>
      <c r="C106" s="15"/>
      <c r="D106" s="15"/>
      <c r="E106" s="15"/>
      <c r="F106" s="15"/>
      <c r="G106" s="15"/>
      <c r="H106" s="15"/>
      <c r="I106" s="15"/>
      <c r="J106" s="15"/>
      <c r="K106" s="15"/>
      <c r="L106" s="26"/>
      <c r="M106" s="26"/>
      <c r="N106" s="137" t="s">
        <v>607</v>
      </c>
      <c r="O106" s="15"/>
      <c r="P106" s="15"/>
      <c r="Q106" s="15"/>
      <c r="R106" s="15"/>
      <c r="S106" s="15"/>
      <c r="T106" s="15"/>
      <c r="U106" s="15"/>
      <c r="V106" s="15"/>
      <c r="W106" s="15"/>
      <c r="X106" s="15"/>
      <c r="Y106" s="15"/>
      <c r="Z106" s="137" t="s">
        <v>608</v>
      </c>
      <c r="AA106" s="15"/>
      <c r="AB106" s="15"/>
      <c r="AC106" s="15"/>
      <c r="AD106" s="137"/>
      <c r="AE106" s="137" t="s">
        <v>609</v>
      </c>
      <c r="AF106" s="15"/>
      <c r="AG106" s="15"/>
      <c r="AH106" s="15"/>
      <c r="AI106" s="15"/>
      <c r="AJ106" s="15"/>
      <c r="AK106" s="15"/>
      <c r="AL106" s="26" t="s">
        <v>607</v>
      </c>
      <c r="AM106" s="15"/>
      <c r="AN106" s="15"/>
      <c r="AO106" s="15"/>
      <c r="AP106" s="15"/>
      <c r="AQ106" s="26"/>
      <c r="AR106" s="26"/>
      <c r="AS106" s="26"/>
      <c r="AT106" s="137" t="s">
        <v>610</v>
      </c>
      <c r="AU106" s="15"/>
      <c r="AV106" s="137" t="s">
        <v>610</v>
      </c>
      <c r="AW106" s="15"/>
      <c r="AX106" s="15"/>
      <c r="AY106" s="15"/>
      <c r="AZ106" s="15"/>
      <c r="BA106" s="15"/>
      <c r="BB106" s="15"/>
      <c r="BC106" s="15"/>
      <c r="BD106" s="15"/>
      <c r="BE106" s="15"/>
      <c r="BF106" s="15"/>
      <c r="BG106" s="15"/>
      <c r="BH106" s="15"/>
      <c r="BI106" s="15"/>
      <c r="BJ106" s="137" t="s">
        <v>611</v>
      </c>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37" t="s">
        <v>610</v>
      </c>
      <c r="CH106" s="138" t="s">
        <v>612</v>
      </c>
      <c r="CI106" s="15"/>
      <c r="CJ106" s="15"/>
      <c r="CK106" s="15"/>
      <c r="CL106" s="15"/>
      <c r="CM106" s="15"/>
      <c r="CN106" s="15"/>
      <c r="CO106" s="15"/>
      <c r="CP106" s="15"/>
      <c r="CQ106" s="15"/>
      <c r="CR106" s="15"/>
      <c r="CS106" s="15"/>
      <c r="CT106" s="15"/>
      <c r="CU106" s="137" t="s">
        <v>613</v>
      </c>
      <c r="CV106" s="15"/>
      <c r="CW106" s="15"/>
      <c r="CX106" s="15"/>
      <c r="CY106" s="15"/>
      <c r="CZ106" s="15"/>
      <c r="DA106" s="15"/>
      <c r="DB106" s="15"/>
      <c r="DC106" s="15"/>
      <c r="DD106" s="15"/>
      <c r="DE106" s="15"/>
      <c r="DF106" s="15"/>
      <c r="DG106" s="15"/>
      <c r="DH106" s="15"/>
      <c r="DI106" s="15"/>
      <c r="DJ106" s="15"/>
      <c r="DK106" s="15"/>
      <c r="DL106" s="15"/>
      <c r="DM106" s="15"/>
      <c r="DN106" s="136" t="s">
        <v>614</v>
      </c>
      <c r="DO106" s="15" t="s">
        <v>612</v>
      </c>
      <c r="DP106" s="137" t="s">
        <v>610</v>
      </c>
      <c r="DQ106" s="26"/>
      <c r="DR106" s="137" t="s">
        <v>615</v>
      </c>
      <c r="DS106" s="15"/>
      <c r="DT106" s="15"/>
      <c r="DU106" s="15"/>
      <c r="DV106" s="15"/>
      <c r="DW106" s="15"/>
      <c r="DX106" s="15"/>
      <c r="DY106" s="15"/>
      <c r="DZ106" s="15"/>
    </row>
    <row r="107" customFormat="false" ht="15" hidden="false" customHeight="false" outlineLevel="0" collapsed="false">
      <c r="A107" s="13" t="n">
        <v>1990</v>
      </c>
      <c r="B107" s="15"/>
      <c r="C107" s="15"/>
      <c r="D107" s="15"/>
      <c r="E107" s="15"/>
      <c r="F107" s="15"/>
      <c r="G107" s="15"/>
      <c r="H107" s="15"/>
      <c r="I107" s="15"/>
      <c r="J107" s="15"/>
      <c r="K107" s="15"/>
      <c r="L107" s="16"/>
      <c r="M107" s="16"/>
      <c r="N107" s="16" t="n">
        <v>176</v>
      </c>
      <c r="O107" s="15"/>
      <c r="P107" s="15"/>
      <c r="Q107" s="15"/>
      <c r="R107" s="15"/>
      <c r="S107" s="15"/>
      <c r="T107" s="15"/>
      <c r="U107" s="15"/>
      <c r="V107" s="15"/>
      <c r="W107" s="15"/>
      <c r="X107" s="15"/>
      <c r="Y107" s="15"/>
      <c r="Z107" s="16" t="n">
        <v>1473</v>
      </c>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3" t="n">
        <v>49</v>
      </c>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2" t="n">
        <v>69</v>
      </c>
      <c r="CI107" s="15"/>
      <c r="CJ107" s="15"/>
      <c r="CK107" s="15"/>
      <c r="CL107" s="15"/>
      <c r="CM107" s="15"/>
      <c r="CN107" s="15"/>
      <c r="CO107" s="15"/>
      <c r="CP107" s="15"/>
      <c r="CQ107" s="15"/>
      <c r="CR107" s="15"/>
      <c r="CS107" s="15"/>
      <c r="CT107" s="15"/>
      <c r="CU107" s="16" t="n">
        <v>5</v>
      </c>
      <c r="CV107" s="15"/>
      <c r="CW107" s="15"/>
      <c r="CX107" s="15"/>
      <c r="CY107" s="15"/>
      <c r="CZ107" s="15"/>
      <c r="DA107" s="15"/>
      <c r="DB107" s="15"/>
      <c r="DC107" s="15"/>
      <c r="DD107" s="15"/>
      <c r="DE107" s="15"/>
      <c r="DF107" s="15"/>
      <c r="DG107" s="15"/>
      <c r="DH107" s="15"/>
      <c r="DI107" s="15"/>
      <c r="DJ107" s="15"/>
      <c r="DK107" s="15"/>
      <c r="DL107" s="12"/>
      <c r="DM107" s="12"/>
      <c r="DN107" s="12"/>
      <c r="DO107" s="12"/>
      <c r="DP107" s="15"/>
      <c r="DQ107" s="15"/>
      <c r="DR107" s="15"/>
      <c r="DS107" s="15"/>
      <c r="DT107" s="15"/>
      <c r="DU107" s="15"/>
      <c r="DV107" s="15"/>
      <c r="DW107" s="15"/>
      <c r="DX107" s="15"/>
      <c r="DY107" s="15"/>
      <c r="DZ107" s="15"/>
    </row>
    <row r="108" customFormat="false" ht="15" hidden="false" customHeight="false" outlineLevel="0" collapsed="false">
      <c r="A108" s="13" t="n">
        <v>1991</v>
      </c>
      <c r="B108" s="15"/>
      <c r="C108" s="15"/>
      <c r="D108" s="15"/>
      <c r="E108" s="15"/>
      <c r="F108" s="15"/>
      <c r="G108" s="15"/>
      <c r="H108" s="15"/>
      <c r="I108" s="15"/>
      <c r="J108" s="15"/>
      <c r="K108" s="15"/>
      <c r="L108" s="16"/>
      <c r="M108" s="16"/>
      <c r="N108" s="16" t="n">
        <v>234</v>
      </c>
      <c r="O108" s="15"/>
      <c r="P108" s="15"/>
      <c r="Q108" s="15"/>
      <c r="R108" s="15"/>
      <c r="S108" s="15"/>
      <c r="T108" s="15"/>
      <c r="U108" s="15"/>
      <c r="V108" s="15"/>
      <c r="W108" s="15"/>
      <c r="X108" s="15"/>
      <c r="Y108" s="15"/>
      <c r="Z108" s="16" t="n">
        <v>1533</v>
      </c>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3" t="n">
        <v>140</v>
      </c>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2" t="n">
        <v>63</v>
      </c>
      <c r="CI108" s="15"/>
      <c r="CJ108" s="15"/>
      <c r="CK108" s="15"/>
      <c r="CL108" s="15"/>
      <c r="CM108" s="15"/>
      <c r="CN108" s="15"/>
      <c r="CO108" s="15"/>
      <c r="CP108" s="15"/>
      <c r="CQ108" s="15"/>
      <c r="CR108" s="15"/>
      <c r="CS108" s="15"/>
      <c r="CT108" s="15"/>
      <c r="CU108" s="16" t="n">
        <v>10</v>
      </c>
      <c r="CV108" s="15"/>
      <c r="CW108" s="15"/>
      <c r="CX108" s="15"/>
      <c r="CY108" s="15"/>
      <c r="CZ108" s="15"/>
      <c r="DA108" s="15"/>
      <c r="DB108" s="15"/>
      <c r="DC108" s="15"/>
      <c r="DD108" s="15"/>
      <c r="DE108" s="15"/>
      <c r="DF108" s="15"/>
      <c r="DG108" s="15"/>
      <c r="DH108" s="15"/>
      <c r="DI108" s="15"/>
      <c r="DJ108" s="15"/>
      <c r="DK108" s="15"/>
      <c r="DL108" s="12"/>
      <c r="DM108" s="12"/>
      <c r="DN108" s="12"/>
      <c r="DO108" s="16" t="n">
        <v>1287</v>
      </c>
      <c r="DP108" s="15"/>
      <c r="DQ108" s="15"/>
      <c r="DR108" s="15"/>
      <c r="DS108" s="15"/>
      <c r="DT108" s="15"/>
      <c r="DU108" s="15"/>
      <c r="DV108" s="15"/>
      <c r="DW108" s="15"/>
      <c r="DX108" s="15"/>
      <c r="DY108" s="15"/>
      <c r="DZ108" s="15"/>
    </row>
    <row r="109" customFormat="false" ht="15" hidden="false" customHeight="false" outlineLevel="0" collapsed="false">
      <c r="A109" s="13" t="n">
        <v>1992</v>
      </c>
      <c r="B109" s="15"/>
      <c r="C109" s="15"/>
      <c r="D109" s="15"/>
      <c r="E109" s="15"/>
      <c r="F109" s="15"/>
      <c r="G109" s="15"/>
      <c r="H109" s="15"/>
      <c r="I109" s="15"/>
      <c r="J109" s="15"/>
      <c r="K109" s="15"/>
      <c r="L109" s="16"/>
      <c r="M109" s="16"/>
      <c r="N109" s="16" t="n">
        <v>255</v>
      </c>
      <c r="O109" s="15"/>
      <c r="P109" s="15"/>
      <c r="Q109" s="15"/>
      <c r="R109" s="15"/>
      <c r="S109" s="15"/>
      <c r="T109" s="15"/>
      <c r="U109" s="15"/>
      <c r="V109" s="15"/>
      <c r="W109" s="15"/>
      <c r="X109" s="15"/>
      <c r="Y109" s="15"/>
      <c r="Z109" s="16" t="n">
        <v>1758</v>
      </c>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3" t="n">
        <v>67</v>
      </c>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2" t="n">
        <v>54</v>
      </c>
      <c r="CI109" s="15"/>
      <c r="CJ109" s="15"/>
      <c r="CK109" s="15"/>
      <c r="CL109" s="15"/>
      <c r="CM109" s="15"/>
      <c r="CN109" s="15"/>
      <c r="CO109" s="15"/>
      <c r="CP109" s="15"/>
      <c r="CQ109" s="15"/>
      <c r="CR109" s="15"/>
      <c r="CS109" s="15"/>
      <c r="CT109" s="15"/>
      <c r="CU109" s="16" t="n">
        <v>9</v>
      </c>
      <c r="CV109" s="15"/>
      <c r="CW109" s="15"/>
      <c r="CX109" s="15"/>
      <c r="CY109" s="15"/>
      <c r="CZ109" s="15"/>
      <c r="DA109" s="15"/>
      <c r="DB109" s="15"/>
      <c r="DC109" s="15"/>
      <c r="DD109" s="15"/>
      <c r="DE109" s="15"/>
      <c r="DF109" s="15"/>
      <c r="DG109" s="15"/>
      <c r="DH109" s="15"/>
      <c r="DI109" s="15"/>
      <c r="DJ109" s="15"/>
      <c r="DK109" s="15"/>
      <c r="DL109" s="12"/>
      <c r="DM109" s="12"/>
      <c r="DN109" s="12"/>
      <c r="DO109" s="16" t="n">
        <v>1575</v>
      </c>
      <c r="DP109" s="15"/>
      <c r="DQ109" s="15"/>
      <c r="DR109" s="15"/>
      <c r="DS109" s="15"/>
      <c r="DT109" s="15"/>
      <c r="DU109" s="15"/>
      <c r="DV109" s="15"/>
      <c r="DW109" s="15"/>
      <c r="DX109" s="15"/>
      <c r="DY109" s="15"/>
      <c r="DZ109" s="15"/>
    </row>
    <row r="110" customFormat="false" ht="15" hidden="false" customHeight="false" outlineLevel="0" collapsed="false">
      <c r="A110" s="13" t="n">
        <v>1993</v>
      </c>
      <c r="B110" s="15"/>
      <c r="C110" s="15"/>
      <c r="D110" s="15"/>
      <c r="E110" s="15"/>
      <c r="F110" s="15"/>
      <c r="G110" s="15"/>
      <c r="H110" s="15"/>
      <c r="I110" s="15"/>
      <c r="J110" s="15"/>
      <c r="K110" s="15"/>
      <c r="L110" s="16"/>
      <c r="M110" s="16"/>
      <c r="N110" s="16" t="n">
        <v>274</v>
      </c>
      <c r="O110" s="15"/>
      <c r="P110" s="15"/>
      <c r="Q110" s="15"/>
      <c r="R110" s="15"/>
      <c r="S110" s="15"/>
      <c r="T110" s="15"/>
      <c r="U110" s="15"/>
      <c r="V110" s="15"/>
      <c r="W110" s="15"/>
      <c r="X110" s="15"/>
      <c r="Y110" s="15"/>
      <c r="Z110" s="16" t="n">
        <v>1838</v>
      </c>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3" t="n">
        <v>51</v>
      </c>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2" t="n">
        <v>48</v>
      </c>
      <c r="CI110" s="15"/>
      <c r="CJ110" s="15"/>
      <c r="CK110" s="15"/>
      <c r="CL110" s="15"/>
      <c r="CM110" s="15"/>
      <c r="CN110" s="15"/>
      <c r="CO110" s="15"/>
      <c r="CP110" s="15"/>
      <c r="CQ110" s="15"/>
      <c r="CR110" s="15"/>
      <c r="CS110" s="15"/>
      <c r="CT110" s="15"/>
      <c r="CU110" s="16" t="n">
        <v>10</v>
      </c>
      <c r="CV110" s="15"/>
      <c r="CW110" s="15"/>
      <c r="CX110" s="15"/>
      <c r="CY110" s="15"/>
      <c r="CZ110" s="15"/>
      <c r="DA110" s="15"/>
      <c r="DB110" s="15"/>
      <c r="DC110" s="15"/>
      <c r="DD110" s="15"/>
      <c r="DE110" s="15"/>
      <c r="DF110" s="15"/>
      <c r="DG110" s="15"/>
      <c r="DH110" s="15"/>
      <c r="DI110" s="15"/>
      <c r="DJ110" s="15"/>
      <c r="DK110" s="15"/>
      <c r="DL110" s="12"/>
      <c r="DM110" s="12"/>
      <c r="DN110" s="12"/>
      <c r="DO110" s="16" t="n">
        <v>1805</v>
      </c>
      <c r="DP110" s="15"/>
      <c r="DQ110" s="15"/>
      <c r="DR110" s="15"/>
      <c r="DS110" s="15"/>
      <c r="DT110" s="15"/>
      <c r="DU110" s="15"/>
      <c r="DV110" s="15"/>
      <c r="DW110" s="15"/>
      <c r="DX110" s="15"/>
      <c r="DY110" s="15"/>
      <c r="DZ110" s="15"/>
    </row>
    <row r="111" customFormat="false" ht="15" hidden="false" customHeight="false" outlineLevel="0" collapsed="false">
      <c r="A111" s="13" t="n">
        <v>1994</v>
      </c>
      <c r="B111" s="15"/>
      <c r="C111" s="15"/>
      <c r="D111" s="15"/>
      <c r="E111" s="15"/>
      <c r="F111" s="15"/>
      <c r="G111" s="15"/>
      <c r="H111" s="15"/>
      <c r="I111" s="15"/>
      <c r="J111" s="15"/>
      <c r="K111" s="15"/>
      <c r="L111" s="16"/>
      <c r="M111" s="16"/>
      <c r="N111" s="16" t="n">
        <v>269</v>
      </c>
      <c r="O111" s="15"/>
      <c r="P111" s="15"/>
      <c r="Q111" s="15"/>
      <c r="R111" s="15"/>
      <c r="S111" s="15"/>
      <c r="T111" s="15"/>
      <c r="U111" s="15"/>
      <c r="V111" s="15"/>
      <c r="W111" s="15"/>
      <c r="X111" s="15"/>
      <c r="Y111" s="15"/>
      <c r="Z111" s="16" t="n">
        <v>1805</v>
      </c>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3" t="n">
        <v>56</v>
      </c>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2" t="n">
        <v>65</v>
      </c>
      <c r="CI111" s="15"/>
      <c r="CJ111" s="15"/>
      <c r="CK111" s="15"/>
      <c r="CL111" s="15"/>
      <c r="CM111" s="15"/>
      <c r="CN111" s="15"/>
      <c r="CO111" s="15"/>
      <c r="CP111" s="15"/>
      <c r="CQ111" s="15"/>
      <c r="CR111" s="15"/>
      <c r="CS111" s="15"/>
      <c r="CT111" s="15"/>
      <c r="CU111" s="16" t="n">
        <v>9</v>
      </c>
      <c r="CV111" s="15"/>
      <c r="CW111" s="15"/>
      <c r="CX111" s="15"/>
      <c r="CY111" s="15"/>
      <c r="CZ111" s="15"/>
      <c r="DA111" s="15"/>
      <c r="DB111" s="15"/>
      <c r="DC111" s="15"/>
      <c r="DD111" s="15"/>
      <c r="DE111" s="15"/>
      <c r="DF111" s="15"/>
      <c r="DG111" s="15"/>
      <c r="DH111" s="15"/>
      <c r="DI111" s="15"/>
      <c r="DJ111" s="15"/>
      <c r="DK111" s="15"/>
      <c r="DL111" s="12"/>
      <c r="DM111" s="12"/>
      <c r="DN111" s="12"/>
      <c r="DO111" s="16" t="n">
        <v>1891</v>
      </c>
      <c r="DP111" s="15"/>
      <c r="DQ111" s="15"/>
      <c r="DR111" s="15"/>
      <c r="DS111" s="15"/>
      <c r="DT111" s="15"/>
      <c r="DU111" s="15"/>
      <c r="DV111" s="15"/>
      <c r="DW111" s="15"/>
      <c r="DX111" s="15"/>
      <c r="DY111" s="15"/>
      <c r="DZ111" s="15"/>
    </row>
    <row r="112" customFormat="false" ht="15" hidden="false" customHeight="false" outlineLevel="0" collapsed="false">
      <c r="A112" s="13" t="n">
        <v>1995</v>
      </c>
      <c r="B112" s="15"/>
      <c r="C112" s="15"/>
      <c r="D112" s="15"/>
      <c r="E112" s="15"/>
      <c r="F112" s="15"/>
      <c r="G112" s="15"/>
      <c r="H112" s="15"/>
      <c r="I112" s="15"/>
      <c r="J112" s="15"/>
      <c r="K112" s="15"/>
      <c r="L112" s="16"/>
      <c r="M112" s="16"/>
      <c r="N112" s="16" t="n">
        <v>284</v>
      </c>
      <c r="O112" s="15"/>
      <c r="P112" s="15"/>
      <c r="Q112" s="15"/>
      <c r="R112" s="15"/>
      <c r="S112" s="15"/>
      <c r="T112" s="15"/>
      <c r="U112" s="15"/>
      <c r="V112" s="15"/>
      <c r="W112" s="15"/>
      <c r="X112" s="15"/>
      <c r="Y112" s="15"/>
      <c r="Z112" s="16" t="n">
        <v>1676</v>
      </c>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3" t="n">
        <v>60</v>
      </c>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2" t="n">
        <v>63</v>
      </c>
      <c r="CI112" s="15"/>
      <c r="CJ112" s="15"/>
      <c r="CK112" s="15"/>
      <c r="CL112" s="15"/>
      <c r="CM112" s="15"/>
      <c r="CN112" s="15"/>
      <c r="CO112" s="15"/>
      <c r="CP112" s="15"/>
      <c r="CQ112" s="15"/>
      <c r="CR112" s="15"/>
      <c r="CS112" s="15"/>
      <c r="CT112" s="15"/>
      <c r="CU112" s="16" t="n">
        <v>6</v>
      </c>
      <c r="CV112" s="15"/>
      <c r="CW112" s="15"/>
      <c r="CX112" s="15"/>
      <c r="CY112" s="15"/>
      <c r="CZ112" s="15"/>
      <c r="DA112" s="15"/>
      <c r="DB112" s="15"/>
      <c r="DC112" s="15"/>
      <c r="DD112" s="15"/>
      <c r="DE112" s="15"/>
      <c r="DF112" s="15"/>
      <c r="DG112" s="15"/>
      <c r="DH112" s="15"/>
      <c r="DI112" s="15"/>
      <c r="DJ112" s="15"/>
      <c r="DK112" s="15"/>
      <c r="DL112" s="12"/>
      <c r="DM112" s="12"/>
      <c r="DN112" s="12"/>
      <c r="DO112" s="16" t="n">
        <v>1862</v>
      </c>
      <c r="DP112" s="15"/>
      <c r="DQ112" s="15"/>
      <c r="DR112" s="15"/>
      <c r="DS112" s="15"/>
      <c r="DT112" s="15"/>
      <c r="DU112" s="15"/>
      <c r="DV112" s="15"/>
      <c r="DW112" s="15"/>
      <c r="DX112" s="15"/>
      <c r="DY112" s="15"/>
      <c r="DZ112" s="15"/>
    </row>
    <row r="113" customFormat="false" ht="15" hidden="false" customHeight="false" outlineLevel="0" collapsed="false">
      <c r="A113" s="13" t="n">
        <v>1996</v>
      </c>
      <c r="B113" s="15"/>
      <c r="C113" s="15"/>
      <c r="D113" s="15"/>
      <c r="E113" s="15"/>
      <c r="F113" s="15"/>
      <c r="G113" s="15"/>
      <c r="H113" s="15"/>
      <c r="I113" s="15"/>
      <c r="J113" s="15"/>
      <c r="K113" s="15"/>
      <c r="L113" s="16"/>
      <c r="M113" s="16"/>
      <c r="N113" s="16" t="n">
        <v>319</v>
      </c>
      <c r="O113" s="15"/>
      <c r="P113" s="15"/>
      <c r="Q113" s="15"/>
      <c r="R113" s="15"/>
      <c r="S113" s="15"/>
      <c r="T113" s="15"/>
      <c r="U113" s="15"/>
      <c r="V113" s="15"/>
      <c r="W113" s="15"/>
      <c r="X113" s="15"/>
      <c r="Y113" s="15"/>
      <c r="Z113" s="16" t="n">
        <v>1216</v>
      </c>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3" t="n">
        <v>43</v>
      </c>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2" t="n">
        <v>38</v>
      </c>
      <c r="CI113" s="15"/>
      <c r="CJ113" s="15"/>
      <c r="CK113" s="15"/>
      <c r="CL113" s="15"/>
      <c r="CM113" s="15"/>
      <c r="CN113" s="15"/>
      <c r="CO113" s="15"/>
      <c r="CP113" s="15"/>
      <c r="CQ113" s="15"/>
      <c r="CR113" s="15"/>
      <c r="CS113" s="15"/>
      <c r="CT113" s="15"/>
      <c r="CU113" s="16" t="n">
        <v>11</v>
      </c>
      <c r="CV113" s="15"/>
      <c r="CW113" s="15"/>
      <c r="CX113" s="15"/>
      <c r="CY113" s="15"/>
      <c r="CZ113" s="15"/>
      <c r="DA113" s="15"/>
      <c r="DB113" s="15"/>
      <c r="DC113" s="15"/>
      <c r="DD113" s="15"/>
      <c r="DE113" s="15"/>
      <c r="DF113" s="15"/>
      <c r="DG113" s="15"/>
      <c r="DH113" s="15"/>
      <c r="DI113" s="15"/>
      <c r="DJ113" s="15"/>
      <c r="DK113" s="15"/>
      <c r="DL113" s="12"/>
      <c r="DM113" s="12"/>
      <c r="DN113" s="12"/>
      <c r="DO113" s="16" t="n">
        <v>1747</v>
      </c>
      <c r="DP113" s="15"/>
      <c r="DQ113" s="15"/>
      <c r="DR113" s="15"/>
      <c r="DS113" s="15"/>
      <c r="DT113" s="15"/>
      <c r="DU113" s="15"/>
      <c r="DV113" s="15"/>
      <c r="DW113" s="15"/>
      <c r="DX113" s="15"/>
      <c r="DY113" s="15"/>
      <c r="DZ113" s="15"/>
    </row>
    <row r="114" customFormat="false" ht="15" hidden="false" customHeight="false" outlineLevel="0" collapsed="false">
      <c r="A114" s="13" t="n">
        <v>1997</v>
      </c>
      <c r="B114" s="15"/>
      <c r="C114" s="15"/>
      <c r="D114" s="15"/>
      <c r="E114" s="15"/>
      <c r="F114" s="15"/>
      <c r="G114" s="15"/>
      <c r="H114" s="15"/>
      <c r="I114" s="15"/>
      <c r="J114" s="15"/>
      <c r="K114" s="15"/>
      <c r="L114" s="16"/>
      <c r="M114" s="16"/>
      <c r="N114" s="16" t="n">
        <v>340</v>
      </c>
      <c r="O114" s="15"/>
      <c r="P114" s="15"/>
      <c r="Q114" s="15"/>
      <c r="R114" s="15"/>
      <c r="S114" s="15"/>
      <c r="T114" s="15"/>
      <c r="U114" s="15"/>
      <c r="V114" s="15"/>
      <c r="W114" s="15"/>
      <c r="X114" s="15"/>
      <c r="Y114" s="15"/>
      <c r="Z114" s="16" t="n">
        <v>753</v>
      </c>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3" t="n">
        <v>47</v>
      </c>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2" t="n">
        <v>30</v>
      </c>
      <c r="CI114" s="15"/>
      <c r="CJ114" s="15"/>
      <c r="CK114" s="15"/>
      <c r="CL114" s="15"/>
      <c r="CM114" s="15"/>
      <c r="CN114" s="15"/>
      <c r="CO114" s="15"/>
      <c r="CP114" s="15"/>
      <c r="CQ114" s="15"/>
      <c r="CR114" s="15"/>
      <c r="CS114" s="15"/>
      <c r="CT114" s="15"/>
      <c r="CU114" s="16" t="n">
        <v>10</v>
      </c>
      <c r="CV114" s="15"/>
      <c r="CW114" s="15"/>
      <c r="CX114" s="15"/>
      <c r="CY114" s="15"/>
      <c r="CZ114" s="15"/>
      <c r="DA114" s="15"/>
      <c r="DB114" s="15"/>
      <c r="DC114" s="15"/>
      <c r="DD114" s="15"/>
      <c r="DE114" s="15"/>
      <c r="DF114" s="15"/>
      <c r="DG114" s="15"/>
      <c r="DH114" s="15"/>
      <c r="DI114" s="15"/>
      <c r="DJ114" s="15"/>
      <c r="DK114" s="15"/>
      <c r="DL114" s="12"/>
      <c r="DM114" s="12"/>
      <c r="DN114" s="12"/>
      <c r="DO114" s="16" t="n">
        <v>1460</v>
      </c>
      <c r="DP114" s="15"/>
      <c r="DQ114" s="15"/>
      <c r="DR114" s="15"/>
      <c r="DS114" s="15"/>
      <c r="DT114" s="15"/>
      <c r="DU114" s="15"/>
      <c r="DV114" s="15"/>
      <c r="DW114" s="15"/>
      <c r="DX114" s="15"/>
      <c r="DY114" s="15"/>
      <c r="DZ114" s="15"/>
    </row>
    <row r="115" customFormat="false" ht="15" hidden="false" customHeight="false" outlineLevel="0" collapsed="false">
      <c r="A115" s="13" t="n">
        <v>1998</v>
      </c>
      <c r="B115" s="15"/>
      <c r="C115" s="15"/>
      <c r="D115" s="15"/>
      <c r="E115" s="15"/>
      <c r="F115" s="15"/>
      <c r="G115" s="15"/>
      <c r="H115" s="15"/>
      <c r="I115" s="15"/>
      <c r="J115" s="15"/>
      <c r="K115" s="15"/>
      <c r="L115" s="16"/>
      <c r="M115" s="16"/>
      <c r="N115" s="16" t="n">
        <v>357</v>
      </c>
      <c r="O115" s="15"/>
      <c r="P115" s="15"/>
      <c r="Q115" s="15"/>
      <c r="R115" s="15"/>
      <c r="S115" s="15"/>
      <c r="T115" s="15"/>
      <c r="U115" s="15"/>
      <c r="V115" s="15"/>
      <c r="W115" s="15"/>
      <c r="X115" s="15"/>
      <c r="Y115" s="15"/>
      <c r="Z115" s="16" t="n">
        <v>674</v>
      </c>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3" t="n">
        <v>76</v>
      </c>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2" t="n">
        <v>38</v>
      </c>
      <c r="CI115" s="15"/>
      <c r="CJ115" s="15"/>
      <c r="CK115" s="15"/>
      <c r="CL115" s="15"/>
      <c r="CM115" s="15"/>
      <c r="CN115" s="15"/>
      <c r="CO115" s="15"/>
      <c r="CP115" s="15"/>
      <c r="CQ115" s="15"/>
      <c r="CR115" s="15"/>
      <c r="CS115" s="15"/>
      <c r="CT115" s="15"/>
      <c r="CU115" s="16" t="n">
        <v>8</v>
      </c>
      <c r="CV115" s="15"/>
      <c r="CW115" s="15"/>
      <c r="CX115" s="15"/>
      <c r="CY115" s="15"/>
      <c r="CZ115" s="15"/>
      <c r="DA115" s="15"/>
      <c r="DB115" s="15"/>
      <c r="DC115" s="15"/>
      <c r="DD115" s="15"/>
      <c r="DE115" s="15"/>
      <c r="DF115" s="15"/>
      <c r="DG115" s="15"/>
      <c r="DH115" s="15"/>
      <c r="DI115" s="15"/>
      <c r="DJ115" s="15"/>
      <c r="DK115" s="15"/>
      <c r="DL115" s="12"/>
      <c r="DM115" s="12"/>
      <c r="DN115" s="12"/>
      <c r="DO115" s="16" t="n">
        <v>943</v>
      </c>
      <c r="DP115" s="15"/>
      <c r="DQ115" s="15"/>
      <c r="DR115" s="15"/>
      <c r="DS115" s="15"/>
      <c r="DT115" s="15"/>
      <c r="DU115" s="15"/>
      <c r="DV115" s="15"/>
      <c r="DW115" s="15"/>
      <c r="DX115" s="15"/>
      <c r="DY115" s="15"/>
      <c r="DZ115" s="15"/>
    </row>
    <row r="116" customFormat="false" ht="15" hidden="false" customHeight="false" outlineLevel="0" collapsed="false">
      <c r="A116" s="13" t="n">
        <v>1999</v>
      </c>
      <c r="B116" s="15"/>
      <c r="C116" s="15"/>
      <c r="D116" s="15"/>
      <c r="E116" s="15"/>
      <c r="F116" s="15"/>
      <c r="G116" s="15"/>
      <c r="H116" s="15"/>
      <c r="I116" s="15"/>
      <c r="J116" s="15"/>
      <c r="K116" s="15"/>
      <c r="L116" s="16"/>
      <c r="M116" s="16"/>
      <c r="N116" s="16" t="n">
        <v>378</v>
      </c>
      <c r="O116" s="15"/>
      <c r="P116" s="15"/>
      <c r="Q116" s="15"/>
      <c r="R116" s="15"/>
      <c r="S116" s="15"/>
      <c r="T116" s="15"/>
      <c r="U116" s="15"/>
      <c r="V116" s="15"/>
      <c r="W116" s="15"/>
      <c r="X116" s="15"/>
      <c r="Y116" s="15"/>
      <c r="Z116" s="16" t="n">
        <v>585</v>
      </c>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3" t="n">
        <v>45</v>
      </c>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2" t="n">
        <v>27</v>
      </c>
      <c r="CI116" s="15"/>
      <c r="CJ116" s="15"/>
      <c r="CK116" s="15"/>
      <c r="CL116" s="15"/>
      <c r="CM116" s="15"/>
      <c r="CN116" s="15"/>
      <c r="CO116" s="15"/>
      <c r="CP116" s="15"/>
      <c r="CQ116" s="15"/>
      <c r="CR116" s="15"/>
      <c r="CS116" s="15"/>
      <c r="CT116" s="15"/>
      <c r="CU116" s="16" t="n">
        <v>13</v>
      </c>
      <c r="CV116" s="15"/>
      <c r="CW116" s="15"/>
      <c r="CX116" s="15"/>
      <c r="CY116" s="15"/>
      <c r="CZ116" s="15"/>
      <c r="DA116" s="15"/>
      <c r="DB116" s="15"/>
      <c r="DC116" s="15"/>
      <c r="DD116" s="15"/>
      <c r="DE116" s="15"/>
      <c r="DF116" s="15"/>
      <c r="DG116" s="15"/>
      <c r="DH116" s="15"/>
      <c r="DI116" s="15"/>
      <c r="DJ116" s="15"/>
      <c r="DK116" s="15"/>
      <c r="DL116" s="12"/>
      <c r="DM116" s="12"/>
      <c r="DN116" s="12"/>
      <c r="DO116" s="16" t="n">
        <v>828</v>
      </c>
      <c r="DP116" s="15"/>
      <c r="DQ116" s="15"/>
      <c r="DR116" s="15"/>
      <c r="DS116" s="15"/>
      <c r="DT116" s="15"/>
      <c r="DU116" s="15"/>
      <c r="DV116" s="15"/>
      <c r="DW116" s="15"/>
      <c r="DX116" s="15"/>
      <c r="DY116" s="15"/>
      <c r="DZ116" s="15"/>
    </row>
    <row r="117" customFormat="false" ht="15" hidden="false" customHeight="false" outlineLevel="0" collapsed="false">
      <c r="A117" s="13" t="n">
        <v>2000</v>
      </c>
      <c r="B117" s="15"/>
      <c r="C117" s="15"/>
      <c r="D117" s="15"/>
      <c r="E117" s="15"/>
      <c r="F117" s="15"/>
      <c r="G117" s="15"/>
      <c r="H117" s="15"/>
      <c r="I117" s="15"/>
      <c r="J117" s="15"/>
      <c r="K117" s="15"/>
      <c r="L117" s="16"/>
      <c r="M117" s="16"/>
      <c r="N117" s="16" t="n">
        <v>405</v>
      </c>
      <c r="O117" s="15"/>
      <c r="P117" s="15"/>
      <c r="Q117" s="15"/>
      <c r="R117" s="15"/>
      <c r="S117" s="15"/>
      <c r="T117" s="15"/>
      <c r="U117" s="15"/>
      <c r="V117" s="15"/>
      <c r="W117" s="15"/>
      <c r="X117" s="15"/>
      <c r="Y117" s="15"/>
      <c r="Z117" s="16" t="n">
        <v>545</v>
      </c>
      <c r="AA117" s="15"/>
      <c r="AB117" s="15"/>
      <c r="AC117" s="15"/>
      <c r="AD117" s="15"/>
      <c r="AE117" s="15"/>
      <c r="AF117" s="15"/>
      <c r="AG117" s="15"/>
      <c r="AH117" s="15"/>
      <c r="AI117" s="15"/>
      <c r="AJ117" s="15"/>
      <c r="AK117" s="15"/>
      <c r="AL117" s="15" t="n">
        <v>59</v>
      </c>
      <c r="AM117" s="15"/>
      <c r="AN117" s="15"/>
      <c r="AO117" s="15"/>
      <c r="AP117" s="15"/>
      <c r="AQ117" s="15"/>
      <c r="AR117" s="15"/>
      <c r="AS117" s="15"/>
      <c r="AT117" s="15" t="n">
        <v>3</v>
      </c>
      <c r="AU117" s="15"/>
      <c r="AV117" s="15" t="n">
        <v>1745</v>
      </c>
      <c r="AW117" s="15"/>
      <c r="AX117" s="15"/>
      <c r="AY117" s="15"/>
      <c r="AZ117" s="15"/>
      <c r="BA117" s="15"/>
      <c r="BB117" s="15"/>
      <c r="BC117" s="15"/>
      <c r="BD117" s="15"/>
      <c r="BE117" s="15"/>
      <c r="BF117" s="15"/>
      <c r="BG117" s="15"/>
      <c r="BH117" s="15"/>
      <c r="BI117" s="15"/>
      <c r="BJ117" s="3" t="n">
        <v>54</v>
      </c>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t="n">
        <v>249</v>
      </c>
      <c r="CH117" s="12" t="n">
        <v>31</v>
      </c>
      <c r="CI117" s="15"/>
      <c r="CJ117" s="15"/>
      <c r="CK117" s="15"/>
      <c r="CL117" s="15"/>
      <c r="CM117" s="15"/>
      <c r="CN117" s="15"/>
      <c r="CO117" s="15"/>
      <c r="CP117" s="15"/>
      <c r="CQ117" s="15"/>
      <c r="CR117" s="15"/>
      <c r="CS117" s="15"/>
      <c r="CT117" s="15"/>
      <c r="CU117" s="16" t="n">
        <v>6</v>
      </c>
      <c r="CV117" s="15"/>
      <c r="CW117" s="15"/>
      <c r="CX117" s="15"/>
      <c r="CY117" s="15"/>
      <c r="CZ117" s="15"/>
      <c r="DA117" s="15"/>
      <c r="DB117" s="15"/>
      <c r="DC117" s="15"/>
      <c r="DD117" s="15"/>
      <c r="DE117" s="15"/>
      <c r="DF117" s="15"/>
      <c r="DG117" s="15"/>
      <c r="DH117" s="15"/>
      <c r="DI117" s="15"/>
      <c r="DJ117" s="15"/>
      <c r="DK117" s="15"/>
      <c r="DL117" s="12"/>
      <c r="DM117" s="12"/>
      <c r="DN117" s="12"/>
      <c r="DO117" s="16" t="n">
        <v>943</v>
      </c>
      <c r="DP117" s="15"/>
      <c r="DQ117" s="15"/>
      <c r="DR117" s="15"/>
      <c r="DS117" s="15"/>
      <c r="DT117" s="15"/>
      <c r="DU117" s="15"/>
      <c r="DV117" s="15"/>
      <c r="DW117" s="15"/>
      <c r="DX117" s="15"/>
      <c r="DY117" s="15"/>
      <c r="DZ117" s="15"/>
    </row>
    <row r="118" customFormat="false" ht="15" hidden="false" customHeight="false" outlineLevel="0" collapsed="false">
      <c r="A118" s="13" t="n">
        <v>2001</v>
      </c>
      <c r="B118" s="15"/>
      <c r="C118" s="15"/>
      <c r="D118" s="15"/>
      <c r="E118" s="15"/>
      <c r="F118" s="15"/>
      <c r="G118" s="15"/>
      <c r="H118" s="15"/>
      <c r="I118" s="15"/>
      <c r="J118" s="15"/>
      <c r="K118" s="15"/>
      <c r="L118" s="16"/>
      <c r="M118" s="16"/>
      <c r="N118" s="16" t="n">
        <v>419</v>
      </c>
      <c r="O118" s="15"/>
      <c r="P118" s="15"/>
      <c r="Q118" s="15"/>
      <c r="R118" s="15"/>
      <c r="S118" s="15"/>
      <c r="T118" s="15"/>
      <c r="U118" s="15"/>
      <c r="V118" s="15"/>
      <c r="W118" s="15"/>
      <c r="X118" s="15"/>
      <c r="Y118" s="15"/>
      <c r="Z118" s="16" t="n">
        <v>457</v>
      </c>
      <c r="AA118" s="15"/>
      <c r="AB118" s="15"/>
      <c r="AC118" s="15"/>
      <c r="AD118" s="15"/>
      <c r="AE118" s="15"/>
      <c r="AF118" s="15"/>
      <c r="AG118" s="15"/>
      <c r="AH118" s="15"/>
      <c r="AI118" s="15"/>
      <c r="AJ118" s="15"/>
      <c r="AK118" s="15"/>
      <c r="AL118" s="15" t="n">
        <v>71</v>
      </c>
      <c r="AM118" s="15"/>
      <c r="AN118" s="15"/>
      <c r="AO118" s="15"/>
      <c r="AP118" s="15"/>
      <c r="AQ118" s="15"/>
      <c r="AR118" s="15"/>
      <c r="AS118" s="15"/>
      <c r="AT118" s="15" t="n">
        <v>2</v>
      </c>
      <c r="AU118" s="15"/>
      <c r="AV118" s="15" t="n">
        <v>1685</v>
      </c>
      <c r="AW118" s="15"/>
      <c r="AX118" s="15"/>
      <c r="AY118" s="15"/>
      <c r="AZ118" s="15"/>
      <c r="BA118" s="15"/>
      <c r="BB118" s="15"/>
      <c r="BC118" s="15"/>
      <c r="BD118" s="15"/>
      <c r="BE118" s="15"/>
      <c r="BF118" s="15"/>
      <c r="BG118" s="15"/>
      <c r="BH118" s="15"/>
      <c r="BI118" s="15"/>
      <c r="BJ118" s="3" t="n">
        <v>56</v>
      </c>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t="n">
        <v>267</v>
      </c>
      <c r="CH118" s="12" t="n">
        <v>20</v>
      </c>
      <c r="CI118" s="15"/>
      <c r="CJ118" s="15"/>
      <c r="CK118" s="15"/>
      <c r="CL118" s="15"/>
      <c r="CM118" s="15"/>
      <c r="CN118" s="15"/>
      <c r="CO118" s="15"/>
      <c r="CP118" s="15"/>
      <c r="CQ118" s="15"/>
      <c r="CR118" s="15"/>
      <c r="CS118" s="15"/>
      <c r="CT118" s="15"/>
      <c r="CU118" s="16" t="n">
        <v>7</v>
      </c>
      <c r="CV118" s="15"/>
      <c r="CW118" s="15"/>
      <c r="CX118" s="15"/>
      <c r="CY118" s="15"/>
      <c r="CZ118" s="15"/>
      <c r="DA118" s="15"/>
      <c r="DB118" s="15"/>
      <c r="DC118" s="15"/>
      <c r="DD118" s="15"/>
      <c r="DE118" s="15"/>
      <c r="DF118" s="15"/>
      <c r="DG118" s="15"/>
      <c r="DH118" s="15"/>
      <c r="DI118" s="15"/>
      <c r="DJ118" s="15"/>
      <c r="DK118" s="15"/>
      <c r="DL118" s="12"/>
      <c r="DM118" s="12"/>
      <c r="DN118" s="12"/>
      <c r="DO118" s="16" t="n">
        <v>828</v>
      </c>
      <c r="DP118" s="15"/>
      <c r="DQ118" s="15"/>
      <c r="DR118" s="15"/>
      <c r="DS118" s="15"/>
      <c r="DT118" s="15"/>
      <c r="DU118" s="15"/>
      <c r="DV118" s="15"/>
      <c r="DW118" s="15"/>
      <c r="DX118" s="15"/>
      <c r="DY118" s="15"/>
      <c r="DZ118" s="15"/>
    </row>
    <row r="119" customFormat="false" ht="15" hidden="false" customHeight="false" outlineLevel="0" collapsed="false">
      <c r="A119" s="13" t="n">
        <v>2002</v>
      </c>
      <c r="B119" s="15"/>
      <c r="C119" s="15"/>
      <c r="D119" s="15"/>
      <c r="E119" s="15"/>
      <c r="F119" s="15"/>
      <c r="G119" s="15"/>
      <c r="H119" s="15"/>
      <c r="I119" s="15"/>
      <c r="J119" s="15"/>
      <c r="K119" s="15"/>
      <c r="L119" s="133"/>
      <c r="M119" s="133"/>
      <c r="N119" s="133" t="n">
        <v>442</v>
      </c>
      <c r="O119" s="15"/>
      <c r="P119" s="15"/>
      <c r="Q119" s="15"/>
      <c r="R119" s="15"/>
      <c r="S119" s="15"/>
      <c r="T119" s="15"/>
      <c r="U119" s="15"/>
      <c r="V119" s="15"/>
      <c r="W119" s="15"/>
      <c r="X119" s="15"/>
      <c r="Y119" s="15"/>
      <c r="Z119" s="16" t="n">
        <v>459</v>
      </c>
      <c r="AA119" s="15"/>
      <c r="AB119" s="15"/>
      <c r="AC119" s="15"/>
      <c r="AD119" s="15"/>
      <c r="AE119" s="15"/>
      <c r="AF119" s="15"/>
      <c r="AG119" s="15"/>
      <c r="AH119" s="15"/>
      <c r="AI119" s="15"/>
      <c r="AJ119" s="15"/>
      <c r="AK119" s="15"/>
      <c r="AL119" s="15" t="n">
        <v>45</v>
      </c>
      <c r="AM119" s="15"/>
      <c r="AN119" s="15"/>
      <c r="AO119" s="15"/>
      <c r="AP119" s="15"/>
      <c r="AQ119" s="15"/>
      <c r="AR119" s="15"/>
      <c r="AS119" s="15"/>
      <c r="AT119" s="15" t="n">
        <v>6</v>
      </c>
      <c r="AU119" s="15"/>
      <c r="AV119" s="15" t="n">
        <v>1658</v>
      </c>
      <c r="AW119" s="15"/>
      <c r="AX119" s="15"/>
      <c r="AY119" s="15"/>
      <c r="AZ119" s="15"/>
      <c r="BA119" s="15"/>
      <c r="BB119" s="15"/>
      <c r="BC119" s="15"/>
      <c r="BD119" s="15"/>
      <c r="BE119" s="15"/>
      <c r="BF119" s="15"/>
      <c r="BG119" s="15"/>
      <c r="BH119" s="15"/>
      <c r="BI119" s="15"/>
      <c r="BJ119" s="3" t="n">
        <v>58</v>
      </c>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t="n">
        <v>298</v>
      </c>
      <c r="CH119" s="12" t="n">
        <v>36</v>
      </c>
      <c r="CI119" s="15"/>
      <c r="CJ119" s="15"/>
      <c r="CK119" s="15"/>
      <c r="CL119" s="15"/>
      <c r="CM119" s="15"/>
      <c r="CN119" s="15"/>
      <c r="CO119" s="15"/>
      <c r="CP119" s="15"/>
      <c r="CQ119" s="15"/>
      <c r="CR119" s="15"/>
      <c r="CS119" s="15"/>
      <c r="CT119" s="15"/>
      <c r="CU119" s="16" t="n">
        <v>14</v>
      </c>
      <c r="CV119" s="15"/>
      <c r="CW119" s="15"/>
      <c r="CX119" s="15"/>
      <c r="CY119" s="15"/>
      <c r="CZ119" s="15"/>
      <c r="DA119" s="15"/>
      <c r="DB119" s="15"/>
      <c r="DC119" s="15"/>
      <c r="DD119" s="15"/>
      <c r="DE119" s="15"/>
      <c r="DF119" s="15"/>
      <c r="DG119" s="15"/>
      <c r="DH119" s="15"/>
      <c r="DI119" s="15"/>
      <c r="DJ119" s="15"/>
      <c r="DK119" s="15"/>
      <c r="DL119" s="12"/>
      <c r="DM119" s="12"/>
      <c r="DN119" s="12"/>
      <c r="DO119" s="16" t="n">
        <v>1029</v>
      </c>
      <c r="DP119" s="15"/>
      <c r="DQ119" s="16"/>
      <c r="DR119" s="16" t="n">
        <v>31532</v>
      </c>
      <c r="DS119" s="15"/>
      <c r="DT119" s="15"/>
      <c r="DU119" s="15"/>
      <c r="DV119" s="15"/>
      <c r="DW119" s="15"/>
      <c r="DX119" s="15"/>
      <c r="DY119" s="15"/>
      <c r="DZ119" s="15"/>
    </row>
    <row r="120" customFormat="false" ht="15" hidden="false" customHeight="false" outlineLevel="0" collapsed="false">
      <c r="A120" s="13" t="n">
        <v>2003</v>
      </c>
      <c r="B120" s="15"/>
      <c r="C120" s="15"/>
      <c r="D120" s="15"/>
      <c r="E120" s="15"/>
      <c r="F120" s="15"/>
      <c r="G120" s="15"/>
      <c r="H120" s="15"/>
      <c r="I120" s="15"/>
      <c r="J120" s="15"/>
      <c r="K120" s="15"/>
      <c r="L120" s="16"/>
      <c r="M120" s="16"/>
      <c r="N120" s="16" t="n">
        <v>456</v>
      </c>
      <c r="O120" s="15"/>
      <c r="P120" s="15"/>
      <c r="Q120" s="15"/>
      <c r="R120" s="15"/>
      <c r="S120" s="15"/>
      <c r="T120" s="15"/>
      <c r="U120" s="15"/>
      <c r="V120" s="15"/>
      <c r="W120" s="15"/>
      <c r="X120" s="15"/>
      <c r="Y120" s="15"/>
      <c r="Z120" s="16" t="n">
        <v>429</v>
      </c>
      <c r="AA120" s="15"/>
      <c r="AB120" s="15"/>
      <c r="AC120" s="15"/>
      <c r="AD120" s="15"/>
      <c r="AE120" s="15"/>
      <c r="AF120" s="15"/>
      <c r="AG120" s="15"/>
      <c r="AH120" s="15"/>
      <c r="AI120" s="15"/>
      <c r="AJ120" s="15"/>
      <c r="AK120" s="15"/>
      <c r="AL120" s="15" t="n">
        <v>40</v>
      </c>
      <c r="AM120" s="15"/>
      <c r="AN120" s="15"/>
      <c r="AO120" s="15"/>
      <c r="AP120" s="15"/>
      <c r="AQ120" s="15"/>
      <c r="AR120" s="15"/>
      <c r="AS120" s="15"/>
      <c r="AT120" s="15" t="n">
        <v>10</v>
      </c>
      <c r="AU120" s="15"/>
      <c r="AV120" s="15" t="n">
        <v>1491</v>
      </c>
      <c r="AW120" s="15"/>
      <c r="AX120" s="15"/>
      <c r="AY120" s="15"/>
      <c r="AZ120" s="15"/>
      <c r="BA120" s="15"/>
      <c r="BB120" s="15"/>
      <c r="BC120" s="15"/>
      <c r="BD120" s="15"/>
      <c r="BE120" s="15"/>
      <c r="BF120" s="15"/>
      <c r="BG120" s="15"/>
      <c r="BH120" s="15"/>
      <c r="BI120" s="15"/>
      <c r="BJ120" s="3" t="n">
        <v>53</v>
      </c>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t="n">
        <v>300</v>
      </c>
      <c r="CH120" s="12" t="n">
        <v>43</v>
      </c>
      <c r="CI120" s="15"/>
      <c r="CJ120" s="15"/>
      <c r="CK120" s="15"/>
      <c r="CL120" s="15"/>
      <c r="CM120" s="15"/>
      <c r="CN120" s="15"/>
      <c r="CO120" s="15"/>
      <c r="CP120" s="15"/>
      <c r="CQ120" s="15"/>
      <c r="CR120" s="15"/>
      <c r="CS120" s="15"/>
      <c r="CT120" s="15"/>
      <c r="CU120" s="16" t="n">
        <v>17</v>
      </c>
      <c r="CV120" s="15"/>
      <c r="CW120" s="15"/>
      <c r="CX120" s="15"/>
      <c r="CY120" s="15"/>
      <c r="CZ120" s="15"/>
      <c r="DA120" s="15"/>
      <c r="DB120" s="15"/>
      <c r="DC120" s="15"/>
      <c r="DD120" s="15"/>
      <c r="DE120" s="15"/>
      <c r="DF120" s="15"/>
      <c r="DG120" s="15"/>
      <c r="DH120" s="15"/>
      <c r="DI120" s="15"/>
      <c r="DJ120" s="15"/>
      <c r="DK120" s="15"/>
      <c r="DL120" s="12"/>
      <c r="DM120" s="12"/>
      <c r="DN120" s="12"/>
      <c r="DO120" s="16" t="n">
        <v>1115</v>
      </c>
      <c r="DP120" s="15"/>
      <c r="DQ120" s="16"/>
      <c r="DR120" s="16" t="n">
        <v>31710</v>
      </c>
      <c r="DS120" s="15"/>
      <c r="DT120" s="15"/>
      <c r="DU120" s="15"/>
      <c r="DV120" s="15"/>
      <c r="DW120" s="15"/>
      <c r="DX120" s="15"/>
      <c r="DY120" s="15"/>
      <c r="DZ120" s="15"/>
    </row>
    <row r="121" customFormat="false" ht="15" hidden="false" customHeight="false" outlineLevel="0" collapsed="false">
      <c r="A121" s="13" t="n">
        <v>2004</v>
      </c>
      <c r="B121" s="15"/>
      <c r="C121" s="15"/>
      <c r="D121" s="15"/>
      <c r="E121" s="15"/>
      <c r="F121" s="15"/>
      <c r="G121" s="15"/>
      <c r="H121" s="15"/>
      <c r="I121" s="15"/>
      <c r="J121" s="15"/>
      <c r="K121" s="15"/>
      <c r="L121" s="16"/>
      <c r="M121" s="16"/>
      <c r="N121" s="16" t="n">
        <v>479</v>
      </c>
      <c r="O121" s="15"/>
      <c r="P121" s="15"/>
      <c r="Q121" s="15"/>
      <c r="R121" s="15"/>
      <c r="S121" s="15"/>
      <c r="T121" s="15"/>
      <c r="U121" s="15"/>
      <c r="V121" s="15"/>
      <c r="W121" s="15"/>
      <c r="X121" s="15"/>
      <c r="Y121" s="15"/>
      <c r="Z121" s="16" t="n">
        <v>357</v>
      </c>
      <c r="AA121" s="15"/>
      <c r="AB121" s="15"/>
      <c r="AC121" s="15"/>
      <c r="AD121" s="15"/>
      <c r="AE121" s="15"/>
      <c r="AF121" s="15"/>
      <c r="AG121" s="15"/>
      <c r="AH121" s="15"/>
      <c r="AI121" s="15"/>
      <c r="AJ121" s="15"/>
      <c r="AK121" s="15"/>
      <c r="AL121" s="15" t="n">
        <v>61</v>
      </c>
      <c r="AM121" s="15"/>
      <c r="AN121" s="15"/>
      <c r="AO121" s="15"/>
      <c r="AP121" s="15"/>
      <c r="AQ121" s="15"/>
      <c r="AR121" s="15"/>
      <c r="AS121" s="15"/>
      <c r="AT121" s="15" t="n">
        <v>29</v>
      </c>
      <c r="AU121" s="15"/>
      <c r="AV121" s="15" t="n">
        <v>1399</v>
      </c>
      <c r="AW121" s="15"/>
      <c r="AX121" s="15"/>
      <c r="AY121" s="15"/>
      <c r="AZ121" s="15"/>
      <c r="BA121" s="15"/>
      <c r="BB121" s="15"/>
      <c r="BC121" s="15"/>
      <c r="BD121" s="15"/>
      <c r="BE121" s="15"/>
      <c r="BF121" s="15"/>
      <c r="BG121" s="15"/>
      <c r="BH121" s="15"/>
      <c r="BI121" s="15"/>
      <c r="BJ121" s="3" t="n">
        <v>25</v>
      </c>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t="n">
        <v>289</v>
      </c>
      <c r="CH121" s="12" t="n">
        <v>37</v>
      </c>
      <c r="CI121" s="15"/>
      <c r="CJ121" s="15"/>
      <c r="CK121" s="15"/>
      <c r="CL121" s="15"/>
      <c r="CM121" s="15"/>
      <c r="CN121" s="15"/>
      <c r="CO121" s="15"/>
      <c r="CP121" s="15"/>
      <c r="CQ121" s="15"/>
      <c r="CR121" s="15"/>
      <c r="CS121" s="15"/>
      <c r="CT121" s="15"/>
      <c r="CU121" s="16" t="n">
        <v>16</v>
      </c>
      <c r="CV121" s="15"/>
      <c r="CW121" s="15"/>
      <c r="CX121" s="15"/>
      <c r="CY121" s="15"/>
      <c r="CZ121" s="15"/>
      <c r="DA121" s="15"/>
      <c r="DB121" s="15"/>
      <c r="DC121" s="15"/>
      <c r="DD121" s="15"/>
      <c r="DE121" s="15"/>
      <c r="DF121" s="15"/>
      <c r="DG121" s="15"/>
      <c r="DH121" s="15"/>
      <c r="DI121" s="15"/>
      <c r="DJ121" s="15"/>
      <c r="DK121" s="12"/>
      <c r="DL121" s="16"/>
      <c r="DM121" s="16"/>
      <c r="DN121" s="23" t="n">
        <v>304</v>
      </c>
      <c r="DO121" s="16" t="n">
        <v>1057</v>
      </c>
      <c r="DP121" s="136" t="n">
        <v>304</v>
      </c>
      <c r="DQ121" s="16"/>
      <c r="DR121" s="16" t="n">
        <v>30571</v>
      </c>
      <c r="DS121" s="15"/>
      <c r="DT121" s="15"/>
      <c r="DU121" s="15"/>
      <c r="DV121" s="15"/>
      <c r="DW121" s="15"/>
      <c r="DX121" s="15"/>
      <c r="DY121" s="15"/>
      <c r="DZ121" s="15"/>
    </row>
    <row r="122" customFormat="false" ht="15" hidden="false" customHeight="false" outlineLevel="0" collapsed="false">
      <c r="A122" s="13" t="n">
        <v>2005</v>
      </c>
      <c r="B122" s="15"/>
      <c r="C122" s="15"/>
      <c r="D122" s="15"/>
      <c r="E122" s="15"/>
      <c r="F122" s="15"/>
      <c r="G122" s="15"/>
      <c r="H122" s="15"/>
      <c r="I122" s="15"/>
      <c r="J122" s="15"/>
      <c r="K122" s="15"/>
      <c r="L122" s="16"/>
      <c r="M122" s="16"/>
      <c r="N122" s="16" t="n">
        <v>504</v>
      </c>
      <c r="O122" s="15"/>
      <c r="P122" s="15"/>
      <c r="Q122" s="15"/>
      <c r="R122" s="15"/>
      <c r="S122" s="15"/>
      <c r="T122" s="15"/>
      <c r="U122" s="15"/>
      <c r="V122" s="15"/>
      <c r="W122" s="15"/>
      <c r="X122" s="15"/>
      <c r="Y122" s="15"/>
      <c r="Z122" s="16" t="n">
        <v>434</v>
      </c>
      <c r="AA122" s="15"/>
      <c r="AB122" s="15"/>
      <c r="AC122" s="15"/>
      <c r="AD122" s="15"/>
      <c r="AE122" s="15"/>
      <c r="AF122" s="15"/>
      <c r="AG122" s="15"/>
      <c r="AH122" s="15"/>
      <c r="AI122" s="15"/>
      <c r="AJ122" s="15"/>
      <c r="AK122" s="15"/>
      <c r="AL122" s="15" t="n">
        <v>44</v>
      </c>
      <c r="AM122" s="15"/>
      <c r="AN122" s="15"/>
      <c r="AO122" s="15"/>
      <c r="AP122" s="15"/>
      <c r="AQ122" s="15"/>
      <c r="AR122" s="15"/>
      <c r="AS122" s="15"/>
      <c r="AT122" s="15" t="n">
        <v>29</v>
      </c>
      <c r="AU122" s="15"/>
      <c r="AV122" s="15" t="n">
        <v>1342</v>
      </c>
      <c r="AW122" s="15"/>
      <c r="AX122" s="15"/>
      <c r="AY122" s="15"/>
      <c r="AZ122" s="15"/>
      <c r="BA122" s="15"/>
      <c r="BB122" s="15"/>
      <c r="BC122" s="15"/>
      <c r="BD122" s="15"/>
      <c r="BE122" s="15"/>
      <c r="BF122" s="15"/>
      <c r="BG122" s="15"/>
      <c r="BH122" s="15"/>
      <c r="BI122" s="15"/>
      <c r="BJ122" s="3" t="n">
        <v>45</v>
      </c>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t="n">
        <v>338</v>
      </c>
      <c r="CH122" s="12" t="n">
        <v>28</v>
      </c>
      <c r="CI122" s="15"/>
      <c r="CJ122" s="15"/>
      <c r="CK122" s="15"/>
      <c r="CL122" s="15"/>
      <c r="CM122" s="15"/>
      <c r="CN122" s="15"/>
      <c r="CO122" s="15"/>
      <c r="CP122" s="15"/>
      <c r="CQ122" s="15"/>
      <c r="CR122" s="15"/>
      <c r="CS122" s="15"/>
      <c r="CT122" s="15"/>
      <c r="CU122" s="16" t="n">
        <v>24</v>
      </c>
      <c r="CV122" s="15"/>
      <c r="CW122" s="15"/>
      <c r="CX122" s="15"/>
      <c r="CY122" s="15"/>
      <c r="CZ122" s="15"/>
      <c r="DA122" s="15"/>
      <c r="DB122" s="15"/>
      <c r="DC122" s="15"/>
      <c r="DD122" s="15"/>
      <c r="DE122" s="15"/>
      <c r="DF122" s="15"/>
      <c r="DG122" s="15"/>
      <c r="DH122" s="15"/>
      <c r="DI122" s="15"/>
      <c r="DJ122" s="15"/>
      <c r="DK122" s="12"/>
      <c r="DL122" s="16"/>
      <c r="DM122" s="16"/>
      <c r="DN122" s="23" t="n">
        <v>361</v>
      </c>
      <c r="DO122" s="16" t="n">
        <v>1029</v>
      </c>
      <c r="DP122" s="136" t="n">
        <v>361</v>
      </c>
      <c r="DQ122" s="16"/>
      <c r="DR122" s="16" t="n">
        <v>29170</v>
      </c>
      <c r="DS122" s="15"/>
      <c r="DT122" s="15"/>
      <c r="DU122" s="15"/>
      <c r="DV122" s="15"/>
      <c r="DW122" s="15"/>
      <c r="DX122" s="15"/>
      <c r="DY122" s="15"/>
      <c r="DZ122" s="15"/>
    </row>
    <row r="123" customFormat="false" ht="15" hidden="false" customHeight="false" outlineLevel="0" collapsed="false">
      <c r="A123" s="13" t="n">
        <v>2006</v>
      </c>
      <c r="B123" s="15"/>
      <c r="C123" s="15"/>
      <c r="D123" s="15"/>
      <c r="E123" s="15"/>
      <c r="F123" s="15"/>
      <c r="G123" s="15"/>
      <c r="H123" s="15"/>
      <c r="I123" s="15"/>
      <c r="J123" s="15"/>
      <c r="K123" s="15"/>
      <c r="L123" s="16"/>
      <c r="M123" s="16"/>
      <c r="N123" s="16" t="n">
        <v>521</v>
      </c>
      <c r="O123" s="15"/>
      <c r="P123" s="15"/>
      <c r="Q123" s="15"/>
      <c r="R123" s="15"/>
      <c r="S123" s="15"/>
      <c r="T123" s="15"/>
      <c r="U123" s="15"/>
      <c r="V123" s="15"/>
      <c r="W123" s="15"/>
      <c r="X123" s="15"/>
      <c r="Y123" s="15"/>
      <c r="Z123" s="16" t="n">
        <v>398</v>
      </c>
      <c r="AA123" s="15"/>
      <c r="AB123" s="15"/>
      <c r="AC123" s="15"/>
      <c r="AD123" s="15"/>
      <c r="AE123" s="15"/>
      <c r="AF123" s="15"/>
      <c r="AG123" s="15"/>
      <c r="AH123" s="15"/>
      <c r="AI123" s="15"/>
      <c r="AJ123" s="15"/>
      <c r="AK123" s="15"/>
      <c r="AL123" s="15" t="n">
        <v>51</v>
      </c>
      <c r="AM123" s="15"/>
      <c r="AN123" s="15"/>
      <c r="AO123" s="15"/>
      <c r="AP123" s="15"/>
      <c r="AQ123" s="15"/>
      <c r="AR123" s="15"/>
      <c r="AS123" s="15"/>
      <c r="AT123" s="15" t="n">
        <v>32</v>
      </c>
      <c r="AU123" s="15"/>
      <c r="AV123" s="15" t="n">
        <v>1151</v>
      </c>
      <c r="AW123" s="15"/>
      <c r="AX123" s="15"/>
      <c r="AY123" s="15"/>
      <c r="AZ123" s="15"/>
      <c r="BA123" s="15"/>
      <c r="BB123" s="15"/>
      <c r="BC123" s="15"/>
      <c r="BD123" s="15"/>
      <c r="BE123" s="15"/>
      <c r="BF123" s="15"/>
      <c r="BG123" s="15"/>
      <c r="BH123" s="15"/>
      <c r="BI123" s="15"/>
      <c r="BJ123" s="3" t="n">
        <v>32</v>
      </c>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t="n">
        <v>287</v>
      </c>
      <c r="CH123" s="12" t="n">
        <v>28</v>
      </c>
      <c r="CI123" s="15"/>
      <c r="CJ123" s="15"/>
      <c r="CK123" s="15"/>
      <c r="CL123" s="15"/>
      <c r="CM123" s="15"/>
      <c r="CN123" s="15"/>
      <c r="CO123" s="15"/>
      <c r="CP123" s="15"/>
      <c r="CQ123" s="15"/>
      <c r="CR123" s="15"/>
      <c r="CS123" s="15"/>
      <c r="CT123" s="15"/>
      <c r="CU123" s="16" t="n">
        <v>22</v>
      </c>
      <c r="CV123" s="15"/>
      <c r="CW123" s="15"/>
      <c r="CX123" s="15"/>
      <c r="CY123" s="15"/>
      <c r="CZ123" s="15"/>
      <c r="DA123" s="15"/>
      <c r="DB123" s="15"/>
      <c r="DC123" s="15"/>
      <c r="DD123" s="15"/>
      <c r="DE123" s="15"/>
      <c r="DF123" s="15"/>
      <c r="DG123" s="15"/>
      <c r="DH123" s="15"/>
      <c r="DI123" s="15"/>
      <c r="DJ123" s="15"/>
      <c r="DK123" s="12"/>
      <c r="DL123" s="16"/>
      <c r="DM123" s="16"/>
      <c r="DN123" s="23" t="n">
        <v>314</v>
      </c>
      <c r="DO123" s="16" t="n">
        <v>971</v>
      </c>
      <c r="DP123" s="136" t="n">
        <v>314</v>
      </c>
      <c r="DQ123" s="16"/>
      <c r="DR123" s="16" t="n">
        <v>29261</v>
      </c>
      <c r="DS123" s="15"/>
      <c r="DT123" s="15"/>
      <c r="DU123" s="15"/>
      <c r="DV123" s="15"/>
      <c r="DW123" s="15"/>
      <c r="DX123" s="15"/>
      <c r="DY123" s="15"/>
      <c r="DZ123" s="15"/>
    </row>
    <row r="124" customFormat="false" ht="15" hidden="false" customHeight="false" outlineLevel="0" collapsed="false">
      <c r="A124" s="13" t="n">
        <v>2007</v>
      </c>
      <c r="B124" s="15"/>
      <c r="C124" s="15"/>
      <c r="D124" s="15"/>
      <c r="E124" s="15"/>
      <c r="F124" s="15"/>
      <c r="G124" s="15"/>
      <c r="H124" s="15"/>
      <c r="I124" s="15"/>
      <c r="J124" s="15"/>
      <c r="K124" s="15"/>
      <c r="L124" s="16"/>
      <c r="M124" s="16"/>
      <c r="N124" s="16" t="n">
        <v>542</v>
      </c>
      <c r="O124" s="15"/>
      <c r="P124" s="15"/>
      <c r="Q124" s="15"/>
      <c r="R124" s="15"/>
      <c r="S124" s="15"/>
      <c r="T124" s="15"/>
      <c r="U124" s="15"/>
      <c r="V124" s="15"/>
      <c r="W124" s="15"/>
      <c r="X124" s="15"/>
      <c r="Y124" s="15"/>
      <c r="Z124" s="16" t="n">
        <v>371</v>
      </c>
      <c r="AA124" s="15"/>
      <c r="AB124" s="15"/>
      <c r="AC124" s="15"/>
      <c r="AD124" s="15"/>
      <c r="AE124" s="15"/>
      <c r="AF124" s="15"/>
      <c r="AG124" s="15"/>
      <c r="AH124" s="15"/>
      <c r="AI124" s="15"/>
      <c r="AJ124" s="15"/>
      <c r="AK124" s="15"/>
      <c r="AL124" s="15" t="n">
        <v>32</v>
      </c>
      <c r="AM124" s="15"/>
      <c r="AN124" s="15"/>
      <c r="AO124" s="15"/>
      <c r="AP124" s="15"/>
      <c r="AQ124" s="15"/>
      <c r="AR124" s="15"/>
      <c r="AS124" s="15"/>
      <c r="AT124" s="15" t="n">
        <v>57</v>
      </c>
      <c r="AU124" s="15"/>
      <c r="AV124" s="15" t="n">
        <v>987</v>
      </c>
      <c r="AW124" s="15"/>
      <c r="AX124" s="15"/>
      <c r="AY124" s="15"/>
      <c r="AZ124" s="15"/>
      <c r="BA124" s="15"/>
      <c r="BB124" s="15"/>
      <c r="BC124" s="15"/>
      <c r="BD124" s="15"/>
      <c r="BE124" s="15"/>
      <c r="BF124" s="15"/>
      <c r="BG124" s="15"/>
      <c r="BH124" s="15"/>
      <c r="BI124" s="15"/>
      <c r="BJ124" s="3" t="n">
        <v>20</v>
      </c>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t="n">
        <v>285</v>
      </c>
      <c r="CH124" s="12" t="n">
        <v>38</v>
      </c>
      <c r="CI124" s="15"/>
      <c r="CJ124" s="15"/>
      <c r="CK124" s="15"/>
      <c r="CL124" s="15"/>
      <c r="CM124" s="15"/>
      <c r="CN124" s="15"/>
      <c r="CO124" s="15"/>
      <c r="CP124" s="15"/>
      <c r="CQ124" s="15"/>
      <c r="CR124" s="15"/>
      <c r="CS124" s="15"/>
      <c r="CT124" s="15"/>
      <c r="CU124" s="16" t="n">
        <v>23</v>
      </c>
      <c r="CV124" s="15"/>
      <c r="CW124" s="15"/>
      <c r="CX124" s="15"/>
      <c r="CY124" s="15"/>
      <c r="CZ124" s="15"/>
      <c r="DA124" s="15"/>
      <c r="DB124" s="15"/>
      <c r="DC124" s="15"/>
      <c r="DD124" s="15"/>
      <c r="DE124" s="15"/>
      <c r="DF124" s="15"/>
      <c r="DG124" s="15"/>
      <c r="DH124" s="15"/>
      <c r="DI124" s="15"/>
      <c r="DJ124" s="15"/>
      <c r="DK124" s="12"/>
      <c r="DL124" s="16"/>
      <c r="DM124" s="16"/>
      <c r="DN124" s="23" t="n">
        <v>308</v>
      </c>
      <c r="DO124" s="16" t="n">
        <v>856</v>
      </c>
      <c r="DP124" s="136" t="n">
        <v>308</v>
      </c>
      <c r="DQ124" s="16"/>
      <c r="DR124" s="16" t="n">
        <v>28563</v>
      </c>
      <c r="DS124" s="15"/>
      <c r="DT124" s="15"/>
      <c r="DU124" s="15"/>
      <c r="DV124" s="15"/>
      <c r="DW124" s="15"/>
      <c r="DX124" s="15"/>
      <c r="DY124" s="15"/>
      <c r="DZ124" s="15"/>
    </row>
    <row r="125" customFormat="false" ht="15" hidden="false" customHeight="false" outlineLevel="0" collapsed="false">
      <c r="A125" s="13" t="n">
        <v>2008</v>
      </c>
      <c r="B125" s="15"/>
      <c r="C125" s="15"/>
      <c r="D125" s="15"/>
      <c r="E125" s="15"/>
      <c r="F125" s="15"/>
      <c r="G125" s="15"/>
      <c r="H125" s="15"/>
      <c r="I125" s="15"/>
      <c r="J125" s="15"/>
      <c r="K125" s="15"/>
      <c r="L125" s="16"/>
      <c r="M125" s="16"/>
      <c r="N125" s="16" t="n">
        <v>558</v>
      </c>
      <c r="O125" s="15"/>
      <c r="P125" s="15"/>
      <c r="Q125" s="15"/>
      <c r="R125" s="15"/>
      <c r="S125" s="15"/>
      <c r="T125" s="15"/>
      <c r="U125" s="15"/>
      <c r="V125" s="15"/>
      <c r="W125" s="15"/>
      <c r="X125" s="15"/>
      <c r="Y125" s="15"/>
      <c r="Z125" s="16" t="n">
        <v>367</v>
      </c>
      <c r="AA125" s="15"/>
      <c r="AB125" s="15"/>
      <c r="AC125" s="15"/>
      <c r="AD125" s="15"/>
      <c r="AE125" s="15"/>
      <c r="AF125" s="15"/>
      <c r="AG125" s="15"/>
      <c r="AH125" s="15"/>
      <c r="AI125" s="15"/>
      <c r="AJ125" s="15"/>
      <c r="AK125" s="15"/>
      <c r="AL125" s="15" t="n">
        <v>40</v>
      </c>
      <c r="AM125" s="15"/>
      <c r="AN125" s="15"/>
      <c r="AO125" s="15"/>
      <c r="AP125" s="15"/>
      <c r="AQ125" s="15"/>
      <c r="AR125" s="15"/>
      <c r="AS125" s="15"/>
      <c r="AT125" s="15" t="n">
        <v>61</v>
      </c>
      <c r="AU125" s="15"/>
      <c r="AV125" s="15" t="n">
        <v>1001</v>
      </c>
      <c r="AW125" s="15"/>
      <c r="AX125" s="15"/>
      <c r="AY125" s="15"/>
      <c r="AZ125" s="15"/>
      <c r="BA125" s="15"/>
      <c r="BB125" s="15"/>
      <c r="BC125" s="15"/>
      <c r="BD125" s="15"/>
      <c r="BE125" s="15"/>
      <c r="BF125" s="15"/>
      <c r="BG125" s="15"/>
      <c r="BH125" s="15"/>
      <c r="BI125" s="15"/>
      <c r="BJ125" s="3" t="n">
        <v>38</v>
      </c>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t="n">
        <v>244</v>
      </c>
      <c r="CH125" s="12" t="n">
        <v>24</v>
      </c>
      <c r="CI125" s="15"/>
      <c r="CJ125" s="15"/>
      <c r="CK125" s="15"/>
      <c r="CL125" s="15"/>
      <c r="CM125" s="15"/>
      <c r="CN125" s="15"/>
      <c r="CO125" s="15"/>
      <c r="CP125" s="15"/>
      <c r="CQ125" s="15"/>
      <c r="CR125" s="15"/>
      <c r="CS125" s="15"/>
      <c r="CT125" s="15"/>
      <c r="CU125" s="16" t="n">
        <v>28</v>
      </c>
      <c r="CV125" s="15"/>
      <c r="CW125" s="15"/>
      <c r="CX125" s="15"/>
      <c r="CY125" s="15"/>
      <c r="CZ125" s="15"/>
      <c r="DA125" s="15"/>
      <c r="DB125" s="15"/>
      <c r="DC125" s="15"/>
      <c r="DD125" s="15"/>
      <c r="DE125" s="15"/>
      <c r="DF125" s="15"/>
      <c r="DG125" s="15"/>
      <c r="DH125" s="15"/>
      <c r="DI125" s="15"/>
      <c r="DJ125" s="15"/>
      <c r="DK125" s="12"/>
      <c r="DL125" s="16"/>
      <c r="DM125" s="16"/>
      <c r="DN125" s="23" t="n">
        <v>299</v>
      </c>
      <c r="DO125" s="16" t="n">
        <v>828</v>
      </c>
      <c r="DP125" s="136" t="n">
        <v>299</v>
      </c>
      <c r="DQ125" s="16"/>
      <c r="DR125" s="16" t="n">
        <v>27608</v>
      </c>
      <c r="DS125" s="15"/>
      <c r="DT125" s="15"/>
      <c r="DU125" s="15"/>
      <c r="DV125" s="15"/>
      <c r="DW125" s="15"/>
      <c r="DX125" s="15"/>
      <c r="DY125" s="15"/>
      <c r="DZ125" s="15"/>
    </row>
    <row r="126" customFormat="false" ht="15" hidden="false" customHeight="false" outlineLevel="0" collapsed="false">
      <c r="A126" s="13" t="n">
        <v>2009</v>
      </c>
      <c r="B126" s="15"/>
      <c r="C126" s="15"/>
      <c r="D126" s="15"/>
      <c r="E126" s="15"/>
      <c r="F126" s="15"/>
      <c r="G126" s="15"/>
      <c r="H126" s="15"/>
      <c r="I126" s="15"/>
      <c r="J126" s="15"/>
      <c r="K126" s="15"/>
      <c r="L126" s="16"/>
      <c r="M126" s="16"/>
      <c r="N126" s="16" t="n">
        <v>585</v>
      </c>
      <c r="O126" s="15"/>
      <c r="P126" s="15"/>
      <c r="Q126" s="15"/>
      <c r="R126" s="15"/>
      <c r="S126" s="15"/>
      <c r="T126" s="15"/>
      <c r="U126" s="15"/>
      <c r="V126" s="15"/>
      <c r="W126" s="15"/>
      <c r="X126" s="15"/>
      <c r="Y126" s="15"/>
      <c r="Z126" s="16" t="n">
        <v>296</v>
      </c>
      <c r="AA126" s="15"/>
      <c r="AB126" s="15"/>
      <c r="AC126" s="15"/>
      <c r="AD126" s="15"/>
      <c r="AE126" s="15"/>
      <c r="AF126" s="15"/>
      <c r="AG126" s="15"/>
      <c r="AH126" s="15"/>
      <c r="AI126" s="15"/>
      <c r="AJ126" s="15"/>
      <c r="AK126" s="15"/>
      <c r="AL126" s="15" t="n">
        <v>36</v>
      </c>
      <c r="AM126" s="15"/>
      <c r="AN126" s="15"/>
      <c r="AO126" s="15"/>
      <c r="AP126" s="15"/>
      <c r="AQ126" s="15"/>
      <c r="AR126" s="15"/>
      <c r="AS126" s="15"/>
      <c r="AT126" s="15" t="n">
        <v>38</v>
      </c>
      <c r="AU126" s="15"/>
      <c r="AV126" s="15" t="n">
        <v>735</v>
      </c>
      <c r="AW126" s="15"/>
      <c r="AX126" s="15"/>
      <c r="AY126" s="15"/>
      <c r="AZ126" s="15"/>
      <c r="BA126" s="15"/>
      <c r="BB126" s="15"/>
      <c r="BC126" s="15"/>
      <c r="BD126" s="15"/>
      <c r="BE126" s="15"/>
      <c r="BF126" s="15"/>
      <c r="BG126" s="15"/>
      <c r="BH126" s="15"/>
      <c r="BI126" s="15"/>
      <c r="BJ126" s="3" t="n">
        <v>31</v>
      </c>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t="n">
        <v>179</v>
      </c>
      <c r="CH126" s="12" t="n">
        <v>33</v>
      </c>
      <c r="CI126" s="15"/>
      <c r="CJ126" s="15"/>
      <c r="CK126" s="15"/>
      <c r="CL126" s="15"/>
      <c r="CM126" s="15"/>
      <c r="CN126" s="15"/>
      <c r="CO126" s="15"/>
      <c r="CP126" s="15"/>
      <c r="CQ126" s="15"/>
      <c r="CR126" s="15"/>
      <c r="CS126" s="15"/>
      <c r="CT126" s="15"/>
      <c r="CU126" s="16" t="n">
        <v>21</v>
      </c>
      <c r="CV126" s="15"/>
      <c r="CW126" s="15"/>
      <c r="CX126" s="15"/>
      <c r="CY126" s="15"/>
      <c r="CZ126" s="15"/>
      <c r="DA126" s="15"/>
      <c r="DB126" s="15"/>
      <c r="DC126" s="15"/>
      <c r="DD126" s="15"/>
      <c r="DE126" s="15"/>
      <c r="DF126" s="15"/>
      <c r="DG126" s="15"/>
      <c r="DH126" s="15"/>
      <c r="DI126" s="15"/>
      <c r="DJ126" s="15"/>
      <c r="DK126" s="12"/>
      <c r="DL126" s="16"/>
      <c r="DM126" s="16"/>
      <c r="DN126" s="23" t="n">
        <v>226</v>
      </c>
      <c r="DO126" s="16" t="n">
        <v>713</v>
      </c>
      <c r="DP126" s="136" t="n">
        <v>226</v>
      </c>
      <c r="DQ126" s="16"/>
      <c r="DR126" s="16" t="n">
        <v>23902</v>
      </c>
      <c r="DS126" s="15"/>
      <c r="DT126" s="15"/>
      <c r="DU126" s="15"/>
      <c r="DV126" s="15"/>
      <c r="DW126" s="15"/>
      <c r="DX126" s="15"/>
      <c r="DY126" s="15"/>
      <c r="DZ126" s="15"/>
    </row>
    <row r="127" customFormat="false" ht="15" hidden="false" customHeight="false" outlineLevel="0" collapsed="false">
      <c r="A127" s="13" t="n">
        <v>2010</v>
      </c>
      <c r="B127" s="15"/>
      <c r="C127" s="15"/>
      <c r="D127" s="15"/>
      <c r="E127" s="15"/>
      <c r="F127" s="15"/>
      <c r="G127" s="15"/>
      <c r="H127" s="15"/>
      <c r="I127" s="15"/>
      <c r="J127" s="15"/>
      <c r="K127" s="15"/>
      <c r="L127" s="16"/>
      <c r="M127" s="16"/>
      <c r="N127" s="16" t="n">
        <v>611</v>
      </c>
      <c r="O127" s="15"/>
      <c r="P127" s="15"/>
      <c r="Q127" s="15"/>
      <c r="R127" s="15"/>
      <c r="S127" s="15"/>
      <c r="T127" s="15"/>
      <c r="U127" s="15"/>
      <c r="V127" s="15"/>
      <c r="W127" s="15"/>
      <c r="X127" s="15"/>
      <c r="Y127" s="15"/>
      <c r="Z127" s="16" t="n">
        <v>276</v>
      </c>
      <c r="AA127" s="15"/>
      <c r="AB127" s="15"/>
      <c r="AC127" s="15"/>
      <c r="AD127" s="15"/>
      <c r="AE127" s="15" t="n">
        <v>96000</v>
      </c>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3" t="n">
        <v>19</v>
      </c>
      <c r="BK127" s="26"/>
      <c r="BL127" s="26" t="s">
        <v>616</v>
      </c>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2" t="n">
        <v>23</v>
      </c>
      <c r="CI127" s="15"/>
      <c r="CJ127" s="15"/>
      <c r="CK127" s="15"/>
      <c r="CL127" s="15"/>
      <c r="CM127" s="15"/>
      <c r="CN127" s="15"/>
      <c r="CO127" s="15"/>
      <c r="CP127" s="15"/>
      <c r="CQ127" s="15"/>
      <c r="CR127" s="15"/>
      <c r="CS127" s="15"/>
      <c r="CT127" s="15"/>
      <c r="CU127" s="16" t="n">
        <v>17</v>
      </c>
      <c r="CV127" s="15"/>
      <c r="CW127" s="15"/>
      <c r="CX127" s="15"/>
      <c r="CY127" s="15"/>
      <c r="CZ127" s="15"/>
      <c r="DA127" s="15"/>
      <c r="DB127" s="15"/>
      <c r="DC127" s="15"/>
      <c r="DD127" s="15"/>
      <c r="DE127" s="15"/>
      <c r="DF127" s="15"/>
      <c r="DG127" s="15"/>
      <c r="DH127" s="15"/>
      <c r="DI127" s="15"/>
      <c r="DJ127" s="15"/>
      <c r="DK127" s="12"/>
      <c r="DL127" s="16"/>
      <c r="DM127" s="16"/>
      <c r="DN127" s="23"/>
      <c r="DO127" s="16" t="n">
        <v>770</v>
      </c>
      <c r="DP127" s="15"/>
      <c r="DQ127" s="16"/>
      <c r="DR127" s="16" t="n">
        <v>21686</v>
      </c>
      <c r="DS127" s="15"/>
      <c r="DT127" s="15"/>
      <c r="DU127" s="15"/>
      <c r="DV127" s="15"/>
      <c r="DW127" s="15"/>
      <c r="DX127" s="15"/>
      <c r="DY127" s="15"/>
      <c r="DZ127" s="15"/>
    </row>
    <row r="128" customFormat="false" ht="15" hidden="false" customHeight="false" outlineLevel="0" collapsed="false">
      <c r="A128" s="13" t="n">
        <v>2011</v>
      </c>
      <c r="B128" s="15"/>
      <c r="C128" s="15"/>
      <c r="D128" s="15"/>
      <c r="E128" s="15"/>
      <c r="F128" s="15"/>
      <c r="G128" s="15"/>
      <c r="H128" s="15"/>
      <c r="I128" s="15"/>
      <c r="J128" s="15"/>
      <c r="K128" s="15"/>
      <c r="L128" s="16"/>
      <c r="M128" s="16"/>
      <c r="N128" s="16" t="n">
        <v>619</v>
      </c>
      <c r="O128" s="15"/>
      <c r="P128" s="15"/>
      <c r="Q128" s="15"/>
      <c r="R128" s="15"/>
      <c r="S128" s="15"/>
      <c r="T128" s="15"/>
      <c r="U128" s="15"/>
      <c r="V128" s="15"/>
      <c r="W128" s="15"/>
      <c r="X128" s="15"/>
      <c r="Y128" s="15"/>
      <c r="Z128" s="16" t="n">
        <v>234</v>
      </c>
      <c r="AA128" s="15"/>
      <c r="AB128" s="15"/>
      <c r="AC128" s="15"/>
      <c r="AD128" s="15"/>
      <c r="AE128" s="15" t="n">
        <v>121000</v>
      </c>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2"/>
      <c r="BL128" s="115" t="s">
        <v>617</v>
      </c>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2" t="n">
        <v>22</v>
      </c>
      <c r="CI128" s="15"/>
      <c r="CJ128" s="15"/>
      <c r="CK128" s="15"/>
      <c r="CL128" s="15"/>
      <c r="CM128" s="15"/>
      <c r="CN128" s="15"/>
      <c r="CO128" s="15"/>
      <c r="CP128" s="15"/>
      <c r="CQ128" s="15"/>
      <c r="CR128" s="15"/>
      <c r="CS128" s="15"/>
      <c r="CT128" s="15"/>
      <c r="CU128" s="16" t="n">
        <v>23</v>
      </c>
      <c r="CV128" s="15"/>
      <c r="CW128" s="15"/>
      <c r="CX128" s="15"/>
      <c r="CY128" s="15"/>
      <c r="CZ128" s="15"/>
      <c r="DA128" s="15"/>
      <c r="DB128" s="15"/>
      <c r="DC128" s="15"/>
      <c r="DD128" s="15"/>
      <c r="DE128" s="15"/>
      <c r="DF128" s="15"/>
      <c r="DG128" s="15"/>
      <c r="DH128" s="15"/>
      <c r="DI128" s="15"/>
      <c r="DJ128" s="15"/>
      <c r="DK128" s="12"/>
      <c r="DL128" s="16"/>
      <c r="DM128" s="16"/>
      <c r="DN128" s="23"/>
      <c r="DO128" s="15" t="n">
        <v>569</v>
      </c>
      <c r="DP128" s="15"/>
      <c r="DQ128" s="16"/>
      <c r="DR128" s="16" t="n">
        <v>20080</v>
      </c>
      <c r="DS128" s="15"/>
      <c r="DT128" s="15"/>
      <c r="DU128" s="15"/>
      <c r="DV128" s="15"/>
      <c r="DW128" s="15"/>
      <c r="DX128" s="15"/>
      <c r="DY128" s="15"/>
      <c r="DZ128" s="15"/>
    </row>
    <row r="129" customFormat="false" ht="15" hidden="false" customHeight="false" outlineLevel="0" collapsed="false">
      <c r="A129" s="13" t="n">
        <v>2012</v>
      </c>
      <c r="B129" s="15"/>
      <c r="C129" s="15"/>
      <c r="D129" s="15"/>
      <c r="E129" s="15"/>
      <c r="F129" s="15"/>
      <c r="G129" s="15"/>
      <c r="H129" s="15"/>
      <c r="I129" s="15"/>
      <c r="J129" s="15"/>
      <c r="K129" s="15"/>
      <c r="L129" s="16"/>
      <c r="M129" s="16"/>
      <c r="N129" s="16" t="n">
        <v>629</v>
      </c>
      <c r="O129" s="15"/>
      <c r="P129" s="15"/>
      <c r="Q129" s="15"/>
      <c r="R129" s="15"/>
      <c r="S129" s="15"/>
      <c r="T129" s="15"/>
      <c r="U129" s="15"/>
      <c r="V129" s="15"/>
      <c r="W129" s="15"/>
      <c r="X129" s="15"/>
      <c r="Y129" s="15"/>
      <c r="Z129" s="16" t="n">
        <v>223</v>
      </c>
      <c r="AA129" s="15"/>
      <c r="AB129" s="15"/>
      <c r="AC129" s="15"/>
      <c r="AD129" s="15"/>
      <c r="AE129" s="15" t="n">
        <v>146000</v>
      </c>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2" t="n">
        <v>22</v>
      </c>
      <c r="CI129" s="15"/>
      <c r="CJ129" s="15"/>
      <c r="CK129" s="15"/>
      <c r="CL129" s="15"/>
      <c r="CM129" s="15"/>
      <c r="CN129" s="15"/>
      <c r="CO129" s="15"/>
      <c r="CP129" s="15"/>
      <c r="CQ129" s="15"/>
      <c r="CR129" s="15"/>
      <c r="CS129" s="15"/>
      <c r="CT129" s="15"/>
      <c r="CU129" s="16" t="n">
        <v>21</v>
      </c>
      <c r="CV129" s="15"/>
      <c r="CW129" s="15"/>
      <c r="CX129" s="15"/>
      <c r="CY129" s="15"/>
      <c r="CZ129" s="15"/>
      <c r="DA129" s="15"/>
      <c r="DB129" s="15"/>
      <c r="DC129" s="15"/>
      <c r="DD129" s="15"/>
      <c r="DE129" s="15"/>
      <c r="DF129" s="15"/>
      <c r="DG129" s="15"/>
      <c r="DH129" s="15"/>
      <c r="DI129" s="15"/>
      <c r="DJ129" s="15"/>
      <c r="DK129" s="12"/>
      <c r="DL129" s="16"/>
      <c r="DM129" s="16"/>
      <c r="DN129" s="23"/>
      <c r="DO129" s="15"/>
      <c r="DP129" s="15"/>
      <c r="DQ129" s="16"/>
      <c r="DR129" s="16" t="n">
        <v>19201</v>
      </c>
      <c r="DS129" s="15"/>
      <c r="DT129" s="15"/>
      <c r="DU129" s="15"/>
      <c r="DV129" s="15"/>
      <c r="DW129" s="15"/>
      <c r="DX129" s="15"/>
      <c r="DY129" s="15"/>
      <c r="DZ129" s="15"/>
    </row>
    <row r="130" customFormat="false" ht="15" hidden="false" customHeight="false" outlineLevel="0" collapsed="false">
      <c r="A130" s="13" t="n">
        <v>2013</v>
      </c>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6" t="n">
        <v>226</v>
      </c>
      <c r="AA130" s="15"/>
      <c r="AB130" s="15"/>
      <c r="AC130" s="15"/>
      <c r="AD130" s="15"/>
      <c r="AE130" s="15" t="n">
        <v>174000</v>
      </c>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2" t="n">
        <v>18</v>
      </c>
      <c r="CI130" s="15"/>
      <c r="CJ130" s="15"/>
      <c r="CK130" s="15"/>
      <c r="CL130" s="15"/>
      <c r="CM130" s="15"/>
      <c r="CN130" s="15"/>
      <c r="CO130" s="15"/>
      <c r="CP130" s="15"/>
      <c r="CQ130" s="15"/>
      <c r="CR130" s="15"/>
      <c r="CS130" s="15"/>
      <c r="CT130" s="15"/>
      <c r="CU130" s="16" t="n">
        <v>10</v>
      </c>
      <c r="CV130" s="15"/>
      <c r="CW130" s="15"/>
      <c r="CX130" s="15"/>
      <c r="CY130" s="15"/>
      <c r="CZ130" s="15"/>
      <c r="DA130" s="15"/>
      <c r="DB130" s="15"/>
      <c r="DC130" s="15"/>
      <c r="DD130" s="15"/>
      <c r="DE130" s="15"/>
      <c r="DF130" s="15"/>
      <c r="DG130" s="15"/>
      <c r="DH130" s="15"/>
      <c r="DI130" s="15"/>
      <c r="DJ130" s="15"/>
      <c r="DK130" s="12"/>
      <c r="DL130" s="12"/>
      <c r="DM130" s="12"/>
      <c r="DN130" s="12"/>
      <c r="DO130" s="15"/>
      <c r="DP130" s="15"/>
      <c r="DQ130" s="16"/>
      <c r="DR130" s="16" t="n">
        <v>19542</v>
      </c>
      <c r="DS130" s="15"/>
      <c r="DT130" s="15"/>
      <c r="DU130" s="15"/>
      <c r="DV130" s="15"/>
      <c r="DW130" s="15"/>
      <c r="DX130" s="15"/>
      <c r="DY130" s="15"/>
      <c r="DZ130" s="15"/>
    </row>
    <row r="131" customFormat="false" ht="15" hidden="false" customHeight="false" outlineLevel="0" collapsed="false">
      <c r="A131" s="13" t="n">
        <v>2014</v>
      </c>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6" t="n">
        <v>188</v>
      </c>
      <c r="AA131" s="15"/>
      <c r="AB131" s="15"/>
      <c r="AC131" s="15"/>
      <c r="AD131" s="15"/>
      <c r="AE131" s="15" t="n">
        <v>205000</v>
      </c>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6" t="n">
        <v>2</v>
      </c>
      <c r="CV131" s="15"/>
      <c r="CW131" s="15"/>
      <c r="CX131" s="15"/>
      <c r="CY131" s="15"/>
      <c r="CZ131" s="15"/>
      <c r="DA131" s="15"/>
      <c r="DB131" s="15"/>
      <c r="DC131" s="15"/>
      <c r="DD131" s="15"/>
      <c r="DE131" s="15"/>
      <c r="DF131" s="15"/>
      <c r="DG131" s="15"/>
      <c r="DH131" s="15"/>
      <c r="DI131" s="15"/>
      <c r="DJ131" s="15"/>
      <c r="DK131" s="12"/>
      <c r="DL131" s="15"/>
      <c r="DM131" s="15"/>
      <c r="DN131" s="15"/>
      <c r="DO131" s="15"/>
      <c r="DP131" s="15"/>
      <c r="DQ131" s="15"/>
      <c r="DR131" s="15"/>
      <c r="DS131" s="15"/>
      <c r="DT131" s="15"/>
      <c r="DU131" s="15"/>
      <c r="DV131" s="15"/>
      <c r="DW131" s="15"/>
      <c r="DX131" s="15"/>
      <c r="DY131" s="15"/>
      <c r="DZ131" s="15"/>
    </row>
    <row r="132" customFormat="false" ht="15" hidden="false" customHeight="false" outlineLevel="0" collapsed="false">
      <c r="A132" s="13" t="n">
        <v>2015</v>
      </c>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2"/>
      <c r="DM132" s="12"/>
      <c r="DN132" s="139" t="s">
        <v>584</v>
      </c>
      <c r="DO132" s="27" t="s">
        <v>562</v>
      </c>
      <c r="DP132" s="15"/>
      <c r="DQ132" s="15"/>
      <c r="DR132" s="15"/>
      <c r="DS132" s="15"/>
      <c r="DT132" s="15"/>
      <c r="DU132" s="15"/>
      <c r="DV132" s="15"/>
      <c r="DW132" s="15"/>
      <c r="DX132" s="15"/>
      <c r="DY132" s="15"/>
      <c r="DZ132" s="15"/>
    </row>
    <row r="133" customFormat="false" ht="15" hidden="false" customHeight="false" outlineLevel="0" collapsed="false">
      <c r="A133" s="1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2"/>
      <c r="DM133" s="12"/>
      <c r="DN133" s="12"/>
      <c r="DO133" s="15"/>
      <c r="DP133" s="15"/>
      <c r="DQ133" s="15"/>
      <c r="DR133" s="15"/>
      <c r="DS133" s="15"/>
      <c r="DT133" s="15"/>
      <c r="DU133" s="15"/>
      <c r="DV133" s="15"/>
      <c r="DW133" s="15"/>
      <c r="DX133" s="15"/>
      <c r="DY133" s="15"/>
      <c r="DZ133" s="15"/>
    </row>
    <row r="134" customFormat="false" ht="15" hidden="false" customHeight="false" outlineLevel="0" collapsed="false">
      <c r="A134" s="1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row>
    <row r="135" customFormat="false" ht="15" hidden="false" customHeight="false" outlineLevel="0" collapsed="false">
      <c r="A135" s="13"/>
      <c r="B135" s="15"/>
      <c r="C135" s="15"/>
      <c r="D135" s="15"/>
      <c r="E135" s="15"/>
      <c r="F135" s="15"/>
      <c r="G135" s="15"/>
      <c r="H135" s="15"/>
      <c r="I135" s="15"/>
      <c r="J135" s="15"/>
      <c r="K135" s="15"/>
      <c r="L135" s="15"/>
      <c r="M135" s="15"/>
      <c r="N135" s="15"/>
      <c r="O135" s="15"/>
      <c r="P135" s="136"/>
      <c r="Q135" s="136"/>
      <c r="R135" s="136"/>
      <c r="S135" s="136"/>
      <c r="T135" s="136"/>
      <c r="U135" s="136"/>
      <c r="V135" s="136"/>
      <c r="W135" s="136"/>
      <c r="X135" s="136"/>
      <c r="Y135" s="136"/>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row>
    <row r="136" customFormat="false" ht="15" hidden="false" customHeight="false" outlineLevel="0" collapsed="false">
      <c r="A136" s="13"/>
      <c r="B136" s="15"/>
      <c r="C136" s="15"/>
      <c r="D136" s="15"/>
      <c r="E136" s="15"/>
      <c r="F136" s="15"/>
      <c r="G136" s="15"/>
      <c r="H136" s="15"/>
      <c r="I136" s="15"/>
      <c r="J136" s="15"/>
      <c r="K136" s="15"/>
      <c r="L136" s="15"/>
      <c r="M136" s="15"/>
      <c r="N136" s="15"/>
      <c r="O136" s="15"/>
      <c r="P136" s="136"/>
      <c r="Q136" s="136"/>
      <c r="R136" s="136"/>
      <c r="S136" s="136"/>
      <c r="T136" s="136"/>
      <c r="U136" s="136"/>
      <c r="V136" s="136"/>
      <c r="W136" s="136"/>
      <c r="X136" s="136"/>
      <c r="Y136" s="136"/>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row>
    <row r="137" customFormat="false" ht="15" hidden="false" customHeight="false" outlineLevel="0" collapsed="false">
      <c r="A137" s="13"/>
      <c r="B137" s="15"/>
      <c r="C137" s="15"/>
      <c r="D137" s="15"/>
      <c r="E137" s="15"/>
      <c r="F137" s="15"/>
      <c r="G137" s="15"/>
      <c r="H137" s="15"/>
      <c r="I137" s="15"/>
      <c r="J137" s="15"/>
      <c r="K137" s="15"/>
      <c r="L137" s="15"/>
      <c r="M137" s="15"/>
      <c r="N137" s="15"/>
      <c r="O137" s="15"/>
      <c r="P137" s="136"/>
      <c r="Q137" s="136"/>
      <c r="R137" s="136"/>
      <c r="S137" s="136"/>
      <c r="T137" s="136"/>
      <c r="U137" s="136"/>
      <c r="V137" s="136"/>
      <c r="W137" s="136" t="s">
        <v>618</v>
      </c>
      <c r="X137" s="136"/>
      <c r="Y137" s="136"/>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t="s">
        <v>270</v>
      </c>
      <c r="DA137" s="15"/>
      <c r="DB137" s="15" t="s">
        <v>619</v>
      </c>
      <c r="DC137" s="15"/>
      <c r="DD137" s="15"/>
      <c r="DE137" s="15"/>
      <c r="DF137" s="15"/>
      <c r="DG137" s="15"/>
      <c r="DH137" s="15"/>
      <c r="DI137" s="15"/>
      <c r="DJ137" s="15"/>
      <c r="DK137" s="12"/>
      <c r="DL137" s="12"/>
      <c r="DM137" s="12"/>
      <c r="DN137" s="12"/>
      <c r="DO137" s="15"/>
      <c r="DP137" s="15"/>
      <c r="DQ137" s="15"/>
      <c r="DR137" s="15"/>
      <c r="DS137" s="15"/>
      <c r="DT137" s="15"/>
      <c r="DU137" s="15"/>
      <c r="DV137" s="15"/>
      <c r="DW137" s="15"/>
      <c r="DX137" s="15"/>
      <c r="DY137" s="15"/>
      <c r="DZ137" s="15"/>
    </row>
    <row r="138" customFormat="false" ht="15" hidden="false" customHeight="false" outlineLevel="0" collapsed="false">
      <c r="A138" s="13"/>
      <c r="B138" s="15"/>
      <c r="C138" s="15"/>
      <c r="D138" s="15"/>
      <c r="E138" s="15"/>
      <c r="F138" s="15"/>
      <c r="G138" s="15"/>
      <c r="H138" s="15"/>
      <c r="I138" s="15"/>
      <c r="J138" s="15"/>
      <c r="K138" s="15"/>
      <c r="L138" s="15"/>
      <c r="M138" s="15"/>
      <c r="N138" s="15"/>
      <c r="O138" s="15"/>
      <c r="P138" s="136"/>
      <c r="Q138" s="136" t="s">
        <v>620</v>
      </c>
      <c r="R138" s="136" t="s">
        <v>621</v>
      </c>
      <c r="S138" s="136" t="s">
        <v>622</v>
      </c>
      <c r="T138" s="136"/>
      <c r="U138" s="136"/>
      <c r="V138" s="136"/>
      <c r="W138" s="136" t="s">
        <v>623</v>
      </c>
      <c r="X138" s="136" t="s">
        <v>624</v>
      </c>
      <c r="Y138" s="136" t="s">
        <v>622</v>
      </c>
      <c r="Z138" s="15"/>
      <c r="AA138" s="12" t="s">
        <v>618</v>
      </c>
      <c r="AB138" s="36"/>
      <c r="AC138" s="12"/>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t="n">
        <v>2002</v>
      </c>
      <c r="DC138" s="15"/>
      <c r="DD138" s="15" t="n">
        <v>2003</v>
      </c>
      <c r="DE138" s="15"/>
      <c r="DF138" s="15"/>
      <c r="DG138" s="15"/>
      <c r="DH138" s="15"/>
      <c r="DI138" s="15" t="n">
        <v>2004</v>
      </c>
      <c r="DJ138" s="15" t="n">
        <v>2005</v>
      </c>
      <c r="DK138" s="12" t="n">
        <v>2006</v>
      </c>
      <c r="DL138" s="12"/>
      <c r="DM138" s="12"/>
      <c r="DN138" s="12" t="n">
        <v>2007</v>
      </c>
      <c r="DO138" s="12" t="n">
        <v>2008</v>
      </c>
      <c r="DP138" s="15" t="n">
        <v>2009</v>
      </c>
      <c r="DQ138" s="15"/>
      <c r="DR138" s="15" t="n">
        <v>2010</v>
      </c>
      <c r="DS138" s="15"/>
      <c r="DT138" s="15"/>
      <c r="DU138" s="15"/>
      <c r="DV138" s="15" t="n">
        <v>2011</v>
      </c>
      <c r="DW138" s="15"/>
      <c r="DX138" s="15" t="n">
        <v>2012</v>
      </c>
      <c r="DY138" s="15"/>
      <c r="DZ138" s="15"/>
    </row>
    <row r="139" customFormat="false" ht="15" hidden="false" customHeight="false" outlineLevel="0" collapsed="false">
      <c r="A139" s="13"/>
      <c r="B139" s="15"/>
      <c r="C139" s="15"/>
      <c r="D139" s="15"/>
      <c r="E139" s="15"/>
      <c r="F139" s="15"/>
      <c r="G139" s="15"/>
      <c r="H139" s="15"/>
      <c r="I139" s="15"/>
      <c r="J139" s="15"/>
      <c r="K139" s="15"/>
      <c r="L139" s="15"/>
      <c r="M139" s="15"/>
      <c r="N139" s="15"/>
      <c r="O139" s="15"/>
      <c r="P139" s="136" t="n">
        <v>2000</v>
      </c>
      <c r="Q139" s="136" t="n">
        <v>0.00712256079404466</v>
      </c>
      <c r="R139" s="136" t="n">
        <v>0.05</v>
      </c>
      <c r="S139" s="136" t="n">
        <f aca="false">Q139/(R139*(1-R139))</f>
        <v>0.149948648295677</v>
      </c>
      <c r="T139" s="136"/>
      <c r="U139" s="136"/>
      <c r="V139" s="136" t="n">
        <v>2011</v>
      </c>
      <c r="W139" s="136" t="n">
        <v>0.00260982189495233</v>
      </c>
      <c r="X139" s="136" t="n">
        <v>0.013127599</v>
      </c>
      <c r="Y139" s="136" t="n">
        <f aca="false">W139/(X139*(1-X139))</f>
        <v>0.201448744262966</v>
      </c>
      <c r="Z139" s="15"/>
      <c r="AA139" s="10"/>
      <c r="AB139" s="12" t="s">
        <v>625</v>
      </c>
      <c r="AC139" s="12" t="s">
        <v>626</v>
      </c>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t="s">
        <v>627</v>
      </c>
      <c r="DA139" s="15"/>
      <c r="DB139" s="15" t="n">
        <v>39</v>
      </c>
      <c r="DC139" s="15"/>
      <c r="DD139" s="15" t="n">
        <v>36</v>
      </c>
      <c r="DE139" s="15"/>
      <c r="DF139" s="15"/>
      <c r="DG139" s="15"/>
      <c r="DH139" s="15"/>
      <c r="DI139" s="15" t="n">
        <v>36</v>
      </c>
      <c r="DJ139" s="12" t="n">
        <v>44</v>
      </c>
      <c r="DK139" s="12" t="n">
        <v>46</v>
      </c>
      <c r="DL139" s="12"/>
      <c r="DM139" s="12"/>
      <c r="DN139" s="12" t="n">
        <v>47</v>
      </c>
      <c r="DO139" s="12" t="n">
        <v>47</v>
      </c>
      <c r="DP139" s="15" t="n">
        <v>28</v>
      </c>
      <c r="DQ139" s="15"/>
      <c r="DR139" s="15" t="n">
        <v>28</v>
      </c>
      <c r="DS139" s="15"/>
      <c r="DT139" s="15"/>
      <c r="DU139" s="15"/>
      <c r="DV139" s="15" t="n">
        <v>21</v>
      </c>
      <c r="DW139" s="15"/>
      <c r="DX139" s="15" t="n">
        <v>16</v>
      </c>
      <c r="DY139" s="15"/>
      <c r="DZ139" s="15"/>
    </row>
    <row r="140" customFormat="false" ht="15" hidden="false" customHeight="false" outlineLevel="0" collapsed="false">
      <c r="A140" s="13"/>
      <c r="B140" s="15"/>
      <c r="C140" s="15"/>
      <c r="D140" s="15"/>
      <c r="E140" s="15"/>
      <c r="F140" s="15"/>
      <c r="G140" s="15"/>
      <c r="H140" s="15"/>
      <c r="I140" s="15"/>
      <c r="J140" s="15"/>
      <c r="K140" s="15"/>
      <c r="L140" s="15"/>
      <c r="M140" s="15"/>
      <c r="N140" s="15"/>
      <c r="O140" s="15"/>
      <c r="P140" s="136" t="n">
        <v>2001</v>
      </c>
      <c r="Q140" s="136" t="n">
        <v>0.00526457568238213</v>
      </c>
      <c r="R140" s="136" t="n">
        <v>0.05</v>
      </c>
      <c r="S140" s="136" t="n">
        <f aca="false">Q140/(R140*(1-R140))</f>
        <v>0.110833172260676</v>
      </c>
      <c r="T140" s="136"/>
      <c r="U140" s="136"/>
      <c r="V140" s="136" t="n">
        <v>2012</v>
      </c>
      <c r="W140" s="136" t="n">
        <v>0.00329739536869331</v>
      </c>
      <c r="X140" s="136" t="n">
        <v>0.01404743</v>
      </c>
      <c r="Y140" s="136" t="n">
        <f aca="false">W140/(X140*(1-X140))</f>
        <v>0.23807737400031</v>
      </c>
      <c r="Z140" s="15"/>
      <c r="AA140" s="11" t="n">
        <v>2011</v>
      </c>
      <c r="AB140" s="3" t="n">
        <v>1100</v>
      </c>
      <c r="AC140" s="11" t="n">
        <v>0.00248971695969617</v>
      </c>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t="s">
        <v>628</v>
      </c>
      <c r="DA140" s="15"/>
      <c r="DB140" s="15" t="n">
        <v>151</v>
      </c>
      <c r="DC140" s="15"/>
      <c r="DD140" s="15" t="n">
        <v>157</v>
      </c>
      <c r="DE140" s="15"/>
      <c r="DF140" s="15"/>
      <c r="DG140" s="15"/>
      <c r="DH140" s="15"/>
      <c r="DI140" s="15" t="n">
        <v>175</v>
      </c>
      <c r="DJ140" s="12" t="n">
        <v>162</v>
      </c>
      <c r="DK140" s="12" t="n">
        <v>193</v>
      </c>
      <c r="DL140" s="12"/>
      <c r="DM140" s="12"/>
      <c r="DN140" s="12" t="n">
        <v>179</v>
      </c>
      <c r="DO140" s="12" t="n">
        <v>176</v>
      </c>
      <c r="DP140" s="15" t="n">
        <v>145</v>
      </c>
      <c r="DQ140" s="15"/>
      <c r="DR140" s="15" t="n">
        <v>151</v>
      </c>
      <c r="DS140" s="15"/>
      <c r="DT140" s="15"/>
      <c r="DU140" s="15"/>
      <c r="DV140" s="15" t="n">
        <v>154</v>
      </c>
      <c r="DW140" s="15"/>
      <c r="DX140" s="15" t="n">
        <v>139</v>
      </c>
      <c r="DY140" s="15"/>
      <c r="DZ140" s="15"/>
    </row>
    <row r="141" customFormat="false" ht="15" hidden="false" customHeight="false" outlineLevel="0" collapsed="false">
      <c r="A141" s="13"/>
      <c r="B141" s="15"/>
      <c r="C141" s="15"/>
      <c r="D141" s="15"/>
      <c r="E141" s="15"/>
      <c r="F141" s="15"/>
      <c r="G141" s="15"/>
      <c r="H141" s="15"/>
      <c r="I141" s="15"/>
      <c r="J141" s="15"/>
      <c r="K141" s="15"/>
      <c r="L141" s="15"/>
      <c r="M141" s="15"/>
      <c r="N141" s="15"/>
      <c r="O141" s="15"/>
      <c r="P141" s="136" t="n">
        <v>2002</v>
      </c>
      <c r="Q141" s="136" t="n">
        <v>0.0107003498759305</v>
      </c>
      <c r="R141" s="136" t="n">
        <v>0.05</v>
      </c>
      <c r="S141" s="136" t="n">
        <f aca="false">Q141/(R141*(1-R141))</f>
        <v>0.2252705237038</v>
      </c>
      <c r="T141" s="136"/>
      <c r="U141" s="136"/>
      <c r="V141" s="136" t="n">
        <v>2013</v>
      </c>
      <c r="W141" s="136" t="n">
        <v>0.00325303578974228</v>
      </c>
      <c r="X141" s="136"/>
      <c r="Y141" s="136"/>
      <c r="Z141" s="15"/>
      <c r="AA141" s="11" t="n">
        <v>2012</v>
      </c>
      <c r="AB141" s="3" t="n">
        <v>1200</v>
      </c>
      <c r="AC141" s="11" t="n">
        <v>0.00267570090319622</v>
      </c>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t="s">
        <v>629</v>
      </c>
      <c r="DA141" s="15"/>
      <c r="DB141" s="15" t="n">
        <v>553</v>
      </c>
      <c r="DC141" s="15"/>
      <c r="DD141" s="15" t="n">
        <v>512</v>
      </c>
      <c r="DE141" s="15"/>
      <c r="DF141" s="15"/>
      <c r="DG141" s="15"/>
      <c r="DH141" s="15"/>
      <c r="DI141" s="15" t="n">
        <v>482</v>
      </c>
      <c r="DJ141" s="12" t="n">
        <v>405</v>
      </c>
      <c r="DK141" s="12" t="n">
        <v>494</v>
      </c>
      <c r="DL141" s="12"/>
      <c r="DM141" s="12"/>
      <c r="DN141" s="12" t="n">
        <v>520</v>
      </c>
      <c r="DO141" s="12" t="n">
        <v>537</v>
      </c>
      <c r="DP141" s="15" t="n">
        <v>416</v>
      </c>
      <c r="DQ141" s="15"/>
      <c r="DR141" s="15" t="n">
        <v>325</v>
      </c>
      <c r="DS141" s="15"/>
      <c r="DT141" s="15"/>
      <c r="DU141" s="15"/>
      <c r="DV141" s="15" t="n">
        <v>329</v>
      </c>
      <c r="DW141" s="15"/>
      <c r="DX141" s="15" t="n">
        <v>340</v>
      </c>
      <c r="DY141" s="15"/>
      <c r="DZ141" s="15"/>
    </row>
    <row r="142" customFormat="false" ht="15" hidden="false" customHeight="false" outlineLevel="0" collapsed="false">
      <c r="A142" s="13"/>
      <c r="B142" s="15"/>
      <c r="C142" s="15"/>
      <c r="D142" s="15"/>
      <c r="E142" s="15"/>
      <c r="F142" s="15"/>
      <c r="G142" s="15"/>
      <c r="H142" s="15"/>
      <c r="I142" s="15"/>
      <c r="J142" s="15"/>
      <c r="K142" s="15"/>
      <c r="L142" s="15"/>
      <c r="M142" s="15"/>
      <c r="N142" s="15"/>
      <c r="O142" s="15"/>
      <c r="P142" s="136" t="n">
        <v>2003</v>
      </c>
      <c r="Q142" s="136" t="n">
        <v>0.00338538957816377</v>
      </c>
      <c r="R142" s="136" t="n">
        <v>0.1</v>
      </c>
      <c r="S142" s="136" t="n">
        <f aca="false">Q142/(R142*(1-R142))</f>
        <v>0.0376154397573752</v>
      </c>
      <c r="T142" s="136"/>
      <c r="U142" s="136"/>
      <c r="V142" s="136" t="n">
        <v>2014</v>
      </c>
      <c r="W142" s="136" t="n">
        <v>0.00470457978986213</v>
      </c>
      <c r="X142" s="136" t="n">
        <v>0.02</v>
      </c>
      <c r="Y142" s="136" t="n">
        <f aca="false">W142/(X142*(1-X142))</f>
        <v>0.2400295811</v>
      </c>
      <c r="Z142" s="15"/>
      <c r="AA142" s="11" t="n">
        <v>2013</v>
      </c>
      <c r="AB142" s="3" t="n">
        <v>1300</v>
      </c>
      <c r="AC142" s="11" t="n">
        <v>0.00285993037785488</v>
      </c>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t="s">
        <v>630</v>
      </c>
      <c r="DA142" s="15"/>
      <c r="DB142" s="15" t="n">
        <v>1480</v>
      </c>
      <c r="DC142" s="15"/>
      <c r="DD142" s="15" t="n">
        <v>1272</v>
      </c>
      <c r="DE142" s="15"/>
      <c r="DF142" s="15"/>
      <c r="DG142" s="15"/>
      <c r="DH142" s="15"/>
      <c r="DI142" s="15" t="n">
        <v>1128</v>
      </c>
      <c r="DJ142" s="12" t="n">
        <v>785</v>
      </c>
      <c r="DK142" s="12" t="n">
        <v>921</v>
      </c>
      <c r="DL142" s="12"/>
      <c r="DM142" s="12"/>
      <c r="DN142" s="12" t="n">
        <v>883</v>
      </c>
      <c r="DO142" s="12" t="n">
        <v>883</v>
      </c>
      <c r="DP142" s="15" t="n">
        <v>730</v>
      </c>
      <c r="DQ142" s="15"/>
      <c r="DR142" s="15" t="n">
        <v>634</v>
      </c>
      <c r="DS142" s="15"/>
      <c r="DT142" s="15"/>
      <c r="DU142" s="15"/>
      <c r="DV142" s="15" t="n">
        <v>581</v>
      </c>
      <c r="DW142" s="15"/>
      <c r="DX142" s="15" t="n">
        <v>594</v>
      </c>
      <c r="DY142" s="15"/>
      <c r="DZ142" s="15"/>
    </row>
    <row r="143" customFormat="false" ht="15" hidden="false" customHeight="false" outlineLevel="0" collapsed="false">
      <c r="A143" s="13"/>
      <c r="B143" s="15"/>
      <c r="C143" s="15"/>
      <c r="D143" s="15"/>
      <c r="E143" s="15"/>
      <c r="F143" s="15"/>
      <c r="G143" s="15"/>
      <c r="H143" s="15"/>
      <c r="I143" s="15"/>
      <c r="J143" s="15"/>
      <c r="K143" s="15"/>
      <c r="L143" s="15"/>
      <c r="M143" s="15"/>
      <c r="N143" s="15"/>
      <c r="O143" s="15"/>
      <c r="P143" s="136" t="n">
        <v>2004</v>
      </c>
      <c r="Q143" s="136" t="n">
        <v>0.0148264267990074</v>
      </c>
      <c r="R143" s="136" t="n">
        <v>0.1</v>
      </c>
      <c r="S143" s="136" t="n">
        <f aca="false">Q143/(R143*(1-R143))</f>
        <v>0.164738075544527</v>
      </c>
      <c r="T143" s="136"/>
      <c r="U143" s="136"/>
      <c r="V143" s="136"/>
      <c r="W143" s="136"/>
      <c r="X143" s="136"/>
      <c r="Y143" s="136"/>
      <c r="Z143" s="15"/>
      <c r="AA143" s="11" t="n">
        <v>2014</v>
      </c>
      <c r="AB143" s="3" t="n">
        <v>1400</v>
      </c>
      <c r="AC143" s="11" t="n">
        <v>0.00303692069083785</v>
      </c>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t="s">
        <v>631</v>
      </c>
      <c r="DA143" s="15"/>
      <c r="DB143" s="15" t="n">
        <v>2967</v>
      </c>
      <c r="DC143" s="15"/>
      <c r="DD143" s="15" t="n">
        <v>2763</v>
      </c>
      <c r="DE143" s="15"/>
      <c r="DF143" s="15"/>
      <c r="DG143" s="15"/>
      <c r="DH143" s="15"/>
      <c r="DI143" s="15" t="n">
        <v>2425</v>
      </c>
      <c r="DJ143" s="12" t="n">
        <v>1682</v>
      </c>
      <c r="DK143" s="12" t="n">
        <v>1912</v>
      </c>
      <c r="DL143" s="12"/>
      <c r="DM143" s="12"/>
      <c r="DN143" s="12" t="n">
        <v>1850</v>
      </c>
      <c r="DO143" s="12" t="n">
        <v>1635</v>
      </c>
      <c r="DP143" s="15" t="n">
        <v>1339</v>
      </c>
      <c r="DQ143" s="15"/>
      <c r="DR143" s="15" t="n">
        <v>1034</v>
      </c>
      <c r="DS143" s="15"/>
      <c r="DT143" s="15"/>
      <c r="DU143" s="15"/>
      <c r="DV143" s="15" t="n">
        <v>925</v>
      </c>
      <c r="DW143" s="15"/>
      <c r="DX143" s="15" t="n">
        <v>804</v>
      </c>
      <c r="DY143" s="15"/>
      <c r="DZ143" s="15"/>
    </row>
    <row r="144" customFormat="false" ht="15" hidden="false" customHeight="false" outlineLevel="0" collapsed="false">
      <c r="A144" s="13"/>
      <c r="B144" s="15"/>
      <c r="C144" s="15"/>
      <c r="D144" s="15"/>
      <c r="E144" s="15"/>
      <c r="F144" s="15"/>
      <c r="G144" s="15"/>
      <c r="H144" s="15"/>
      <c r="I144" s="15"/>
      <c r="J144" s="15"/>
      <c r="K144" s="15"/>
      <c r="L144" s="15"/>
      <c r="M144" s="15"/>
      <c r="N144" s="15"/>
      <c r="O144" s="15"/>
      <c r="P144" s="136" t="n">
        <v>2005</v>
      </c>
      <c r="Q144" s="136" t="n">
        <v>0.00554687841191067</v>
      </c>
      <c r="R144" s="136" t="n">
        <v>0.1</v>
      </c>
      <c r="S144" s="136" t="n">
        <f aca="false">Q144/(R144*(1-R144))</f>
        <v>0.061631982354563</v>
      </c>
      <c r="T144" s="136"/>
      <c r="U144" s="136"/>
      <c r="V144" s="136"/>
      <c r="W144" s="136" t="s">
        <v>632</v>
      </c>
      <c r="X144" s="136"/>
      <c r="Y144" s="136"/>
      <c r="Z144" s="15"/>
      <c r="AA144" s="11" t="n">
        <v>2015</v>
      </c>
      <c r="AB144" s="3" t="n">
        <v>1400</v>
      </c>
      <c r="AC144" s="11" t="n">
        <v>0.0029899196992995</v>
      </c>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t="s">
        <v>633</v>
      </c>
      <c r="DA144" s="15"/>
      <c r="DB144" s="15" t="n">
        <v>3595</v>
      </c>
      <c r="DC144" s="15"/>
      <c r="DD144" s="15" t="n">
        <v>3516</v>
      </c>
      <c r="DE144" s="15"/>
      <c r="DF144" s="15"/>
      <c r="DG144" s="15"/>
      <c r="DH144" s="15"/>
      <c r="DI144" s="15" t="n">
        <v>3393</v>
      </c>
      <c r="DJ144" s="12" t="n">
        <v>2636</v>
      </c>
      <c r="DK144" s="12" t="n">
        <v>3037</v>
      </c>
      <c r="DL144" s="12"/>
      <c r="DM144" s="12"/>
      <c r="DN144" s="12" t="n">
        <v>2932</v>
      </c>
      <c r="DO144" s="12" t="n">
        <v>2713</v>
      </c>
      <c r="DP144" s="15" t="n">
        <v>2238</v>
      </c>
      <c r="DQ144" s="15"/>
      <c r="DR144" s="15" t="n">
        <v>1851</v>
      </c>
      <c r="DS144" s="15"/>
      <c r="DT144" s="15"/>
      <c r="DU144" s="15"/>
      <c r="DV144" s="15" t="n">
        <v>1600</v>
      </c>
      <c r="DW144" s="15"/>
      <c r="DX144" s="15" t="n">
        <v>1382</v>
      </c>
      <c r="DY144" s="15"/>
      <c r="DZ144" s="15"/>
    </row>
    <row r="145" customFormat="false" ht="15" hidden="false" customHeight="false" outlineLevel="0" collapsed="false">
      <c r="A145" s="13"/>
      <c r="B145" s="15"/>
      <c r="C145" s="15"/>
      <c r="D145" s="15"/>
      <c r="E145" s="15"/>
      <c r="F145" s="15"/>
      <c r="G145" s="15"/>
      <c r="H145" s="15"/>
      <c r="I145" s="15"/>
      <c r="J145" s="15"/>
      <c r="K145" s="15"/>
      <c r="L145" s="15"/>
      <c r="M145" s="15"/>
      <c r="N145" s="15"/>
      <c r="O145" s="15"/>
      <c r="P145" s="136" t="n">
        <v>2006</v>
      </c>
      <c r="Q145" s="136" t="n">
        <v>0.0166290297766749</v>
      </c>
      <c r="R145" s="136" t="n">
        <v>0.1</v>
      </c>
      <c r="S145" s="136" t="n">
        <f aca="false">Q145/(R145*(1-R145))</f>
        <v>0.18476699751861</v>
      </c>
      <c r="T145" s="136"/>
      <c r="U145" s="136"/>
      <c r="V145" s="136"/>
      <c r="W145" s="134" t="s">
        <v>623</v>
      </c>
      <c r="X145" s="136" t="s">
        <v>624</v>
      </c>
      <c r="Y145" s="136"/>
      <c r="Z145" s="15"/>
      <c r="AA145" s="10"/>
      <c r="AB145" s="10"/>
      <c r="AC145" s="10"/>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t="s">
        <v>634</v>
      </c>
      <c r="DA145" s="15"/>
      <c r="DB145" s="15" t="n">
        <v>3294</v>
      </c>
      <c r="DC145" s="15"/>
      <c r="DD145" s="15" t="n">
        <v>3234</v>
      </c>
      <c r="DE145" s="15"/>
      <c r="DF145" s="15"/>
      <c r="DG145" s="15"/>
      <c r="DH145" s="15"/>
      <c r="DI145" s="15" t="n">
        <v>3251</v>
      </c>
      <c r="DJ145" s="12" t="n">
        <v>2886</v>
      </c>
      <c r="DK145" s="12" t="n">
        <v>3353</v>
      </c>
      <c r="DL145" s="12"/>
      <c r="DM145" s="12"/>
      <c r="DN145" s="12" t="n">
        <v>3228</v>
      </c>
      <c r="DO145" s="12" t="n">
        <v>3134</v>
      </c>
      <c r="DP145" s="15" t="n">
        <v>3019</v>
      </c>
      <c r="DQ145" s="15"/>
      <c r="DR145" s="15" t="n">
        <v>2799</v>
      </c>
      <c r="DS145" s="15"/>
      <c r="DT145" s="15"/>
      <c r="DU145" s="15"/>
      <c r="DV145" s="15" t="n">
        <v>2602</v>
      </c>
      <c r="DW145" s="15"/>
      <c r="DX145" s="15" t="n">
        <v>2342</v>
      </c>
      <c r="DY145" s="15"/>
      <c r="DZ145" s="15"/>
    </row>
    <row r="146" customFormat="false" ht="15" hidden="false" customHeight="false" outlineLevel="0" collapsed="false">
      <c r="A146" s="13"/>
      <c r="B146" s="15"/>
      <c r="C146" s="15"/>
      <c r="D146" s="15"/>
      <c r="E146" s="15"/>
      <c r="F146" s="15"/>
      <c r="G146" s="15"/>
      <c r="H146" s="15"/>
      <c r="I146" s="15"/>
      <c r="J146" s="15"/>
      <c r="K146" s="15"/>
      <c r="L146" s="15"/>
      <c r="M146" s="15"/>
      <c r="N146" s="15"/>
      <c r="O146" s="15"/>
      <c r="P146" s="136" t="n">
        <v>2007</v>
      </c>
      <c r="Q146" s="136" t="n">
        <v>0.0201037121588089</v>
      </c>
      <c r="R146" s="136" t="n">
        <v>0.2</v>
      </c>
      <c r="S146" s="136" t="n">
        <f aca="false">Q146/(R146*(1-R146))</f>
        <v>0.125648200992556</v>
      </c>
      <c r="T146" s="136"/>
      <c r="U146" s="140"/>
      <c r="V146" s="140" t="n">
        <v>2011</v>
      </c>
      <c r="W146" s="140" t="n">
        <v>0.00248971695969617</v>
      </c>
      <c r="X146" s="136" t="n">
        <v>0.013127599</v>
      </c>
      <c r="Y146" s="136" t="n">
        <f aca="false">W146/(X146*(1-X146))</f>
        <v>0.192178001139102</v>
      </c>
      <c r="Z146" s="15"/>
      <c r="AA146" s="12"/>
      <c r="AB146" s="12" t="s">
        <v>635</v>
      </c>
      <c r="AC146" s="12" t="s">
        <v>636</v>
      </c>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2"/>
      <c r="DK146" s="12"/>
      <c r="DL146" s="12"/>
      <c r="DM146" s="12"/>
      <c r="DN146" s="12"/>
      <c r="DO146" s="12"/>
      <c r="DP146" s="15"/>
      <c r="DQ146" s="15"/>
      <c r="DR146" s="15"/>
      <c r="DS146" s="15"/>
      <c r="DT146" s="15"/>
      <c r="DU146" s="15"/>
      <c r="DV146" s="15"/>
      <c r="DW146" s="15"/>
      <c r="DX146" s="15"/>
      <c r="DY146" s="15"/>
      <c r="DZ146" s="15"/>
    </row>
    <row r="147" customFormat="false" ht="15" hidden="false" customHeight="false" outlineLevel="0" collapsed="false">
      <c r="A147" s="13"/>
      <c r="B147" s="15"/>
      <c r="C147" s="15"/>
      <c r="D147" s="15"/>
      <c r="E147" s="15"/>
      <c r="F147" s="15"/>
      <c r="G147" s="15"/>
      <c r="H147" s="15"/>
      <c r="I147" s="15"/>
      <c r="J147" s="15"/>
      <c r="K147" s="15"/>
      <c r="L147" s="15"/>
      <c r="M147" s="15"/>
      <c r="N147" s="15"/>
      <c r="O147" s="15"/>
      <c r="P147" s="136" t="n">
        <v>2008</v>
      </c>
      <c r="Q147" s="136" t="n">
        <v>0.0144878808933002</v>
      </c>
      <c r="R147" s="136" t="n">
        <v>0.2</v>
      </c>
      <c r="S147" s="136" t="n">
        <f aca="false">Q147/(R147*(1-R147))</f>
        <v>0.0905492555831265</v>
      </c>
      <c r="T147" s="136"/>
      <c r="U147" s="140"/>
      <c r="V147" s="140" t="n">
        <v>2012</v>
      </c>
      <c r="W147" s="140" t="n">
        <v>0.00267570090319622</v>
      </c>
      <c r="X147" s="136" t="n">
        <v>0.01404743</v>
      </c>
      <c r="Y147" s="136" t="n">
        <f aca="false">W147/(X147*(1-X147))</f>
        <v>0.193190010118699</v>
      </c>
      <c r="Z147" s="15"/>
      <c r="AA147" s="12" t="n">
        <v>1997</v>
      </c>
      <c r="AB147" s="11" t="n">
        <v>1100</v>
      </c>
      <c r="AC147" s="11" t="n">
        <v>0.00353080392104121</v>
      </c>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t="s">
        <v>223</v>
      </c>
      <c r="DA147" s="12"/>
      <c r="DB147" s="12" t="n">
        <f aca="false">SUM(DB139:DB145)</f>
        <v>12079</v>
      </c>
      <c r="DC147" s="12"/>
      <c r="DD147" s="12" t="n">
        <f aca="false">SUM(DD139:DD145)</f>
        <v>11490</v>
      </c>
      <c r="DE147" s="12"/>
      <c r="DF147" s="12"/>
      <c r="DG147" s="12"/>
      <c r="DH147" s="12"/>
      <c r="DI147" s="12" t="n">
        <f aca="false">SUM(DI139:DI145)</f>
        <v>10890</v>
      </c>
      <c r="DJ147" s="12" t="n">
        <f aca="false">SUM(DJ139:DJ145)</f>
        <v>8600</v>
      </c>
      <c r="DK147" s="12" t="n">
        <f aca="false">SUM(DK139:DK145)</f>
        <v>9956</v>
      </c>
      <c r="DL147" s="12"/>
      <c r="DM147" s="12"/>
      <c r="DN147" s="12" t="n">
        <f aca="false">SUM(DN139:DN145)</f>
        <v>9639</v>
      </c>
      <c r="DO147" s="12" t="n">
        <f aca="false">SUM(DO139:DO145)</f>
        <v>9125</v>
      </c>
      <c r="DP147" s="15" t="n">
        <f aca="false">SUM(DP139:DP145)</f>
        <v>7915</v>
      </c>
      <c r="DQ147" s="15"/>
      <c r="DR147" s="15" t="n">
        <f aca="false">SUM(DR139:DR145)</f>
        <v>6822</v>
      </c>
      <c r="DS147" s="15"/>
      <c r="DT147" s="15"/>
      <c r="DU147" s="15"/>
      <c r="DV147" s="15" t="n">
        <f aca="false">SUM(DV139:DV145)</f>
        <v>6212</v>
      </c>
      <c r="DW147" s="15"/>
      <c r="DX147" s="15" t="n">
        <f aca="false">SUM(DX139:DX145)</f>
        <v>5617</v>
      </c>
      <c r="DY147" s="15"/>
      <c r="DZ147" s="15"/>
    </row>
    <row r="148" customFormat="false" ht="15" hidden="false" customHeight="false" outlineLevel="0" collapsed="false">
      <c r="A148" s="13"/>
      <c r="B148" s="15"/>
      <c r="C148" s="15"/>
      <c r="D148" s="15"/>
      <c r="E148" s="15"/>
      <c r="F148" s="15"/>
      <c r="G148" s="15"/>
      <c r="H148" s="15"/>
      <c r="I148" s="15"/>
      <c r="J148" s="15"/>
      <c r="K148" s="15"/>
      <c r="L148" s="15"/>
      <c r="M148" s="15"/>
      <c r="N148" s="15"/>
      <c r="O148" s="15"/>
      <c r="P148" s="136" t="n">
        <v>2009</v>
      </c>
      <c r="Q148" s="136" t="n">
        <v>0.014621223325062</v>
      </c>
      <c r="R148" s="136" t="n">
        <v>0.2</v>
      </c>
      <c r="S148" s="136" t="n">
        <f aca="false">Q148/(R148*(1-R148))</f>
        <v>0.0913826457816377</v>
      </c>
      <c r="T148" s="136"/>
      <c r="U148" s="140"/>
      <c r="V148" s="140" t="n">
        <v>2013</v>
      </c>
      <c r="W148" s="140" t="n">
        <v>0.00285993037785488</v>
      </c>
      <c r="X148" s="136"/>
      <c r="Y148" s="136"/>
      <c r="Z148" s="15"/>
      <c r="AA148" s="11" t="n">
        <v>1998</v>
      </c>
      <c r="AB148" s="3" t="n">
        <v>1200</v>
      </c>
      <c r="AC148" s="11" t="n">
        <v>0.00374939880733499</v>
      </c>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2"/>
      <c r="DK148" s="15"/>
      <c r="DL148" s="15"/>
      <c r="DM148" s="15"/>
      <c r="DN148" s="15"/>
      <c r="DO148" s="15"/>
      <c r="DP148" s="15"/>
      <c r="DQ148" s="15"/>
      <c r="DR148" s="15"/>
      <c r="DS148" s="15"/>
      <c r="DT148" s="15"/>
      <c r="DU148" s="15"/>
      <c r="DV148" s="15"/>
      <c r="DW148" s="15"/>
      <c r="DX148" s="15"/>
      <c r="DY148" s="15"/>
      <c r="DZ148" s="15"/>
    </row>
    <row r="149" customFormat="false" ht="15" hidden="false" customHeight="false" outlineLevel="0" collapsed="false">
      <c r="A149" s="13"/>
      <c r="B149" s="15"/>
      <c r="C149" s="15"/>
      <c r="D149" s="15"/>
      <c r="E149" s="15"/>
      <c r="F149" s="15"/>
      <c r="G149" s="15"/>
      <c r="H149" s="15"/>
      <c r="I149" s="15"/>
      <c r="J149" s="15"/>
      <c r="K149" s="15"/>
      <c r="L149" s="15"/>
      <c r="M149" s="15"/>
      <c r="N149" s="15"/>
      <c r="O149" s="15"/>
      <c r="P149" s="136" t="n">
        <v>2010</v>
      </c>
      <c r="Q149" s="136" t="n">
        <v>0.0168560496277916</v>
      </c>
      <c r="R149" s="136" t="n">
        <v>0.2</v>
      </c>
      <c r="S149" s="136" t="n">
        <f aca="false">Q149/(R149*(1-R149))</f>
        <v>0.105350310173697</v>
      </c>
      <c r="T149" s="136"/>
      <c r="U149" s="140"/>
      <c r="V149" s="140" t="n">
        <v>2014</v>
      </c>
      <c r="W149" s="140" t="n">
        <v>0.00303692069083785</v>
      </c>
      <c r="X149" s="136" t="n">
        <v>0.02</v>
      </c>
      <c r="Y149" s="136" t="n">
        <f aca="false">W149/(X149*(1-X149))</f>
        <v>0.1549449332</v>
      </c>
      <c r="Z149" s="15"/>
      <c r="AA149" s="11" t="n">
        <v>1999</v>
      </c>
      <c r="AB149" s="3" t="n">
        <v>1400</v>
      </c>
      <c r="AC149" s="11" t="n">
        <v>0.00425304396432304</v>
      </c>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row>
    <row r="150" customFormat="false" ht="15" hidden="false" customHeight="false" outlineLevel="0" collapsed="false">
      <c r="A150" s="13"/>
      <c r="B150" s="15"/>
      <c r="C150" s="15"/>
      <c r="D150" s="15"/>
      <c r="E150" s="15"/>
      <c r="F150" s="15"/>
      <c r="G150" s="15"/>
      <c r="H150" s="15"/>
      <c r="I150" s="15"/>
      <c r="J150" s="15"/>
      <c r="K150" s="15"/>
      <c r="L150" s="15"/>
      <c r="M150" s="15"/>
      <c r="N150" s="15"/>
      <c r="O150" s="15"/>
      <c r="P150" s="136" t="n">
        <v>2011</v>
      </c>
      <c r="Q150" s="136" t="n">
        <v>0.0231373622828784</v>
      </c>
      <c r="R150" s="136" t="n">
        <v>0.2</v>
      </c>
      <c r="S150" s="136" t="n">
        <f aca="false">Q150/(R150*(1-R150))</f>
        <v>0.14460851426799</v>
      </c>
      <c r="T150" s="136"/>
      <c r="U150" s="140"/>
      <c r="V150" s="140" t="n">
        <v>2015</v>
      </c>
      <c r="W150" s="140" t="n">
        <v>0.0029899196992995</v>
      </c>
      <c r="X150" s="136"/>
      <c r="Y150" s="136"/>
      <c r="Z150" s="15"/>
      <c r="AA150" s="11" t="n">
        <v>2000</v>
      </c>
      <c r="AB150" s="3" t="n">
        <v>1600</v>
      </c>
      <c r="AC150" s="11" t="n">
        <v>0.00471776278970749</v>
      </c>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2"/>
      <c r="DA150" s="15"/>
      <c r="DB150" s="15"/>
      <c r="DC150" s="15"/>
      <c r="DD150" s="15"/>
      <c r="DE150" s="15"/>
      <c r="DF150" s="15"/>
      <c r="DG150" s="15"/>
      <c r="DH150" s="15"/>
      <c r="DI150" s="15"/>
      <c r="DJ150" s="15"/>
      <c r="DK150" s="15"/>
      <c r="DL150" s="15"/>
      <c r="DM150" s="15"/>
      <c r="DN150" s="15"/>
      <c r="DO150" s="12"/>
      <c r="DP150" s="12"/>
      <c r="DQ150" s="12"/>
      <c r="DR150" s="12"/>
      <c r="DS150" s="12"/>
      <c r="DT150" s="12"/>
      <c r="DU150" s="12"/>
      <c r="DV150" s="12"/>
      <c r="DW150" s="12"/>
      <c r="DX150" s="12"/>
      <c r="DY150" s="15"/>
      <c r="DZ150" s="15"/>
    </row>
    <row r="151" customFormat="false" ht="15" hidden="false" customHeight="false" outlineLevel="0" collapsed="false">
      <c r="A151" s="13"/>
      <c r="B151" s="15"/>
      <c r="C151" s="15"/>
      <c r="D151" s="15"/>
      <c r="E151" s="15"/>
      <c r="F151" s="15"/>
      <c r="G151" s="15"/>
      <c r="H151" s="15"/>
      <c r="I151" s="15"/>
      <c r="J151" s="15"/>
      <c r="K151" s="15"/>
      <c r="L151" s="15"/>
      <c r="M151" s="15"/>
      <c r="N151" s="15"/>
      <c r="O151" s="15"/>
      <c r="P151" s="136" t="n">
        <v>2012</v>
      </c>
      <c r="Q151" s="136" t="n">
        <v>0.0160607096774194</v>
      </c>
      <c r="R151" s="136" t="n">
        <v>0.2</v>
      </c>
      <c r="S151" s="136" t="n">
        <f aca="false">Q151/(R151*(1-R151))</f>
        <v>0.100379435483871</v>
      </c>
      <c r="T151" s="136"/>
      <c r="U151" s="136"/>
      <c r="V151" s="136"/>
      <c r="W151" s="136"/>
      <c r="X151" s="136"/>
      <c r="Y151" s="136"/>
      <c r="Z151" s="15"/>
      <c r="AA151" s="11" t="n">
        <v>2001</v>
      </c>
      <c r="AB151" s="3" t="n">
        <v>1900</v>
      </c>
      <c r="AC151" s="11" t="n">
        <v>0.00543543389681332</v>
      </c>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row>
    <row r="152" customFormat="false" ht="15" hidden="false" customHeight="false" outlineLevel="0" collapsed="false">
      <c r="A152" s="13"/>
      <c r="B152" s="15"/>
      <c r="C152" s="15"/>
      <c r="D152" s="15"/>
      <c r="E152" s="15"/>
      <c r="F152" s="15"/>
      <c r="G152" s="15"/>
      <c r="H152" s="15"/>
      <c r="I152" s="15"/>
      <c r="J152" s="15"/>
      <c r="K152" s="15"/>
      <c r="L152" s="15"/>
      <c r="M152" s="15"/>
      <c r="N152" s="15"/>
      <c r="O152" s="15"/>
      <c r="P152" s="136" t="n">
        <v>2013</v>
      </c>
      <c r="Q152" s="136" t="n">
        <v>0.0250043200992556</v>
      </c>
      <c r="R152" s="136" t="n">
        <v>0.13</v>
      </c>
      <c r="S152" s="136" t="n">
        <f aca="false">Q152/(R152*(1-R152))</f>
        <v>0.221081521655664</v>
      </c>
      <c r="T152" s="136"/>
      <c r="U152" s="136"/>
      <c r="V152" s="136"/>
      <c r="W152" s="136"/>
      <c r="X152" s="136"/>
      <c r="Y152" s="136"/>
      <c r="Z152" s="15"/>
      <c r="AA152" s="11" t="n">
        <v>2002</v>
      </c>
      <c r="AB152" s="3" t="n">
        <v>2200</v>
      </c>
      <c r="AC152" s="11" t="n">
        <v>0.00610018517112087</v>
      </c>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row>
    <row r="153" customFormat="false" ht="15" hidden="false" customHeight="false" outlineLevel="0" collapsed="false">
      <c r="A153" s="13"/>
      <c r="B153" s="15"/>
      <c r="C153" s="15"/>
      <c r="D153" s="15"/>
      <c r="E153" s="15"/>
      <c r="F153" s="15"/>
      <c r="G153" s="15"/>
      <c r="H153" s="15"/>
      <c r="I153" s="15"/>
      <c r="J153" s="15"/>
      <c r="K153" s="15"/>
      <c r="L153" s="15"/>
      <c r="M153" s="15"/>
      <c r="N153" s="15"/>
      <c r="O153" s="15"/>
      <c r="P153" s="136" t="n">
        <v>2014</v>
      </c>
      <c r="Q153" s="136" t="n">
        <v>0.0239880818858561</v>
      </c>
      <c r="R153" s="136"/>
      <c r="S153" s="136"/>
      <c r="T153" s="136"/>
      <c r="U153" s="136"/>
      <c r="V153" s="136"/>
      <c r="W153" s="136"/>
      <c r="X153" s="136"/>
      <c r="Y153" s="136"/>
      <c r="Z153" s="15"/>
      <c r="AA153" s="11" t="n">
        <v>2003</v>
      </c>
      <c r="AB153" s="3" t="n">
        <v>2600</v>
      </c>
      <c r="AC153" s="11" t="n">
        <v>0.00698900326034314</v>
      </c>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row>
    <row r="154" customFormat="false" ht="15" hidden="false" customHeight="false" outlineLevel="0" collapsed="false">
      <c r="A154" s="13"/>
      <c r="B154" s="15"/>
      <c r="C154" s="15"/>
      <c r="D154" s="15"/>
      <c r="E154" s="15"/>
      <c r="F154" s="15"/>
      <c r="G154" s="15"/>
      <c r="H154" s="15"/>
      <c r="I154" s="15"/>
      <c r="J154" s="15"/>
      <c r="K154" s="15"/>
      <c r="L154" s="15"/>
      <c r="M154" s="15"/>
      <c r="N154" s="15"/>
      <c r="O154" s="15"/>
      <c r="P154" s="136"/>
      <c r="Q154" s="136"/>
      <c r="R154" s="136"/>
      <c r="S154" s="136"/>
      <c r="T154" s="136"/>
      <c r="U154" s="136"/>
      <c r="V154" s="136"/>
      <c r="W154" s="136"/>
      <c r="X154" s="136"/>
      <c r="Y154" s="136"/>
      <c r="Z154" s="15"/>
      <c r="AA154" s="11" t="n">
        <v>2004</v>
      </c>
      <c r="AB154" s="3" t="n">
        <v>3000</v>
      </c>
      <c r="AC154" s="11" t="n">
        <v>0.0078317459037032</v>
      </c>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t="s">
        <v>270</v>
      </c>
      <c r="DA154" s="26"/>
      <c r="DB154" s="26" t="s">
        <v>637</v>
      </c>
      <c r="DC154" s="15"/>
      <c r="DD154" s="15"/>
      <c r="DE154" s="15"/>
      <c r="DF154" s="15"/>
      <c r="DG154" s="15"/>
      <c r="DH154" s="15"/>
      <c r="DI154" s="15"/>
      <c r="DJ154" s="15"/>
      <c r="DK154" s="12"/>
      <c r="DL154" s="12"/>
      <c r="DM154" s="12"/>
      <c r="DN154" s="12"/>
      <c r="DO154" s="15"/>
      <c r="DP154" s="15"/>
      <c r="DQ154" s="15"/>
      <c r="DR154" s="15"/>
      <c r="DS154" s="15"/>
      <c r="DT154" s="15"/>
      <c r="DU154" s="15"/>
      <c r="DV154" s="15"/>
      <c r="DW154" s="15"/>
      <c r="DX154" s="15"/>
      <c r="DY154" s="15"/>
      <c r="DZ154" s="15"/>
    </row>
    <row r="155" customFormat="false" ht="15" hidden="false" customHeight="false" outlineLevel="0" collapsed="false">
      <c r="A155" s="13"/>
      <c r="B155" s="15"/>
      <c r="C155" s="15"/>
      <c r="D155" s="15"/>
      <c r="E155" s="15"/>
      <c r="F155" s="15"/>
      <c r="G155" s="15"/>
      <c r="H155" s="15"/>
      <c r="I155" s="15"/>
      <c r="J155" s="15"/>
      <c r="K155" s="15"/>
      <c r="L155" s="15"/>
      <c r="M155" s="15"/>
      <c r="N155" s="15"/>
      <c r="O155" s="15"/>
      <c r="P155" s="136"/>
      <c r="Q155" s="136"/>
      <c r="R155" s="136"/>
      <c r="S155" s="136"/>
      <c r="T155" s="136"/>
      <c r="U155" s="136"/>
      <c r="V155" s="136"/>
      <c r="W155" s="136"/>
      <c r="X155" s="136"/>
      <c r="Y155" s="136"/>
      <c r="Z155" s="15"/>
      <c r="AA155" s="11" t="n">
        <v>2005</v>
      </c>
      <c r="AB155" s="3" t="n">
        <v>3400</v>
      </c>
      <c r="AC155" s="11" t="n">
        <v>0.00864259262323708</v>
      </c>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t="n">
        <v>2002</v>
      </c>
      <c r="DC155" s="15"/>
      <c r="DD155" s="15" t="n">
        <v>2003</v>
      </c>
      <c r="DE155" s="15"/>
      <c r="DF155" s="15"/>
      <c r="DG155" s="15"/>
      <c r="DH155" s="15"/>
      <c r="DI155" s="15" t="n">
        <v>2004</v>
      </c>
      <c r="DJ155" s="15" t="n">
        <v>2005</v>
      </c>
      <c r="DK155" s="12" t="n">
        <v>2006</v>
      </c>
      <c r="DL155" s="12"/>
      <c r="DM155" s="12"/>
      <c r="DN155" s="12" t="n">
        <v>2007</v>
      </c>
      <c r="DO155" s="12" t="n">
        <v>2008</v>
      </c>
      <c r="DP155" s="15" t="n">
        <v>2009</v>
      </c>
      <c r="DQ155" s="15"/>
      <c r="DR155" s="15" t="n">
        <v>2010</v>
      </c>
      <c r="DS155" s="15"/>
      <c r="DT155" s="15"/>
      <c r="DU155" s="15"/>
      <c r="DV155" s="15" t="n">
        <v>2011</v>
      </c>
      <c r="DW155" s="15"/>
      <c r="DX155" s="15" t="n">
        <v>2012</v>
      </c>
      <c r="DY155" s="15" t="n">
        <v>2013</v>
      </c>
      <c r="DZ155" s="15"/>
    </row>
    <row r="156" customFormat="false" ht="15" hidden="false" customHeight="false" outlineLevel="0" collapsed="false">
      <c r="A156" s="13"/>
      <c r="B156" s="15"/>
      <c r="C156" s="15"/>
      <c r="D156" s="15"/>
      <c r="E156" s="15"/>
      <c r="F156" s="15"/>
      <c r="G156" s="15"/>
      <c r="H156" s="15"/>
      <c r="I156" s="15"/>
      <c r="J156" s="15"/>
      <c r="K156" s="15"/>
      <c r="L156" s="15"/>
      <c r="M156" s="15"/>
      <c r="N156" s="15"/>
      <c r="O156" s="15"/>
      <c r="P156" s="136"/>
      <c r="Q156" s="136"/>
      <c r="R156" s="136"/>
      <c r="S156" s="136"/>
      <c r="T156" s="136"/>
      <c r="U156" s="136"/>
      <c r="V156" s="136"/>
      <c r="W156" s="136"/>
      <c r="X156" s="136"/>
      <c r="Y156" s="136"/>
      <c r="Z156" s="15"/>
      <c r="AA156" s="11" t="n">
        <v>2006</v>
      </c>
      <c r="AB156" s="3" t="n">
        <v>3900</v>
      </c>
      <c r="AC156" s="11" t="n">
        <v>0.00969591280480532</v>
      </c>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t="s">
        <v>627</v>
      </c>
      <c r="DA156" s="12"/>
      <c r="DB156" s="12" t="n">
        <v>316</v>
      </c>
      <c r="DC156" s="15"/>
      <c r="DD156" s="15" t="n">
        <v>302</v>
      </c>
      <c r="DE156" s="15"/>
      <c r="DF156" s="15"/>
      <c r="DG156" s="15"/>
      <c r="DH156" s="15"/>
      <c r="DI156" s="15" t="n">
        <v>334</v>
      </c>
      <c r="DJ156" s="12" t="n">
        <v>401</v>
      </c>
      <c r="DK156" s="12" t="n">
        <v>410</v>
      </c>
      <c r="DL156" s="12"/>
      <c r="DM156" s="12"/>
      <c r="DN156" s="12" t="n">
        <v>458</v>
      </c>
      <c r="DO156" s="12" t="n">
        <v>480</v>
      </c>
      <c r="DP156" s="15" t="n">
        <v>450</v>
      </c>
      <c r="DQ156" s="15"/>
      <c r="DR156" s="15" t="n">
        <v>470</v>
      </c>
      <c r="DS156" s="15"/>
      <c r="DT156" s="15"/>
      <c r="DU156" s="15"/>
      <c r="DV156" s="15" t="n">
        <v>447</v>
      </c>
      <c r="DW156" s="15"/>
      <c r="DX156" s="15" t="n">
        <v>361</v>
      </c>
      <c r="DY156" s="15" t="n">
        <v>435</v>
      </c>
      <c r="DZ156" s="15"/>
    </row>
    <row r="157" customFormat="false" ht="15" hidden="false" customHeight="false" outlineLevel="0" collapsed="false">
      <c r="A157" s="13"/>
      <c r="B157" s="15"/>
      <c r="C157" s="15"/>
      <c r="D157" s="15"/>
      <c r="E157" s="15"/>
      <c r="F157" s="15"/>
      <c r="G157" s="15"/>
      <c r="H157" s="15"/>
      <c r="I157" s="15"/>
      <c r="J157" s="15"/>
      <c r="K157" s="15"/>
      <c r="L157" s="15"/>
      <c r="M157" s="15"/>
      <c r="N157" s="15"/>
      <c r="O157" s="15"/>
      <c r="P157" s="136"/>
      <c r="Q157" s="136"/>
      <c r="R157" s="136"/>
      <c r="S157" s="136"/>
      <c r="T157" s="136"/>
      <c r="U157" s="136"/>
      <c r="V157" s="136"/>
      <c r="W157" s="136"/>
      <c r="X157" s="136"/>
      <c r="Y157" s="136"/>
      <c r="Z157" s="15"/>
      <c r="AA157" s="11" t="n">
        <v>2007</v>
      </c>
      <c r="AB157" s="3" t="n">
        <v>4500</v>
      </c>
      <c r="AC157" s="11" t="n">
        <v>0.010954338034708</v>
      </c>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t="s">
        <v>628</v>
      </c>
      <c r="DA157" s="12"/>
      <c r="DB157" s="12" t="n">
        <v>1399</v>
      </c>
      <c r="DC157" s="15"/>
      <c r="DD157" s="15" t="n">
        <v>1568</v>
      </c>
      <c r="DE157" s="15"/>
      <c r="DF157" s="15"/>
      <c r="DG157" s="15"/>
      <c r="DH157" s="15"/>
      <c r="DI157" s="15" t="n">
        <v>1624</v>
      </c>
      <c r="DJ157" s="12" t="n">
        <v>1669</v>
      </c>
      <c r="DK157" s="12" t="n">
        <v>1659</v>
      </c>
      <c r="DL157" s="12"/>
      <c r="DM157" s="12"/>
      <c r="DN157" s="12" t="n">
        <v>1908</v>
      </c>
      <c r="DO157" s="12" t="n">
        <v>1892</v>
      </c>
      <c r="DP157" s="15" t="n">
        <v>1996</v>
      </c>
      <c r="DQ157" s="15"/>
      <c r="DR157" s="15" t="n">
        <v>2062</v>
      </c>
      <c r="DS157" s="15"/>
      <c r="DT157" s="15"/>
      <c r="DU157" s="15"/>
      <c r="DV157" s="15" t="n">
        <v>2064</v>
      </c>
      <c r="DW157" s="15"/>
      <c r="DX157" s="15" t="n">
        <v>1982</v>
      </c>
      <c r="DY157" s="15" t="n">
        <v>2239</v>
      </c>
      <c r="DZ157" s="15"/>
    </row>
    <row r="158" customFormat="false" ht="15" hidden="false" customHeight="false" outlineLevel="0" collapsed="false">
      <c r="A158" s="13"/>
      <c r="B158" s="15"/>
      <c r="C158" s="15"/>
      <c r="D158" s="15"/>
      <c r="E158" s="15"/>
      <c r="F158" s="15"/>
      <c r="G158" s="15"/>
      <c r="H158" s="15"/>
      <c r="I158" s="15"/>
      <c r="J158" s="15"/>
      <c r="K158" s="15"/>
      <c r="L158" s="15"/>
      <c r="M158" s="15"/>
      <c r="N158" s="15"/>
      <c r="O158" s="15"/>
      <c r="P158" s="136"/>
      <c r="Q158" s="136"/>
      <c r="R158" s="136"/>
      <c r="S158" s="136"/>
      <c r="T158" s="136"/>
      <c r="U158" s="136"/>
      <c r="V158" s="136"/>
      <c r="W158" s="136"/>
      <c r="X158" s="136"/>
      <c r="Y158" s="136"/>
      <c r="Z158" s="15"/>
      <c r="AA158" s="11" t="n">
        <v>2008</v>
      </c>
      <c r="AB158" s="3" t="n">
        <v>5100</v>
      </c>
      <c r="AC158" s="11" t="n">
        <v>0.0121712895650738</v>
      </c>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t="s">
        <v>629</v>
      </c>
      <c r="DA158" s="12"/>
      <c r="DB158" s="12" t="n">
        <v>3137</v>
      </c>
      <c r="DC158" s="15"/>
      <c r="DD158" s="15" t="n">
        <v>3059</v>
      </c>
      <c r="DE158" s="15"/>
      <c r="DF158" s="15"/>
      <c r="DG158" s="15"/>
      <c r="DH158" s="15"/>
      <c r="DI158" s="15" t="n">
        <v>3196</v>
      </c>
      <c r="DJ158" s="12" t="n">
        <v>3423</v>
      </c>
      <c r="DK158" s="12" t="n">
        <v>3412</v>
      </c>
      <c r="DL158" s="12"/>
      <c r="DM158" s="12"/>
      <c r="DN158" s="12" t="n">
        <v>3442</v>
      </c>
      <c r="DO158" s="12" t="n">
        <v>3485</v>
      </c>
      <c r="DP158" s="15" t="n">
        <v>3220</v>
      </c>
      <c r="DQ158" s="15"/>
      <c r="DR158" s="15" t="n">
        <v>2993</v>
      </c>
      <c r="DS158" s="15"/>
      <c r="DT158" s="15"/>
      <c r="DU158" s="15"/>
      <c r="DV158" s="15" t="n">
        <v>2896</v>
      </c>
      <c r="DW158" s="15"/>
      <c r="DX158" s="15" t="n">
        <v>2877</v>
      </c>
      <c r="DY158" s="15" t="n">
        <v>3123</v>
      </c>
      <c r="DZ158" s="15"/>
    </row>
    <row r="159" customFormat="false" ht="15" hidden="false" customHeight="false" outlineLevel="0" collapsed="false">
      <c r="A159" s="1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1" t="n">
        <v>2009</v>
      </c>
      <c r="AB159" s="3" t="n">
        <v>5900</v>
      </c>
      <c r="AC159" s="11" t="n">
        <v>0.0138248347973248</v>
      </c>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t="s">
        <v>630</v>
      </c>
      <c r="DA159" s="12"/>
      <c r="DB159" s="12" t="n">
        <v>5701</v>
      </c>
      <c r="DC159" s="15"/>
      <c r="DD159" s="15" t="n">
        <v>5521</v>
      </c>
      <c r="DE159" s="15"/>
      <c r="DF159" s="15"/>
      <c r="DG159" s="15"/>
      <c r="DH159" s="15"/>
      <c r="DI159" s="15" t="n">
        <v>5144</v>
      </c>
      <c r="DJ159" s="12" t="n">
        <v>4349</v>
      </c>
      <c r="DK159" s="12" t="n">
        <v>4378</v>
      </c>
      <c r="DL159" s="12"/>
      <c r="DM159" s="12"/>
      <c r="DN159" s="12" t="n">
        <v>4179</v>
      </c>
      <c r="DO159" s="12" t="n">
        <v>4248</v>
      </c>
      <c r="DP159" s="15" t="n">
        <v>3743</v>
      </c>
      <c r="DQ159" s="15"/>
      <c r="DR159" s="15" t="n">
        <v>3423</v>
      </c>
      <c r="DS159" s="15"/>
      <c r="DT159" s="15"/>
      <c r="DU159" s="15"/>
      <c r="DV159" s="15" t="n">
        <v>3276</v>
      </c>
      <c r="DW159" s="15"/>
      <c r="DX159" s="15" t="n">
        <v>3424</v>
      </c>
      <c r="DY159" s="15" t="n">
        <v>3268</v>
      </c>
      <c r="DZ159" s="15"/>
    </row>
    <row r="160" customFormat="false" ht="15" hidden="false" customHeight="false" outlineLevel="0" collapsed="false">
      <c r="A160" s="1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1" t="n">
        <v>2010</v>
      </c>
      <c r="AB160" s="3" t="n">
        <v>6600</v>
      </c>
      <c r="AC160" s="11" t="n">
        <v>0.0152072621958038</v>
      </c>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t="s">
        <v>631</v>
      </c>
      <c r="DA160" s="12"/>
      <c r="DB160" s="12" t="n">
        <v>8217</v>
      </c>
      <c r="DC160" s="15"/>
      <c r="DD160" s="15" t="n">
        <v>8017</v>
      </c>
      <c r="DE160" s="15"/>
      <c r="DF160" s="15"/>
      <c r="DG160" s="15"/>
      <c r="DH160" s="15"/>
      <c r="DI160" s="15" t="n">
        <v>7072</v>
      </c>
      <c r="DJ160" s="12" t="n">
        <v>6402</v>
      </c>
      <c r="DK160" s="12" t="n">
        <v>6397</v>
      </c>
      <c r="DL160" s="12"/>
      <c r="DM160" s="12"/>
      <c r="DN160" s="12" t="n">
        <v>5869</v>
      </c>
      <c r="DO160" s="12" t="n">
        <v>5479</v>
      </c>
      <c r="DP160" s="15" t="n">
        <v>4442</v>
      </c>
      <c r="DQ160" s="15"/>
      <c r="DR160" s="15" t="n">
        <v>3844</v>
      </c>
      <c r="DS160" s="15"/>
      <c r="DT160" s="15"/>
      <c r="DU160" s="15"/>
      <c r="DV160" s="15" t="n">
        <v>3329</v>
      </c>
      <c r="DW160" s="15"/>
      <c r="DX160" s="15" t="n">
        <v>3074</v>
      </c>
      <c r="DY160" s="15" t="n">
        <v>3200</v>
      </c>
      <c r="DZ160" s="15"/>
    </row>
    <row r="161" customFormat="false" ht="15" hidden="false" customHeight="false" outlineLevel="0" collapsed="false">
      <c r="A161" s="1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1" t="n">
        <v>2011</v>
      </c>
      <c r="AB161" s="3" t="n">
        <v>7400</v>
      </c>
      <c r="AC161" s="11" t="n">
        <v>0.0167490050015924</v>
      </c>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t="s">
        <v>633</v>
      </c>
      <c r="DA161" s="12"/>
      <c r="DB161" s="12" t="n">
        <v>7404</v>
      </c>
      <c r="DC161" s="15"/>
      <c r="DD161" s="15" t="n">
        <v>7626</v>
      </c>
      <c r="DE161" s="15"/>
      <c r="DF161" s="15"/>
      <c r="DG161" s="15"/>
      <c r="DH161" s="15"/>
      <c r="DI161" s="15" t="n">
        <v>7703</v>
      </c>
      <c r="DJ161" s="12" t="n">
        <v>7298</v>
      </c>
      <c r="DK161" s="12" t="n">
        <v>7326</v>
      </c>
      <c r="DL161" s="12"/>
      <c r="DM161" s="12"/>
      <c r="DN161" s="12" t="n">
        <v>6844</v>
      </c>
      <c r="DO161" s="12" t="n">
        <v>6355</v>
      </c>
      <c r="DP161" s="15" t="n">
        <v>5116</v>
      </c>
      <c r="DQ161" s="15"/>
      <c r="DR161" s="15" t="n">
        <v>4463</v>
      </c>
      <c r="DS161" s="15"/>
      <c r="DT161" s="15"/>
      <c r="DU161" s="15"/>
      <c r="DV161" s="15" t="n">
        <v>3930</v>
      </c>
      <c r="DW161" s="15"/>
      <c r="DX161" s="15" t="n">
        <v>3640</v>
      </c>
      <c r="DY161" s="15" t="n">
        <v>3496</v>
      </c>
      <c r="DZ161" s="15"/>
    </row>
    <row r="162" customFormat="false" ht="15" hidden="false" customHeight="false" outlineLevel="0" collapsed="false">
      <c r="A162" s="1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1" t="n">
        <v>2012</v>
      </c>
      <c r="AB162" s="3" t="n">
        <v>8300</v>
      </c>
      <c r="AC162" s="11" t="n">
        <v>0.0185069312471072</v>
      </c>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t="s">
        <v>634</v>
      </c>
      <c r="DA162" s="12"/>
      <c r="DB162" s="12" t="n">
        <v>5358</v>
      </c>
      <c r="DC162" s="15"/>
      <c r="DD162" s="15" t="n">
        <v>5617</v>
      </c>
      <c r="DE162" s="15"/>
      <c r="DF162" s="15"/>
      <c r="DG162" s="15"/>
      <c r="DH162" s="15"/>
      <c r="DI162" s="15" t="n">
        <v>5498</v>
      </c>
      <c r="DJ162" s="12" t="n">
        <v>5628</v>
      </c>
      <c r="DK162" s="12" t="n">
        <v>5679</v>
      </c>
      <c r="DL162" s="12"/>
      <c r="DM162" s="12"/>
      <c r="DN162" s="12" t="n">
        <v>5863</v>
      </c>
      <c r="DO162" s="12" t="n">
        <v>5669</v>
      </c>
      <c r="DP162" s="15" t="n">
        <v>4935</v>
      </c>
      <c r="DQ162" s="15"/>
      <c r="DR162" s="15" t="n">
        <v>4431</v>
      </c>
      <c r="DS162" s="15"/>
      <c r="DT162" s="15"/>
      <c r="DU162" s="15"/>
      <c r="DV162" s="15" t="n">
        <v>4138</v>
      </c>
      <c r="DW162" s="15"/>
      <c r="DX162" s="15" t="n">
        <v>3843</v>
      </c>
      <c r="DY162" s="15" t="n">
        <v>3781</v>
      </c>
      <c r="DZ162" s="15"/>
    </row>
    <row r="163" customFormat="false" ht="15" hidden="false" customHeight="false" outlineLevel="0" collapsed="false">
      <c r="A163" s="1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1" t="n">
        <v>2013</v>
      </c>
      <c r="AB163" s="3" t="n">
        <v>9200</v>
      </c>
      <c r="AC163" s="11" t="n">
        <v>0.0202395072894345</v>
      </c>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2"/>
      <c r="DB163" s="12"/>
      <c r="DC163" s="15"/>
      <c r="DD163" s="15"/>
      <c r="DE163" s="15"/>
      <c r="DF163" s="15"/>
      <c r="DG163" s="15"/>
      <c r="DH163" s="15"/>
      <c r="DI163" s="15"/>
      <c r="DJ163" s="12"/>
      <c r="DK163" s="12"/>
      <c r="DL163" s="12"/>
      <c r="DM163" s="12"/>
      <c r="DN163" s="12"/>
      <c r="DO163" s="12"/>
      <c r="DP163" s="15"/>
      <c r="DQ163" s="15"/>
      <c r="DR163" s="15"/>
      <c r="DS163" s="15"/>
      <c r="DT163" s="15"/>
      <c r="DU163" s="15"/>
      <c r="DV163" s="15"/>
      <c r="DW163" s="15"/>
      <c r="DX163" s="15"/>
      <c r="DY163" s="15"/>
      <c r="DZ163" s="15"/>
    </row>
    <row r="164" customFormat="false" ht="15" hidden="false" customHeight="false" outlineLevel="0" collapsed="false">
      <c r="A164" s="1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1" t="n">
        <v>2014</v>
      </c>
      <c r="AB164" s="3" t="n">
        <v>10000</v>
      </c>
      <c r="AC164" s="11" t="n">
        <v>0.0216922906488418</v>
      </c>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t="s">
        <v>223</v>
      </c>
      <c r="DA164" s="12"/>
      <c r="DB164" s="12" t="n">
        <f aca="false">SUM(DB156:DB162)</f>
        <v>31532</v>
      </c>
      <c r="DC164" s="12"/>
      <c r="DD164" s="12" t="n">
        <f aca="false">SUM(DD156:DD162)</f>
        <v>31710</v>
      </c>
      <c r="DE164" s="12"/>
      <c r="DF164" s="12"/>
      <c r="DG164" s="12"/>
      <c r="DH164" s="12"/>
      <c r="DI164" s="12" t="n">
        <f aca="false">SUM(DI156:DI162)</f>
        <v>30571</v>
      </c>
      <c r="DJ164" s="12" t="n">
        <f aca="false">SUM(DJ156:DJ162)</f>
        <v>29170</v>
      </c>
      <c r="DK164" s="12" t="n">
        <f aca="false">SUM(DK156:DK162)</f>
        <v>29261</v>
      </c>
      <c r="DL164" s="12"/>
      <c r="DM164" s="12"/>
      <c r="DN164" s="12" t="n">
        <f aca="false">SUM(DN156:DN162)</f>
        <v>28563</v>
      </c>
      <c r="DO164" s="12" t="n">
        <f aca="false">SUM(DO156:DO162)</f>
        <v>27608</v>
      </c>
      <c r="DP164" s="15" t="n">
        <f aca="false">SUM(DP156:DP162)</f>
        <v>23902</v>
      </c>
      <c r="DQ164" s="15"/>
      <c r="DR164" s="15" t="n">
        <f aca="false">SUM(DR156:DR162)</f>
        <v>21686</v>
      </c>
      <c r="DS164" s="15"/>
      <c r="DT164" s="15"/>
      <c r="DU164" s="15"/>
      <c r="DV164" s="15" t="n">
        <f aca="false">SUM(DV156:DV162)</f>
        <v>20080</v>
      </c>
      <c r="DW164" s="15"/>
      <c r="DX164" s="15" t="n">
        <f aca="false">SUM(DX156:DX162)</f>
        <v>19201</v>
      </c>
      <c r="DY164" s="15" t="n">
        <f aca="false">SUM(DY156:DY162)</f>
        <v>19542</v>
      </c>
      <c r="DZ164" s="15"/>
    </row>
    <row r="165" customFormat="false" ht="15" hidden="false" customHeight="false" outlineLevel="0" collapsed="false">
      <c r="A165" s="1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1" t="n">
        <v>2015</v>
      </c>
      <c r="AB165" s="3" t="n">
        <v>11000</v>
      </c>
      <c r="AC165" s="11" t="n">
        <v>0.0234922262087818</v>
      </c>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row>
  </sheetData>
  <hyperlinks>
    <hyperlink ref="DM30" r:id="rId1" display="http://www.unaids.org/sites/default/files/country/documents//TUN_narrative_report_2014.pdf"/>
    <hyperlink ref="DW30" r:id="rId2" display="http://www.unaids.org/sites/default/files/country/documents//YEM_narrative_report_2014.pdf"/>
    <hyperlink ref="B31" r:id="rId3" display="http://www.aidsdatahub.org/Country-Profiles/Afghanistan"/>
    <hyperlink ref="C31" r:id="rId4" display="http://www.unaids.org/sites/default/files/country/documents/DZA_narrative_report_2015.pdf"/>
    <hyperlink ref="H31" r:id="rId5" display="http://www.nelp-hiv.org/countries/AT"/>
    <hyperlink ref="K31" r:id="rId6" display="http://www.aidsdatahub.org/Country-Profiles/Bangladesh"/>
    <hyperlink ref="N31" r:id="rId7" display="http://www.euro.who.int/__data/assets/pdf_file/0007/293623/HIV-AIDS-Surveillance-Report-Europe-2014-en.pdf?ua=1"/>
    <hyperlink ref="Q31" r:id="rId8" display="http://www.aidsdatahub.org/Country-Profiles/Bhutan"/>
    <hyperlink ref="Z31" r:id="rId9" location="fig1" display="http://www.phac-aspc.gc.ca/aids-sida/publication/survreport/2012/dec/assets/longdesc/fig-ld-eng.php#fig1"/>
    <hyperlink ref="AE31" r:id="rId10" display="http://www.ncbi.nlm.nih.gov/pmc/articles/PMC4730421/pdf/ijerph-13-00030.pdf"/>
    <hyperlink ref="AP31" r:id="rId11" display="http://www.wac-egypt.org/en/hivaids-info/hiv-in-egypt/"/>
    <hyperlink ref="AT31" r:id="rId12" display="http://www.euro.who.int/__data/assets/pdf_file/0007/293623/HIV-AIDS-Surveillance-Report-Europe-2014-en.pdf?ua=1"/>
    <hyperlink ref="AV31" r:id="rId13" display="http://www.euro.who.int/__data/assets/pdf_file/0007/293623/HIV-AIDS-Surveillance-Report-Europe-2014-en.pdf?ua=1"/>
    <hyperlink ref="BP31" r:id="rId14" display="http://www.aidsdatahub.org/Country-Profiles/Lao-PDR"/>
    <hyperlink ref="BQ31" r:id="rId15" display="http://www.dailystar.com.lb/News/Lebanon-News/2014/Dec-02/279570-around-3750-hivaids-cases-in-lebanon.ashx"/>
    <hyperlink ref="CA31" r:id="rId16" display="http://www.unaids.org/sites/default/files/country/documents//file,94669,es..pdf"/>
    <hyperlink ref="CG31" r:id="rId17" display="http://www.euro.who.int/__data/assets/pdf_file/0007/293623/HIV-AIDS-Surveillance-Report-Europe-2014-en.pdf?ua=1"/>
    <hyperlink ref="CH31" r:id="rId18" display="http://dnmeds.otago.ac.nz/departments/psm/research/aids/newsletters.html"/>
    <hyperlink ref="CQ31" r:id="rId19" display="http://www.aidsdatahub.org/Country-Profiles/Philippines"/>
    <hyperlink ref="CU31" r:id="rId20" display="http://www.pancap.org/saintlucia_2010_country_progress_report_en.pdf"/>
    <hyperlink ref="DB31" r:id="rId21" display="http://www.aidsdatahub.org/Country-Profiles/Sri-Lanka"/>
    <hyperlink ref="DJ31" r:id="rId22" display="http://www.unaids.org/sites/default/files/country/documents/TLS_narrative_report_2015.pdf"/>
    <hyperlink ref="DP31" r:id="rId23" display="https://www.gov.uk/government/uploads/system/uploads/attachment_data/file/401662/2014_PHE_HIV_annual_report_draft_Final_07-01-2015.pdf"/>
    <hyperlink ref="H32" r:id="rId24" display="http://www.unaids.org/sites/default/files/country/documents//ce_AT_Narrative_Report.pdf"/>
    <hyperlink ref="AP32" r:id="rId25" display="http://english.ahram.org.eg/NewsContent/7/48/139780/Life--Style/Health/INTERVIEW-HIVAIDS-in-Egypt-Facts,-numbers-and-chal.aspx"/>
    <hyperlink ref="BQ32" r:id="rId26" display="http://www.unaids.org/sites/default/files/country/documents//LBN_narrative_report_2014.pdf"/>
    <hyperlink ref="BQ33" r:id="rId27" display="http://www.emro.who.int/lbn/programmes/hiv-aids.html"/>
    <hyperlink ref="AV64" r:id="rId28" display="http://www.aidsmap.com/Australia-performs-best-in-HIV-treatment-cascade-62-with-undetectable-viral-load/page/2919074/"/>
    <hyperlink ref="CU64" r:id="rId29" display="http://www.unaids.org/sites/default/files/country/documents/file,68394,es..pdf"/>
    <hyperlink ref="B65" r:id="rId30" display="http://www.unaids.org/sites/default/files/country/documents/AFG_narrative_report_2014.pdf "/>
    <hyperlink ref="CA65" r:id="rId31" display="https://www.cia.gov/library/publications/the-world-factbook/rankorder/2155rank.html"/>
    <hyperlink ref="CH65" r:id="rId32" display="http://dnmeds.otago.ac.nz/departments/psm/research/aids/pdf/75%20AIDS-NZ%20May%202016.pdf"/>
    <hyperlink ref="CQ65" r:id="rId33" display="http://www.unaids.org/sites/default/files/country/documents//PHL_narrative_report_2014.pdf"/>
    <hyperlink ref="CU65" r:id="rId34" display="http://www.unaids.org/sites/default/files/country/documents/LCA_narrative_report_2015.pdf"/>
    <hyperlink ref="DB65" r:id="rId35" display="http://www.unaids.org/sites/default/files/country/documents/LKA_narrative_report_2016.pdf"/>
    <hyperlink ref="DJ65" r:id="rId36" display="http://www.hivpolicy.org/Library/HPP000476.pdf"/>
    <hyperlink ref="DP65" r:id="rId37" display="https://www.gov.uk/government/uploads/system/uploads/attachment_data/file/335452/HIV_annual_report_2012.pdf"/>
    <hyperlink ref="K66" r:id="rId38" display="http://databank.worldbank.org/data/reports.aspx?source=Health%20Nutrition%20and%20Population%20Statistics:%20Population%20estimates%20and%20projections#"/>
    <hyperlink ref="AP66" r:id="rId39" display="https://www.cia.gov/library/publications/the-world-factbook/rankorder/2155rank.html"/>
    <hyperlink ref="CA66" r:id="rId40" display="http://www.unaids.org/sites/default/files/country/documents/MNG_narrative_report_2015.pdf"/>
    <hyperlink ref="CH66" r:id="rId41" display="http://www.unaids.org/sites/default/files/country/documents/NZL_narrative_report_2015.pdf"/>
    <hyperlink ref="DB66" r:id="rId42" display="http://www.aidscontrol.gov.lk/web/index.php/statistics/hiv"/>
    <hyperlink ref="DJ66" r:id="rId43" display="http://www.unaids.org/sites/default/files/country/documents/TLS_narrative_report_2015.pdf"/>
    <hyperlink ref="DP66" r:id="rId44" display="https://www.gov.uk/government/uploads/system/uploads/attachment_data/file/401662/2014_PHE_HIV_annual_report_draft_Final_07-01-2015.pdf"/>
    <hyperlink ref="CA67" r:id="rId45" display="http://databank.worldbank.org/data/reports.aspx?source=Health%20Nutrition%20and%20Population%20Statistics:%20Population%20estimates%20and%20projections#"/>
    <hyperlink ref="CH67" r:id="rId46" display="http://www.ecoi.net/file_upload/1329_1217946151_efs2008-nz.pdf"/>
    <hyperlink ref="DB67" r:id="rId47" display="http://databank.worldbank.org/data/reports.aspx?source=Health%20Nutrition%20and%20Population%20Statistics:%20Population%20estimates%20and%20projections#"/>
    <hyperlink ref="N101" r:id="rId48" display="http://www.unaids.org/sites/default/files/country/documents/BEL_narrative_report_2014.pdf"/>
    <hyperlink ref="Z101" r:id="rId49" display="http://healthycanadians.gc.ca/publications/diseases-conditions-maladies-affections/hiv-aids-surveillance-2014-vih-sida/alt/hiv-aids-surveillance-2014-vih-sida-eng.pdf"/>
    <hyperlink ref="AE101" r:id="rId50" display="http://www.unaids.org/sites/default/files/country/documents/CHN_narrative_report_2015.pdf"/>
    <hyperlink ref="AL101" r:id="rId51" display="http://www.euro.who.int/__data/assets/pdf_file/0009/127656/e94500.pdf"/>
    <hyperlink ref="AT101" r:id="rId52" display="http://www.euro.who.int/__data/assets/pdf_file/0009/127656/e94500.pdf"/>
    <hyperlink ref="AV101" r:id="rId53" display="http://www.euro.who.int/__data/assets/pdf_file/0009/127656/e94500.pdf"/>
    <hyperlink ref="BP101" r:id="rId54" display="http://www.unaids.org/sites/default/files/country/documents/LAO_narrative_report_2016.pdf"/>
    <hyperlink ref="CG101" r:id="rId55" display="http://www.euro.who.int/__data/assets/pdf_file/0009/127656/e94500.pdf"/>
    <hyperlink ref="CH101" r:id="rId56" display="http://dnmeds.otago.ac.nz/departments/psm/research/aids/pdf/73_AIDS-NZ_June_2014.pdf"/>
    <hyperlink ref="DJ101" r:id="rId57" display="http://www.unaids.org/sites/default/files/country/documents/TLS_narrative_report_2015.pdf"/>
    <hyperlink ref="DP101" r:id="rId58" display="https://www.gov.uk/government/uploads/system/uploads/attachment_data/file/335452/HIV_annual_report_2012.pdf"/>
    <hyperlink ref="AU102" r:id="rId59" display="http://www.unaids.org/sites/default/files/country/documents/ETH_narrative_report_2014.pdf"/>
    <hyperlink ref="BJ102" r:id="rId60" display="http://bmjopen.bmj.com/content/3/7/e003078.full.pdf+html"/>
    <hyperlink ref="AU103" r:id="rId61" display="https://www.census.gov/population/international/files/hiv/ethiopia08.pdf"/>
    <hyperlink ref="DM103" r:id="rId62" display="http://www.unaids.org/sites/default/files/country/documents//TUN_narrative_report_2014.pdf"/>
    <hyperlink ref="AU104" r:id="rId63" display="http://www.pepfar.gov/countries/ethiopia/"/>
    <hyperlink ref="BL128" r:id="rId64" display="http://www.ynetnews.com/articles/0,7340,L-4305515,00.html"/>
    <hyperlink ref="DN132" r:id="rId65" display="http://www.euro.who.int/__data/assets/pdf_file/0009/127656/e94500.pdf"/>
    <hyperlink ref="DO132" r:id="rId66" display="https://www.gov.uk/government/uploads/system/uploads/attachment_data/file/335452/HIV_annual_report_2012.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D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DF1" activePane="topRight" state="frozen"/>
      <selection pane="topLeft" activeCell="A1" activeCellId="0" sqref="A1"/>
      <selection pane="topRight" activeCell="DY1" activeCellId="0" sqref="DY1"/>
    </sheetView>
  </sheetViews>
  <sheetFormatPr defaultRowHeight="15"/>
  <cols>
    <col collapsed="false" hidden="false" max="1" min="1" style="0" width="18.2244897959184"/>
    <col collapsed="false" hidden="false" max="30" min="2" style="0" width="8.50510204081633"/>
    <col collapsed="false" hidden="false" max="31" min="31" style="0" width="19.4387755102041"/>
    <col collapsed="false" hidden="false" max="1025" min="32" style="0" width="8.50510204081633"/>
  </cols>
  <sheetData>
    <row r="1" customFormat="false" ht="15" hidden="false" customHeight="false" outlineLevel="0" collapsed="false">
      <c r="A1" s="1" t="s">
        <v>638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639</v>
      </c>
      <c r="AW1" s="1" t="s">
        <v>46</v>
      </c>
      <c r="AX1" s="1" t="s">
        <v>47</v>
      </c>
      <c r="AY1" s="1" t="s">
        <v>48</v>
      </c>
      <c r="AZ1" s="1" t="s">
        <v>49</v>
      </c>
      <c r="BA1" s="1" t="s">
        <v>50</v>
      </c>
      <c r="BB1" s="1" t="s">
        <v>51</v>
      </c>
      <c r="BC1" s="1" t="s">
        <v>52</v>
      </c>
      <c r="BD1" s="1" t="s">
        <v>53</v>
      </c>
      <c r="BE1" s="14" t="s">
        <v>640</v>
      </c>
      <c r="BF1" s="1" t="s">
        <v>54</v>
      </c>
      <c r="BG1" s="1" t="s">
        <v>55</v>
      </c>
      <c r="BH1" s="1" t="s">
        <v>56</v>
      </c>
      <c r="BI1" s="1" t="s">
        <v>57</v>
      </c>
      <c r="BJ1" s="1" t="s">
        <v>58</v>
      </c>
      <c r="BK1" s="1" t="s">
        <v>59</v>
      </c>
      <c r="BL1" s="14"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4"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213</v>
      </c>
      <c r="ED1" s="1"/>
    </row>
    <row r="2" customFormat="false" ht="15" hidden="false" customHeight="false" outlineLevel="0" collapsed="false">
      <c r="A2" s="141" t="n">
        <v>1990</v>
      </c>
      <c r="B2" s="3" t="n">
        <v>5344833</v>
      </c>
      <c r="C2" s="3" t="n">
        <v>12076154</v>
      </c>
      <c r="D2" s="3" t="n">
        <v>4832505</v>
      </c>
      <c r="E2" s="3" t="n">
        <v>15546024</v>
      </c>
      <c r="F2" s="3" t="n">
        <v>1760165</v>
      </c>
      <c r="G2" s="3" t="n">
        <v>9127113</v>
      </c>
      <c r="H2" s="3" t="n">
        <v>3969600</v>
      </c>
      <c r="I2" s="3" t="n">
        <v>3596821</v>
      </c>
      <c r="J2" s="3" t="n">
        <v>139907</v>
      </c>
      <c r="K2" s="3" t="n">
        <v>49652480</v>
      </c>
      <c r="L2" s="3" t="n">
        <v>145034</v>
      </c>
      <c r="M2" s="3" t="n">
        <v>4912425</v>
      </c>
      <c r="N2" s="3" t="n">
        <v>4975245</v>
      </c>
      <c r="O2" s="3" t="n">
        <v>86056</v>
      </c>
      <c r="P2" s="3" t="n">
        <v>2197010</v>
      </c>
      <c r="Q2" s="3" t="n">
        <v>243798</v>
      </c>
      <c r="R2" s="3" t="n">
        <v>3194555</v>
      </c>
      <c r="S2" s="3" t="n">
        <v>641961</v>
      </c>
      <c r="T2" s="3" t="n">
        <v>78015188</v>
      </c>
      <c r="U2" s="3" t="n">
        <v>4181718</v>
      </c>
      <c r="V2" s="3" t="n">
        <v>3785493</v>
      </c>
      <c r="W2" s="3" t="n">
        <v>2419862</v>
      </c>
      <c r="X2" s="3" t="n">
        <v>4106392</v>
      </c>
      <c r="Y2" s="3" t="n">
        <v>5184598</v>
      </c>
      <c r="Z2" s="3" t="n">
        <v>15175389</v>
      </c>
      <c r="AA2" s="3" t="n">
        <v>141835</v>
      </c>
      <c r="AB2" s="3" t="n">
        <v>1310440</v>
      </c>
      <c r="AC2" s="3" t="n">
        <v>2533805</v>
      </c>
      <c r="AD2" s="4" t="n">
        <v>7078056</v>
      </c>
      <c r="AE2" s="4" t="n">
        <v>630000000</v>
      </c>
      <c r="AF2" s="3" t="n">
        <v>17896932</v>
      </c>
      <c r="AG2" s="3" t="n">
        <v>1081353</v>
      </c>
      <c r="AH2" s="3" t="n">
        <v>1590261</v>
      </c>
      <c r="AI2" s="3" t="n">
        <v>5965110</v>
      </c>
      <c r="AJ2" s="3" t="n">
        <v>5485167</v>
      </c>
      <c r="AK2" s="3" t="n">
        <v>15535408</v>
      </c>
      <c r="AL2" s="3" t="n">
        <v>2676149</v>
      </c>
      <c r="AM2" s="3" t="n">
        <v>271659</v>
      </c>
      <c r="AN2" s="3" t="n">
        <v>3540340</v>
      </c>
      <c r="AO2" s="3" t="n">
        <v>5102348</v>
      </c>
      <c r="AP2" s="3" t="n">
        <v>25636182</v>
      </c>
      <c r="AQ2" s="3" t="n">
        <v>2477153</v>
      </c>
      <c r="AR2" s="3" t="n">
        <v>189398</v>
      </c>
      <c r="AS2" s="3" t="n">
        <v>1434116</v>
      </c>
      <c r="AT2" s="3" t="n">
        <v>758330</v>
      </c>
      <c r="AU2" s="3" t="n">
        <v>20966931</v>
      </c>
      <c r="AV2" s="11" t="n">
        <v>2571241</v>
      </c>
      <c r="AW2" s="3" t="n">
        <v>29511825</v>
      </c>
      <c r="AX2" s="3" t="n">
        <v>402771</v>
      </c>
      <c r="AY2" s="3" t="n">
        <v>420362</v>
      </c>
      <c r="AZ2" s="3" t="n">
        <v>2321187</v>
      </c>
      <c r="BA2" s="3" t="n">
        <v>6805367</v>
      </c>
      <c r="BB2" s="3" t="n">
        <v>4892432</v>
      </c>
      <c r="BC2" s="3" t="n">
        <v>4037996</v>
      </c>
      <c r="BD2" s="3" t="n">
        <v>2707094</v>
      </c>
      <c r="BE2" s="3" t="n">
        <v>466587</v>
      </c>
      <c r="BF2" s="3" t="n">
        <v>386629</v>
      </c>
      <c r="BG2" s="3" t="n">
        <v>3193460</v>
      </c>
      <c r="BH2" s="4" t="n">
        <v>2200548</v>
      </c>
      <c r="BI2" s="4" t="n">
        <v>430000000</v>
      </c>
      <c r="BJ2" s="3" t="n">
        <v>92179715</v>
      </c>
      <c r="BK2" s="3" t="n">
        <v>24738953</v>
      </c>
      <c r="BL2" s="3" t="n">
        <v>2291568</v>
      </c>
      <c r="BM2" s="3" t="n">
        <v>28732041</v>
      </c>
      <c r="BN2" s="3" t="n">
        <v>1174535</v>
      </c>
      <c r="BO2" s="3" t="n">
        <v>8180536</v>
      </c>
      <c r="BP2" s="3" t="n">
        <v>10053038</v>
      </c>
      <c r="BQ2" s="3" t="n">
        <v>2057799</v>
      </c>
      <c r="BR2" s="3" t="n">
        <v>1906684</v>
      </c>
      <c r="BS2" s="3" t="n">
        <v>1319475</v>
      </c>
      <c r="BT2" s="3" t="n">
        <v>700399</v>
      </c>
      <c r="BU2" s="3" t="n">
        <v>938008</v>
      </c>
      <c r="BV2" s="3" t="n">
        <v>5205388</v>
      </c>
      <c r="BW2" s="3" t="n">
        <v>4294798</v>
      </c>
      <c r="BX2" s="3" t="n">
        <v>9355491</v>
      </c>
      <c r="BY2" s="3" t="n">
        <v>3599662</v>
      </c>
      <c r="BZ2" s="3" t="n">
        <v>919099</v>
      </c>
      <c r="CA2" s="3" t="n">
        <v>601012</v>
      </c>
      <c r="CB2" s="3" t="n">
        <v>42313818</v>
      </c>
      <c r="CC2" s="3" t="n">
        <v>1041625</v>
      </c>
      <c r="CD2" s="3" t="n">
        <v>11929199</v>
      </c>
      <c r="CE2" s="3" t="n">
        <v>5642954</v>
      </c>
      <c r="CF2" s="3" t="n">
        <v>20882751</v>
      </c>
      <c r="CG2" s="3" t="n">
        <v>655864</v>
      </c>
      <c r="CH2" s="3" t="n">
        <v>8628236</v>
      </c>
      <c r="CI2" s="3" t="n">
        <v>8141000</v>
      </c>
      <c r="CJ2" s="3" t="n">
        <v>1754250</v>
      </c>
      <c r="CK2" s="3" t="n">
        <v>1852292</v>
      </c>
      <c r="CL2" s="3" t="n">
        <v>3443713</v>
      </c>
      <c r="CM2" s="3" t="n">
        <v>42908167</v>
      </c>
      <c r="CN2" s="3" t="n">
        <v>48609975</v>
      </c>
      <c r="CO2" s="3" t="n">
        <v>1265919</v>
      </c>
      <c r="CP2" s="3" t="n">
        <v>2025537</v>
      </c>
      <c r="CQ2" s="3" t="n">
        <v>1994349</v>
      </c>
      <c r="CR2" s="3" t="n">
        <v>10805384</v>
      </c>
      <c r="CS2" s="3" t="n">
        <v>30547342</v>
      </c>
      <c r="CT2" s="3" t="n">
        <v>1818791</v>
      </c>
      <c r="CU2" s="3" t="n">
        <v>72071632</v>
      </c>
      <c r="CV2" s="3" t="n">
        <v>3073627</v>
      </c>
      <c r="CW2" s="3" t="n">
        <v>65289</v>
      </c>
      <c r="CX2" s="3" t="n">
        <v>45139</v>
      </c>
      <c r="CY2" s="3" t="n">
        <v>3214930</v>
      </c>
      <c r="CZ2" s="3" t="n">
        <v>1748446</v>
      </c>
      <c r="DA2" s="3" t="n">
        <v>2833936</v>
      </c>
      <c r="DB2" s="3" t="n">
        <v>17642596</v>
      </c>
      <c r="DC2" s="3" t="n">
        <v>2624162</v>
      </c>
      <c r="DD2" s="3" t="n">
        <v>19594865</v>
      </c>
      <c r="DE2" s="3" t="n">
        <v>8966121</v>
      </c>
      <c r="DF2" s="3" t="n">
        <v>9038350</v>
      </c>
      <c r="DG2" s="3" t="n">
        <v>211329</v>
      </c>
      <c r="DH2" s="3" t="n">
        <v>369907</v>
      </c>
      <c r="DI2" s="12" t="n">
        <v>4195985</v>
      </c>
      <c r="DJ2" s="3" t="n">
        <v>3505347</v>
      </c>
      <c r="DK2" s="3" t="n">
        <v>2343369</v>
      </c>
      <c r="DL2" s="3" t="n">
        <v>31191778</v>
      </c>
      <c r="DM2" s="3" t="n">
        <v>389666</v>
      </c>
      <c r="DN2" s="3" t="n">
        <v>1669681</v>
      </c>
      <c r="DO2" s="3" t="n">
        <v>630128</v>
      </c>
      <c r="DP2" s="3" t="n">
        <v>3934759</v>
      </c>
      <c r="DQ2" s="3" t="n">
        <v>7523039</v>
      </c>
      <c r="DR2" s="3" t="n">
        <v>24725627</v>
      </c>
      <c r="DS2" s="3" t="n">
        <v>28428676</v>
      </c>
      <c r="DT2" s="4" t="n">
        <v>11421545</v>
      </c>
      <c r="DU2" s="4" t="n">
        <v>132000000</v>
      </c>
      <c r="DV2" s="3" t="n">
        <v>1465596</v>
      </c>
      <c r="DW2" s="3" t="n">
        <v>9559369</v>
      </c>
      <c r="DX2" s="3" t="n">
        <v>10077066</v>
      </c>
      <c r="DY2" s="3" t="n">
        <v>32094253</v>
      </c>
      <c r="DZ2" s="3" t="n">
        <v>4822806</v>
      </c>
      <c r="EA2" s="3" t="n">
        <v>3564035</v>
      </c>
      <c r="EB2" s="3" t="n">
        <v>4725089</v>
      </c>
      <c r="EC2" s="3" t="n">
        <v>2381176308</v>
      </c>
      <c r="ED2" s="3"/>
    </row>
    <row r="3" customFormat="false" ht="15" hidden="false" customHeight="false" outlineLevel="0" collapsed="false">
      <c r="A3" s="141" t="n">
        <v>1991</v>
      </c>
      <c r="B3" s="3" t="n">
        <v>5660712</v>
      </c>
      <c r="C3" s="3" t="n">
        <v>12523458</v>
      </c>
      <c r="D3" s="3" t="n">
        <v>4976328</v>
      </c>
      <c r="E3" s="3" t="n">
        <v>15823030</v>
      </c>
      <c r="F3" s="3" t="n">
        <v>1733248</v>
      </c>
      <c r="G3" s="3" t="n">
        <v>9249938</v>
      </c>
      <c r="H3" s="3" t="n">
        <v>3999040</v>
      </c>
      <c r="I3" s="3" t="n">
        <v>3652536</v>
      </c>
      <c r="J3" s="3" t="n">
        <v>143094</v>
      </c>
      <c r="K3" s="3" t="n">
        <v>51133896</v>
      </c>
      <c r="L3" s="3" t="n">
        <v>146209</v>
      </c>
      <c r="M3" s="3" t="n">
        <v>4930703</v>
      </c>
      <c r="N3" s="3" t="n">
        <v>5000554</v>
      </c>
      <c r="O3" s="3" t="n">
        <v>88086</v>
      </c>
      <c r="P3" s="3" t="n">
        <v>2283027</v>
      </c>
      <c r="Q3" s="3" t="n">
        <v>241666</v>
      </c>
      <c r="R3" s="3" t="n">
        <v>3267789</v>
      </c>
      <c r="S3" s="3" t="n">
        <v>667385</v>
      </c>
      <c r="T3" s="3" t="n">
        <v>79894612</v>
      </c>
      <c r="U3" s="3" t="n">
        <v>4150651</v>
      </c>
      <c r="V3" s="3" t="n">
        <v>3891865</v>
      </c>
      <c r="W3" s="3" t="n">
        <v>2453373</v>
      </c>
      <c r="X3" s="3" t="n">
        <v>4217852</v>
      </c>
      <c r="Y3" s="3" t="n">
        <v>5337752</v>
      </c>
      <c r="Z3" s="3" t="n">
        <v>15349991</v>
      </c>
      <c r="AA3" s="3" t="n">
        <v>145860</v>
      </c>
      <c r="AB3" s="3" t="n">
        <v>1345373</v>
      </c>
      <c r="AC3" s="3" t="n">
        <v>2608174</v>
      </c>
      <c r="AD3" s="4" t="n">
        <v>7188925</v>
      </c>
      <c r="AE3" s="4" t="n">
        <v>638000000</v>
      </c>
      <c r="AF3" s="3" t="n">
        <v>18325837</v>
      </c>
      <c r="AG3" s="3" t="n">
        <v>1116095</v>
      </c>
      <c r="AH3" s="3" t="n">
        <v>1632272</v>
      </c>
      <c r="AI3" s="3" t="n">
        <v>6013673</v>
      </c>
      <c r="AJ3" s="3" t="n">
        <v>5691700</v>
      </c>
      <c r="AK3" s="3" t="n">
        <v>16064904</v>
      </c>
      <c r="AL3" s="3" t="n">
        <v>2677358</v>
      </c>
      <c r="AM3" s="3" t="n">
        <v>281154</v>
      </c>
      <c r="AN3" s="3" t="n">
        <v>3627503</v>
      </c>
      <c r="AO3" s="3" t="n">
        <v>5244779</v>
      </c>
      <c r="AP3" s="3" t="n">
        <v>26284729</v>
      </c>
      <c r="AQ3" s="3" t="n">
        <v>2527558</v>
      </c>
      <c r="AR3" s="3" t="n">
        <v>193310</v>
      </c>
      <c r="AS3" s="3" t="n">
        <v>1419835</v>
      </c>
      <c r="AT3" s="3" t="n">
        <v>751313</v>
      </c>
      <c r="AU3" s="3" t="n">
        <v>21652031</v>
      </c>
      <c r="AV3" s="11" t="n">
        <v>2580316</v>
      </c>
      <c r="AW3" s="3" t="n">
        <v>29612932</v>
      </c>
      <c r="AX3" s="3" t="n">
        <v>414523</v>
      </c>
      <c r="AY3" s="3" t="n">
        <v>431750</v>
      </c>
      <c r="AZ3" s="3" t="n">
        <v>2335583</v>
      </c>
      <c r="BA3" s="3" t="n">
        <v>7016059</v>
      </c>
      <c r="BB3" s="3" t="n">
        <v>4995146</v>
      </c>
      <c r="BC3" s="3" t="n">
        <v>4157833</v>
      </c>
      <c r="BD3" s="3" t="n">
        <v>2848181</v>
      </c>
      <c r="BE3" s="3" t="n">
        <v>476755</v>
      </c>
      <c r="BF3" s="3" t="n">
        <v>383284</v>
      </c>
      <c r="BG3" s="3" t="n">
        <v>3258543</v>
      </c>
      <c r="BH3" s="4" t="n">
        <v>2271953</v>
      </c>
      <c r="BI3" s="4" t="n">
        <v>440000000</v>
      </c>
      <c r="BJ3" s="3" t="n">
        <v>94592354</v>
      </c>
      <c r="BK3" s="3" t="n">
        <v>25452789</v>
      </c>
      <c r="BL3" s="3" t="n">
        <v>2449583</v>
      </c>
      <c r="BM3" s="3" t="n">
        <v>28783197</v>
      </c>
      <c r="BN3" s="3" t="n">
        <v>1191513</v>
      </c>
      <c r="BO3" s="3" t="n">
        <v>8239319</v>
      </c>
      <c r="BP3" s="3" t="n">
        <v>10501485</v>
      </c>
      <c r="BQ3" s="3" t="n">
        <v>2100782</v>
      </c>
      <c r="BR3" s="3" t="n">
        <v>1962632</v>
      </c>
      <c r="BS3" s="3" t="n">
        <v>1358778</v>
      </c>
      <c r="BT3" s="3" t="n">
        <v>722180</v>
      </c>
      <c r="BU3" s="3" t="n">
        <v>923561</v>
      </c>
      <c r="BV3" s="3" t="n">
        <v>5367007</v>
      </c>
      <c r="BW3" s="3" t="n">
        <v>4341987</v>
      </c>
      <c r="BX3" s="3" t="n">
        <v>9659129</v>
      </c>
      <c r="BY3" s="3" t="n">
        <v>3684261</v>
      </c>
      <c r="BZ3" s="3" t="n">
        <v>947676</v>
      </c>
      <c r="CA3" s="3" t="n">
        <v>610199</v>
      </c>
      <c r="CB3" s="3" t="n">
        <v>43648121</v>
      </c>
      <c r="CC3" s="3" t="n">
        <v>1065270</v>
      </c>
      <c r="CD3" s="3" t="n">
        <v>12265757</v>
      </c>
      <c r="CE3" s="3" t="n">
        <v>5895072</v>
      </c>
      <c r="CF3" s="3" t="n">
        <v>21399237</v>
      </c>
      <c r="CG3" s="3" t="n">
        <v>684700</v>
      </c>
      <c r="CH3" s="3" t="n">
        <v>8874373</v>
      </c>
      <c r="CI3" s="3" t="n">
        <v>8195760</v>
      </c>
      <c r="CJ3" s="3" t="n">
        <v>1842453</v>
      </c>
      <c r="CK3" s="3" t="n">
        <v>1910684</v>
      </c>
      <c r="CL3" s="3" t="n">
        <v>3544888</v>
      </c>
      <c r="CM3" s="3" t="n">
        <v>44071532</v>
      </c>
      <c r="CN3" s="3" t="n">
        <v>49843497</v>
      </c>
      <c r="CO3" s="3" t="n">
        <v>1300242</v>
      </c>
      <c r="CP3" s="3" t="n">
        <v>2091883</v>
      </c>
      <c r="CQ3" s="3" t="n">
        <v>2049295</v>
      </c>
      <c r="CR3" s="3" t="n">
        <v>11083191</v>
      </c>
      <c r="CS3" s="3" t="n">
        <v>31399252</v>
      </c>
      <c r="CT3" s="3" t="n">
        <v>1826545</v>
      </c>
      <c r="CU3" s="3" t="n">
        <v>72482269</v>
      </c>
      <c r="CV3" s="3" t="n">
        <v>3030521</v>
      </c>
      <c r="CW3" s="3" t="n">
        <v>66883</v>
      </c>
      <c r="CX3" s="3" t="n">
        <v>46583</v>
      </c>
      <c r="CY3" s="3" t="n">
        <v>3326100</v>
      </c>
      <c r="CZ3" s="3" t="n">
        <v>1750988</v>
      </c>
      <c r="DA3" s="3" t="n">
        <v>2820100</v>
      </c>
      <c r="DB3" s="3" t="n">
        <v>18160245</v>
      </c>
      <c r="DC3" s="3" t="n">
        <v>2582555</v>
      </c>
      <c r="DD3" s="3" t="n">
        <v>19813510</v>
      </c>
      <c r="DE3" s="3" t="n">
        <v>9155532</v>
      </c>
      <c r="DF3" s="3" t="n">
        <v>9464924</v>
      </c>
      <c r="DG3" s="3" t="n">
        <v>215189</v>
      </c>
      <c r="DH3" s="3" t="n">
        <v>379369</v>
      </c>
      <c r="DI3" s="12" t="n">
        <v>4205876</v>
      </c>
      <c r="DJ3" s="3" t="n">
        <v>3542965</v>
      </c>
      <c r="DK3" s="3" t="n">
        <v>2393370</v>
      </c>
      <c r="DL3" s="3" t="n">
        <v>31736577</v>
      </c>
      <c r="DM3" s="3" t="n">
        <v>399478</v>
      </c>
      <c r="DN3" s="3" t="n">
        <v>1713444</v>
      </c>
      <c r="DO3" s="3" t="n">
        <v>638359</v>
      </c>
      <c r="DP3" s="3" t="n">
        <v>4048955</v>
      </c>
      <c r="DQ3" s="3" t="n">
        <v>7746467</v>
      </c>
      <c r="DR3" s="3" t="n">
        <v>24848566</v>
      </c>
      <c r="DS3" s="3" t="n">
        <v>28483687</v>
      </c>
      <c r="DT3" s="4" t="n">
        <v>11806181</v>
      </c>
      <c r="DU3" s="4" t="n">
        <v>134000000</v>
      </c>
      <c r="DV3" s="3" t="n">
        <v>1480999</v>
      </c>
      <c r="DW3" s="3" t="n">
        <v>9786320</v>
      </c>
      <c r="DX3" s="3" t="n">
        <v>10337908</v>
      </c>
      <c r="DY3" s="3" t="n">
        <v>32962290</v>
      </c>
      <c r="DZ3" s="3" t="n">
        <v>5084786</v>
      </c>
      <c r="EA3" s="3" t="n">
        <v>3653202</v>
      </c>
      <c r="EB3" s="3" t="n">
        <v>4867973</v>
      </c>
      <c r="EC3" s="3" t="n">
        <v>2427304391</v>
      </c>
      <c r="ED3" s="3"/>
    </row>
    <row r="4" customFormat="false" ht="15" hidden="false" customHeight="false" outlineLevel="0" collapsed="false">
      <c r="A4" s="141" t="n">
        <v>1992</v>
      </c>
      <c r="B4" s="3" t="n">
        <v>6079531</v>
      </c>
      <c r="C4" s="3" t="n">
        <v>12987398</v>
      </c>
      <c r="D4" s="3" t="n">
        <v>5143902</v>
      </c>
      <c r="E4" s="3" t="n">
        <v>16139084</v>
      </c>
      <c r="F4" s="3" t="n">
        <v>1699827</v>
      </c>
      <c r="G4" s="3" t="n">
        <v>9349214</v>
      </c>
      <c r="H4" s="3" t="n">
        <v>4023472</v>
      </c>
      <c r="I4" s="3" t="n">
        <v>3714493</v>
      </c>
      <c r="J4" s="3" t="n">
        <v>145702</v>
      </c>
      <c r="K4" s="3" t="n">
        <v>52667333</v>
      </c>
      <c r="L4" s="3" t="n">
        <v>146980</v>
      </c>
      <c r="M4" s="3" t="n">
        <v>4977314</v>
      </c>
      <c r="N4" s="3" t="n">
        <v>5027089</v>
      </c>
      <c r="O4" s="3" t="n">
        <v>89840</v>
      </c>
      <c r="P4" s="3" t="n">
        <v>2376987</v>
      </c>
      <c r="Q4" s="3" t="n">
        <v>237777</v>
      </c>
      <c r="R4" s="3" t="n">
        <v>3343588</v>
      </c>
      <c r="S4" s="3" t="n">
        <v>693945</v>
      </c>
      <c r="T4" s="3" t="n">
        <v>81793363</v>
      </c>
      <c r="U4" s="3" t="n">
        <v>4125371</v>
      </c>
      <c r="V4" s="3" t="n">
        <v>4006868</v>
      </c>
      <c r="W4" s="3" t="n">
        <v>2490912</v>
      </c>
      <c r="X4" s="3" t="n">
        <v>4305279</v>
      </c>
      <c r="Y4" s="3" t="n">
        <v>5499958</v>
      </c>
      <c r="Z4" s="3" t="n">
        <v>15493558</v>
      </c>
      <c r="AA4" s="3" t="n">
        <v>150674</v>
      </c>
      <c r="AB4" s="3" t="n">
        <v>1385034</v>
      </c>
      <c r="AC4" s="3" t="n">
        <v>2687660</v>
      </c>
      <c r="AD4" s="4" t="n">
        <v>7300051</v>
      </c>
      <c r="AE4" s="4" t="n">
        <v>647000000</v>
      </c>
      <c r="AF4" s="3" t="n">
        <v>18754224</v>
      </c>
      <c r="AG4" s="3" t="n">
        <v>1152688</v>
      </c>
      <c r="AH4" s="3" t="n">
        <v>1677351</v>
      </c>
      <c r="AI4" s="3" t="n">
        <v>6045269</v>
      </c>
      <c r="AJ4" s="3" t="n">
        <v>5911943</v>
      </c>
      <c r="AK4" s="3" t="n">
        <v>16655857</v>
      </c>
      <c r="AL4" s="3" t="n">
        <v>2676659</v>
      </c>
      <c r="AM4" s="3" t="n">
        <v>290006</v>
      </c>
      <c r="AN4" s="3" t="n">
        <v>3713234</v>
      </c>
      <c r="AO4" s="3" t="n">
        <v>5389167</v>
      </c>
      <c r="AP4" s="3" t="n">
        <v>27018417</v>
      </c>
      <c r="AQ4" s="3" t="n">
        <v>2576891</v>
      </c>
      <c r="AR4" s="3" t="n">
        <v>197577</v>
      </c>
      <c r="AS4" s="3" t="n">
        <v>1397994</v>
      </c>
      <c r="AT4" s="3" t="n">
        <v>737149</v>
      </c>
      <c r="AU4" s="3" t="n">
        <v>22391932</v>
      </c>
      <c r="AV4" s="11" t="n">
        <v>2590014</v>
      </c>
      <c r="AW4" s="3" t="n">
        <v>29816662</v>
      </c>
      <c r="AX4" s="3" t="n">
        <v>426989</v>
      </c>
      <c r="AY4" s="3" t="n">
        <v>442818</v>
      </c>
      <c r="AZ4" s="3" t="n">
        <v>2361224</v>
      </c>
      <c r="BA4" s="3" t="n">
        <v>7237922</v>
      </c>
      <c r="BB4" s="3" t="n">
        <v>5086729</v>
      </c>
      <c r="BC4" s="3" t="n">
        <v>4277832</v>
      </c>
      <c r="BD4" s="3" t="n">
        <v>3014022</v>
      </c>
      <c r="BE4" s="3" t="n">
        <v>487191</v>
      </c>
      <c r="BF4" s="3" t="n">
        <v>382589</v>
      </c>
      <c r="BG4" s="3" t="n">
        <v>3323219</v>
      </c>
      <c r="BH4" s="4" t="n">
        <v>2344669</v>
      </c>
      <c r="BI4" s="4" t="n">
        <v>450000000</v>
      </c>
      <c r="BJ4" s="3" t="n">
        <v>96981393</v>
      </c>
      <c r="BK4" s="3" t="n">
        <v>26121171</v>
      </c>
      <c r="BL4" s="3" t="n">
        <v>2553993</v>
      </c>
      <c r="BM4" s="3" t="n">
        <v>28833710</v>
      </c>
      <c r="BN4" s="3" t="n">
        <v>1206184</v>
      </c>
      <c r="BO4" s="3" t="n">
        <v>8293577</v>
      </c>
      <c r="BP4" s="3" t="n">
        <v>10985924</v>
      </c>
      <c r="BQ4" s="3" t="n">
        <v>2143289</v>
      </c>
      <c r="BR4" s="3" t="n">
        <v>2021076</v>
      </c>
      <c r="BS4" s="3" t="n">
        <v>1407269</v>
      </c>
      <c r="BT4" s="3" t="n">
        <v>745291</v>
      </c>
      <c r="BU4" s="3" t="n">
        <v>911094</v>
      </c>
      <c r="BV4" s="3" t="n">
        <v>5556166</v>
      </c>
      <c r="BW4" s="3" t="n">
        <v>4348526</v>
      </c>
      <c r="BX4" s="3" t="n">
        <v>9959060</v>
      </c>
      <c r="BY4" s="3" t="n">
        <v>3784250</v>
      </c>
      <c r="BZ4" s="3" t="n">
        <v>978235</v>
      </c>
      <c r="CA4" s="3" t="n">
        <v>618925</v>
      </c>
      <c r="CB4" s="3" t="n">
        <v>44961709</v>
      </c>
      <c r="CC4" s="3" t="n">
        <v>1089003</v>
      </c>
      <c r="CD4" s="3" t="n">
        <v>12589250</v>
      </c>
      <c r="CE4" s="3" t="n">
        <v>6194648</v>
      </c>
      <c r="CF4" s="3" t="n">
        <v>21890172</v>
      </c>
      <c r="CG4" s="3" t="n">
        <v>712714</v>
      </c>
      <c r="CH4" s="3" t="n">
        <v>9147411</v>
      </c>
      <c r="CI4" s="3" t="n">
        <v>8237917</v>
      </c>
      <c r="CJ4" s="3" t="n">
        <v>1860530</v>
      </c>
      <c r="CK4" s="3" t="n">
        <v>1971040</v>
      </c>
      <c r="CL4" s="3" t="n">
        <v>3662825</v>
      </c>
      <c r="CM4" s="3" t="n">
        <v>45311713</v>
      </c>
      <c r="CN4" s="3" t="n">
        <v>51163629</v>
      </c>
      <c r="CO4" s="3" t="n">
        <v>1335112</v>
      </c>
      <c r="CP4" s="3" t="n">
        <v>2156995</v>
      </c>
      <c r="CQ4" s="3" t="n">
        <v>2105610</v>
      </c>
      <c r="CR4" s="3" t="n">
        <v>11379492</v>
      </c>
      <c r="CS4" s="3" t="n">
        <v>32281477</v>
      </c>
      <c r="CT4" s="3" t="n">
        <v>1838536</v>
      </c>
      <c r="CU4" s="3" t="n">
        <v>73287348</v>
      </c>
      <c r="CV4" s="3" t="n">
        <v>2947619</v>
      </c>
      <c r="CW4" s="3" t="n">
        <v>68210</v>
      </c>
      <c r="CX4" s="3" t="n">
        <v>48489</v>
      </c>
      <c r="CY4" s="3" t="n">
        <v>3446408</v>
      </c>
      <c r="CZ4" s="3" t="n">
        <v>1743941</v>
      </c>
      <c r="DA4" s="3" t="n">
        <v>2801895</v>
      </c>
      <c r="DB4" s="3" t="n">
        <v>18700151</v>
      </c>
      <c r="DC4" s="3" t="n">
        <v>2529883</v>
      </c>
      <c r="DD4" s="3" t="n">
        <v>20052408</v>
      </c>
      <c r="DE4" s="3" t="n">
        <v>9290717</v>
      </c>
      <c r="DF4" s="3" t="n">
        <v>9941163</v>
      </c>
      <c r="DG4" s="3" t="n">
        <v>218379</v>
      </c>
      <c r="DH4" s="3" t="n">
        <v>388102</v>
      </c>
      <c r="DI4" s="12" t="n">
        <v>4204649</v>
      </c>
      <c r="DJ4" s="3" t="n">
        <v>3569214</v>
      </c>
      <c r="DK4" s="3" t="n">
        <v>2447816</v>
      </c>
      <c r="DL4" s="3" t="n">
        <v>32212615</v>
      </c>
      <c r="DM4" s="3" t="n">
        <v>407405</v>
      </c>
      <c r="DN4" s="3" t="n">
        <v>1759087</v>
      </c>
      <c r="DO4" s="3" t="n">
        <v>644910</v>
      </c>
      <c r="DP4" s="3" t="n">
        <v>4177127</v>
      </c>
      <c r="DQ4" s="3" t="n">
        <v>7977044</v>
      </c>
      <c r="DR4" s="3" t="n">
        <v>25092920</v>
      </c>
      <c r="DS4" s="3" t="n">
        <v>28497078</v>
      </c>
      <c r="DT4" s="4" t="n">
        <v>12226938</v>
      </c>
      <c r="DU4" s="4" t="n">
        <v>135000000</v>
      </c>
      <c r="DV4" s="3" t="n">
        <v>1498862</v>
      </c>
      <c r="DW4" s="3" t="n">
        <v>10076966</v>
      </c>
      <c r="DX4" s="3" t="n">
        <v>10614398</v>
      </c>
      <c r="DY4" s="3" t="n">
        <v>33823311</v>
      </c>
      <c r="DZ4" s="3" t="n">
        <v>5373819</v>
      </c>
      <c r="EA4" s="3" t="n">
        <v>3752323</v>
      </c>
      <c r="EB4" s="3" t="n">
        <v>5006778</v>
      </c>
      <c r="EC4" s="3" t="n">
        <v>2474627331</v>
      </c>
      <c r="ED4" s="3"/>
    </row>
    <row r="5" customFormat="false" ht="15" hidden="false" customHeight="false" outlineLevel="0" collapsed="false">
      <c r="A5" s="141" t="n">
        <v>1993</v>
      </c>
      <c r="B5" s="3" t="n">
        <v>6293748</v>
      </c>
      <c r="C5" s="3" t="n">
        <v>13466880</v>
      </c>
      <c r="D5" s="3" t="n">
        <v>5328398</v>
      </c>
      <c r="E5" s="3" t="n">
        <v>16475491</v>
      </c>
      <c r="F5" s="3" t="n">
        <v>1663663</v>
      </c>
      <c r="G5" s="3" t="n">
        <v>9412095</v>
      </c>
      <c r="H5" s="3" t="n">
        <v>4032869</v>
      </c>
      <c r="I5" s="3" t="n">
        <v>3785486</v>
      </c>
      <c r="J5" s="3" t="n">
        <v>147935</v>
      </c>
      <c r="K5" s="3" t="n">
        <v>54258092</v>
      </c>
      <c r="L5" s="3" t="n">
        <v>147431</v>
      </c>
      <c r="M5" s="3" t="n">
        <v>5038438</v>
      </c>
      <c r="N5" s="3" t="n">
        <v>5049815</v>
      </c>
      <c r="O5" s="3" t="n">
        <v>91634</v>
      </c>
      <c r="P5" s="3" t="n">
        <v>2476273</v>
      </c>
      <c r="Q5" s="3" t="n">
        <v>233371</v>
      </c>
      <c r="R5" s="3" t="n">
        <v>3422508</v>
      </c>
      <c r="S5" s="3" t="n">
        <v>721489</v>
      </c>
      <c r="T5" s="3" t="n">
        <v>83727176</v>
      </c>
      <c r="U5" s="3" t="n">
        <v>4115603</v>
      </c>
      <c r="V5" s="3" t="n">
        <v>4130755</v>
      </c>
      <c r="W5" s="3" t="n">
        <v>2532639</v>
      </c>
      <c r="X5" s="3" t="n">
        <v>4387276</v>
      </c>
      <c r="Y5" s="3" t="n">
        <v>5671637</v>
      </c>
      <c r="Z5" s="3" t="n">
        <v>15609574</v>
      </c>
      <c r="AA5" s="3" t="n">
        <v>156192</v>
      </c>
      <c r="AB5" s="3" t="n">
        <v>1428348</v>
      </c>
      <c r="AC5" s="3" t="n">
        <v>2772994</v>
      </c>
      <c r="AD5" s="4" t="n">
        <v>7409722</v>
      </c>
      <c r="AE5" s="4" t="n">
        <v>657000000</v>
      </c>
      <c r="AF5" s="3" t="n">
        <v>19184275</v>
      </c>
      <c r="AG5" s="3" t="n">
        <v>1190977</v>
      </c>
      <c r="AH5" s="3" t="n">
        <v>1725072</v>
      </c>
      <c r="AI5" s="3" t="n">
        <v>6061592</v>
      </c>
      <c r="AJ5" s="3" t="n">
        <v>6142371</v>
      </c>
      <c r="AK5" s="3" t="n">
        <v>17276878</v>
      </c>
      <c r="AL5" s="3" t="n">
        <v>2671526</v>
      </c>
      <c r="AM5" s="3" t="n">
        <v>298291</v>
      </c>
      <c r="AN5" s="3" t="n">
        <v>3798057</v>
      </c>
      <c r="AO5" s="3" t="n">
        <v>5535057</v>
      </c>
      <c r="AP5" s="3" t="n">
        <v>27811624</v>
      </c>
      <c r="AQ5" s="3" t="n">
        <v>2623610</v>
      </c>
      <c r="AR5" s="3" t="n">
        <v>202237</v>
      </c>
      <c r="AS5" s="3" t="n">
        <v>1374154</v>
      </c>
      <c r="AT5" s="3" t="n">
        <v>719494</v>
      </c>
      <c r="AU5" s="3" t="n">
        <v>23173738</v>
      </c>
      <c r="AV5" s="11" t="n">
        <v>2596492</v>
      </c>
      <c r="AW5" s="3" t="n">
        <v>29968472</v>
      </c>
      <c r="AX5" s="3" t="n">
        <v>440204</v>
      </c>
      <c r="AY5" s="3" t="n">
        <v>454351</v>
      </c>
      <c r="AZ5" s="3" t="n">
        <v>2393123</v>
      </c>
      <c r="BA5" s="3" t="n">
        <v>7466885</v>
      </c>
      <c r="BB5" s="3" t="n">
        <v>5174048</v>
      </c>
      <c r="BC5" s="3" t="n">
        <v>4400656</v>
      </c>
      <c r="BD5" s="3" t="n">
        <v>3190412</v>
      </c>
      <c r="BE5" s="3" t="n">
        <v>498226</v>
      </c>
      <c r="BF5" s="3" t="n">
        <v>383222</v>
      </c>
      <c r="BG5" s="3" t="n">
        <v>3391544</v>
      </c>
      <c r="BH5" s="4" t="n">
        <v>2418773</v>
      </c>
      <c r="BI5" s="4" t="n">
        <v>461000000</v>
      </c>
      <c r="BJ5" s="3" t="n">
        <v>99381516</v>
      </c>
      <c r="BK5" s="3" t="n">
        <v>26800026</v>
      </c>
      <c r="BL5" s="3" t="n">
        <v>2640813</v>
      </c>
      <c r="BM5" s="3" t="n">
        <v>28864834</v>
      </c>
      <c r="BN5" s="3" t="n">
        <v>1219402</v>
      </c>
      <c r="BO5" s="3" t="n">
        <v>8330100</v>
      </c>
      <c r="BP5" s="3" t="n">
        <v>11495020</v>
      </c>
      <c r="BQ5" s="3" t="n">
        <v>2168002</v>
      </c>
      <c r="BR5" s="3" t="n">
        <v>2081113</v>
      </c>
      <c r="BS5" s="3" t="n">
        <v>1460022</v>
      </c>
      <c r="BT5" s="3" t="n">
        <v>768816</v>
      </c>
      <c r="BU5" s="3" t="n">
        <v>906652</v>
      </c>
      <c r="BV5" s="3" t="n">
        <v>5762813</v>
      </c>
      <c r="BW5" s="3" t="n">
        <v>4334521</v>
      </c>
      <c r="BX5" s="3" t="n">
        <v>10258024</v>
      </c>
      <c r="BY5" s="3" t="n">
        <v>3897306</v>
      </c>
      <c r="BZ5" s="3" t="n">
        <v>1010635</v>
      </c>
      <c r="CA5" s="3" t="n">
        <v>625587</v>
      </c>
      <c r="CB5" s="3" t="n">
        <v>46247447</v>
      </c>
      <c r="CC5" s="3" t="n">
        <v>1112498</v>
      </c>
      <c r="CD5" s="3" t="n">
        <v>12911556</v>
      </c>
      <c r="CE5" s="3" t="n">
        <v>6519904</v>
      </c>
      <c r="CF5" s="3" t="n">
        <v>22376373</v>
      </c>
      <c r="CG5" s="3" t="n">
        <v>740343</v>
      </c>
      <c r="CH5" s="3" t="n">
        <v>9440793</v>
      </c>
      <c r="CI5" s="3" t="n">
        <v>8262816</v>
      </c>
      <c r="CJ5" s="3" t="n">
        <v>1878706</v>
      </c>
      <c r="CK5" s="3" t="n">
        <v>2033660</v>
      </c>
      <c r="CL5" s="3" t="n">
        <v>3793301</v>
      </c>
      <c r="CM5" s="3" t="n">
        <v>46627300</v>
      </c>
      <c r="CN5" s="3" t="n">
        <v>52564983</v>
      </c>
      <c r="CO5" s="3" t="n">
        <v>1370238</v>
      </c>
      <c r="CP5" s="3" t="n">
        <v>2221864</v>
      </c>
      <c r="CQ5" s="3" t="n">
        <v>2163665</v>
      </c>
      <c r="CR5" s="3" t="n">
        <v>11685191</v>
      </c>
      <c r="CS5" s="3" t="n">
        <v>33188010</v>
      </c>
      <c r="CT5" s="3" t="n">
        <v>1852373</v>
      </c>
      <c r="CU5" s="3" t="n">
        <v>74286660</v>
      </c>
      <c r="CV5" s="3" t="n">
        <v>2865009</v>
      </c>
      <c r="CW5" s="3" t="n">
        <v>69370</v>
      </c>
      <c r="CX5" s="3" t="n">
        <v>50651</v>
      </c>
      <c r="CY5" s="3" t="n">
        <v>3573490</v>
      </c>
      <c r="CZ5" s="3" t="n">
        <v>1733149</v>
      </c>
      <c r="DA5" s="3" t="n">
        <v>2788343</v>
      </c>
      <c r="DB5" s="3" t="n">
        <v>19259248</v>
      </c>
      <c r="DC5" s="3" t="n">
        <v>2481363</v>
      </c>
      <c r="DD5" s="3" t="n">
        <v>20277008</v>
      </c>
      <c r="DE5" s="3" t="n">
        <v>9456683</v>
      </c>
      <c r="DF5" s="3" t="n">
        <v>10441028</v>
      </c>
      <c r="DG5" s="3" t="n">
        <v>221185</v>
      </c>
      <c r="DH5" s="3" t="n">
        <v>396745</v>
      </c>
      <c r="DI5" s="12" t="n">
        <v>4197053</v>
      </c>
      <c r="DJ5" s="3" t="n">
        <v>3584369</v>
      </c>
      <c r="DK5" s="3" t="n">
        <v>2505100</v>
      </c>
      <c r="DL5" s="3" t="n">
        <v>32644235</v>
      </c>
      <c r="DM5" s="3" t="n">
        <v>412976</v>
      </c>
      <c r="DN5" s="3" t="n">
        <v>1807170</v>
      </c>
      <c r="DO5" s="3" t="n">
        <v>650736</v>
      </c>
      <c r="DP5" s="3" t="n">
        <v>4269596</v>
      </c>
      <c r="DQ5" s="3" t="n">
        <v>8216235</v>
      </c>
      <c r="DR5" s="3" t="n">
        <v>25351399</v>
      </c>
      <c r="DS5" s="3" t="n">
        <v>28472119</v>
      </c>
      <c r="DT5" s="4" t="n">
        <v>12670716</v>
      </c>
      <c r="DU5" s="4" t="n">
        <v>137000000</v>
      </c>
      <c r="DV5" s="3" t="n">
        <v>1517815</v>
      </c>
      <c r="DW5" s="3" t="n">
        <v>10394277</v>
      </c>
      <c r="DX5" s="3" t="n">
        <v>10901233</v>
      </c>
      <c r="DY5" s="3" t="n">
        <v>34696719</v>
      </c>
      <c r="DZ5" s="3" t="n">
        <v>5679058</v>
      </c>
      <c r="EA5" s="3" t="n">
        <v>3859949</v>
      </c>
      <c r="EB5" s="3" t="n">
        <v>5145397</v>
      </c>
      <c r="EC5" s="3" t="n">
        <v>2525425200</v>
      </c>
      <c r="ED5" s="3"/>
    </row>
    <row r="6" customFormat="false" ht="15" hidden="false" customHeight="false" outlineLevel="0" collapsed="false">
      <c r="A6" s="141" t="n">
        <v>1994</v>
      </c>
      <c r="B6" s="3" t="n">
        <v>6994497</v>
      </c>
      <c r="C6" s="3" t="n">
        <v>13961626</v>
      </c>
      <c r="D6" s="3" t="n">
        <v>5521194</v>
      </c>
      <c r="E6" s="3" t="n">
        <v>16801912</v>
      </c>
      <c r="F6" s="3" t="n">
        <v>1629094</v>
      </c>
      <c r="G6" s="3" t="n">
        <v>9475485</v>
      </c>
      <c r="H6" s="3" t="n">
        <v>4030011</v>
      </c>
      <c r="I6" s="3" t="n">
        <v>3860474</v>
      </c>
      <c r="J6" s="3" t="n">
        <v>150192</v>
      </c>
      <c r="K6" s="3" t="n">
        <v>55909950</v>
      </c>
      <c r="L6" s="3" t="n">
        <v>147673</v>
      </c>
      <c r="M6" s="3" t="n">
        <v>5086289</v>
      </c>
      <c r="N6" s="3" t="n">
        <v>5062143</v>
      </c>
      <c r="O6" s="3" t="n">
        <v>93850</v>
      </c>
      <c r="P6" s="3" t="n">
        <v>2577831</v>
      </c>
      <c r="Q6" s="3" t="n">
        <v>229979</v>
      </c>
      <c r="R6" s="3" t="n">
        <v>3505319</v>
      </c>
      <c r="S6" s="3" t="n">
        <v>749801</v>
      </c>
      <c r="T6" s="3" t="n">
        <v>85701807</v>
      </c>
      <c r="U6" s="3" t="n">
        <v>4120308</v>
      </c>
      <c r="V6" s="3" t="n">
        <v>4263734</v>
      </c>
      <c r="W6" s="3" t="n">
        <v>2578120</v>
      </c>
      <c r="X6" s="3" t="n">
        <v>4496895</v>
      </c>
      <c r="Y6" s="3" t="n">
        <v>5854079</v>
      </c>
      <c r="Z6" s="3" t="n">
        <v>15701045</v>
      </c>
      <c r="AA6" s="3" t="n">
        <v>162271</v>
      </c>
      <c r="AB6" s="3" t="n">
        <v>1473799</v>
      </c>
      <c r="AC6" s="3" t="n">
        <v>2865349</v>
      </c>
      <c r="AD6" s="4" t="n">
        <v>7516267</v>
      </c>
      <c r="AE6" s="4" t="n">
        <v>665000000</v>
      </c>
      <c r="AF6" s="3" t="n">
        <v>19616823</v>
      </c>
      <c r="AG6" s="3" t="n">
        <v>1230645</v>
      </c>
      <c r="AH6" s="3" t="n">
        <v>1774407</v>
      </c>
      <c r="AI6" s="3" t="n">
        <v>6068845</v>
      </c>
      <c r="AJ6" s="3" t="n">
        <v>6377590</v>
      </c>
      <c r="AK6" s="3" t="n">
        <v>17894825</v>
      </c>
      <c r="AL6" s="3" t="n">
        <v>2661507</v>
      </c>
      <c r="AM6" s="3" t="n">
        <v>305833</v>
      </c>
      <c r="AN6" s="3" t="n">
        <v>3883114</v>
      </c>
      <c r="AO6" s="3" t="n">
        <v>5682270</v>
      </c>
      <c r="AP6" s="3" t="n">
        <v>28619039</v>
      </c>
      <c r="AQ6" s="3" t="n">
        <v>2666101</v>
      </c>
      <c r="AR6" s="3" t="n">
        <v>207405</v>
      </c>
      <c r="AS6" s="3" t="n">
        <v>1354992</v>
      </c>
      <c r="AT6" s="3" t="n">
        <v>705457</v>
      </c>
      <c r="AU6" s="3" t="n">
        <v>23984994</v>
      </c>
      <c r="AV6" s="11" t="n">
        <v>2597822</v>
      </c>
      <c r="AW6" s="3" t="n">
        <v>30054703</v>
      </c>
      <c r="AX6" s="3" t="n">
        <v>454240</v>
      </c>
      <c r="AY6" s="3" t="n">
        <v>467128</v>
      </c>
      <c r="AZ6" s="3" t="n">
        <v>2383455</v>
      </c>
      <c r="BA6" s="3" t="n">
        <v>7698403</v>
      </c>
      <c r="BB6" s="3" t="n">
        <v>5253379</v>
      </c>
      <c r="BC6" s="3" t="n">
        <v>4529676</v>
      </c>
      <c r="BD6" s="3" t="n">
        <v>3361028</v>
      </c>
      <c r="BE6" s="3" t="n">
        <v>510458</v>
      </c>
      <c r="BF6" s="3" t="n">
        <v>383775</v>
      </c>
      <c r="BG6" s="3" t="n">
        <v>3469182</v>
      </c>
      <c r="BH6" s="4" t="n">
        <v>2494376</v>
      </c>
      <c r="BI6" s="4" t="n">
        <v>472000000</v>
      </c>
      <c r="BJ6" s="4" t="n">
        <v>102000000</v>
      </c>
      <c r="BK6" s="3" t="n">
        <v>27564242</v>
      </c>
      <c r="BL6" s="3" t="n">
        <v>2723658</v>
      </c>
      <c r="BM6" s="3" t="n">
        <v>28843234</v>
      </c>
      <c r="BN6" s="3" t="n">
        <v>1233156</v>
      </c>
      <c r="BO6" s="3" t="n">
        <v>8301411</v>
      </c>
      <c r="BP6" s="3" t="n">
        <v>12011670</v>
      </c>
      <c r="BQ6" s="3" t="n">
        <v>2193160</v>
      </c>
      <c r="BR6" s="3" t="n">
        <v>2142271</v>
      </c>
      <c r="BS6" s="3" t="n">
        <v>1511229</v>
      </c>
      <c r="BT6" s="3" t="n">
        <v>791639</v>
      </c>
      <c r="BU6" s="3" t="n">
        <v>917489</v>
      </c>
      <c r="BV6" s="3" t="n">
        <v>5971147</v>
      </c>
      <c r="BW6" s="3" t="n">
        <v>4325424</v>
      </c>
      <c r="BX6" s="3" t="n">
        <v>10561778</v>
      </c>
      <c r="BY6" s="3" t="n">
        <v>4020880</v>
      </c>
      <c r="BZ6" s="3" t="n">
        <v>1044655</v>
      </c>
      <c r="CA6" s="3" t="n">
        <v>633526</v>
      </c>
      <c r="CB6" s="3" t="n">
        <v>47506066</v>
      </c>
      <c r="CC6" s="3" t="n">
        <v>1135820</v>
      </c>
      <c r="CD6" s="3" t="n">
        <v>13250635</v>
      </c>
      <c r="CE6" s="3" t="n">
        <v>6842745</v>
      </c>
      <c r="CF6" s="3" t="n">
        <v>22886892</v>
      </c>
      <c r="CG6" s="3" t="n">
        <v>768403</v>
      </c>
      <c r="CH6" s="3" t="n">
        <v>9745757</v>
      </c>
      <c r="CI6" s="3" t="n">
        <v>8265573</v>
      </c>
      <c r="CJ6" s="3" t="n">
        <v>1898881</v>
      </c>
      <c r="CK6" s="3" t="n">
        <v>2099242</v>
      </c>
      <c r="CL6" s="3" t="n">
        <v>3931278</v>
      </c>
      <c r="CM6" s="3" t="n">
        <v>48015916</v>
      </c>
      <c r="CN6" s="3" t="n">
        <v>54035728</v>
      </c>
      <c r="CO6" s="3" t="n">
        <v>1405161</v>
      </c>
      <c r="CP6" s="3" t="n">
        <v>2288458</v>
      </c>
      <c r="CQ6" s="3" t="n">
        <v>2223691</v>
      </c>
      <c r="CR6" s="3" t="n">
        <v>11985897</v>
      </c>
      <c r="CS6" s="3" t="n">
        <v>34108442</v>
      </c>
      <c r="CT6" s="3" t="n">
        <v>1865982</v>
      </c>
      <c r="CU6" s="3" t="n">
        <v>75263219</v>
      </c>
      <c r="CV6" s="3" t="n">
        <v>2830471</v>
      </c>
      <c r="CW6" s="3" t="n">
        <v>70487</v>
      </c>
      <c r="CX6" s="3" t="n">
        <v>52734</v>
      </c>
      <c r="CY6" s="3" t="n">
        <v>3704438</v>
      </c>
      <c r="CZ6" s="3" t="n">
        <v>1725365</v>
      </c>
      <c r="DA6" s="3" t="n">
        <v>2789767</v>
      </c>
      <c r="DB6" s="3" t="n">
        <v>19832335</v>
      </c>
      <c r="DC6" s="3" t="n">
        <v>2454345</v>
      </c>
      <c r="DD6" s="3" t="n">
        <v>20466965</v>
      </c>
      <c r="DE6" s="3" t="n">
        <v>9638578</v>
      </c>
      <c r="DF6" s="3" t="n">
        <v>10933465</v>
      </c>
      <c r="DG6" s="3" t="n">
        <v>224159</v>
      </c>
      <c r="DH6" s="3" t="n">
        <v>406055</v>
      </c>
      <c r="DI6" s="12" t="n">
        <v>4191880</v>
      </c>
      <c r="DJ6" s="3" t="n">
        <v>3594844</v>
      </c>
      <c r="DK6" s="3" t="n">
        <v>2562956</v>
      </c>
      <c r="DL6" s="3" t="n">
        <v>33064566</v>
      </c>
      <c r="DM6" s="3" t="n">
        <v>416355</v>
      </c>
      <c r="DN6" s="3" t="n">
        <v>1858300</v>
      </c>
      <c r="DO6" s="3" t="n">
        <v>657303</v>
      </c>
      <c r="DP6" s="3" t="n">
        <v>4433134</v>
      </c>
      <c r="DQ6" s="3" t="n">
        <v>8467291</v>
      </c>
      <c r="DR6" s="3" t="n">
        <v>25493399</v>
      </c>
      <c r="DS6" s="3" t="n">
        <v>28426464</v>
      </c>
      <c r="DT6" s="4" t="n">
        <v>13122026</v>
      </c>
      <c r="DU6" s="4" t="n">
        <v>138000000</v>
      </c>
      <c r="DV6" s="3" t="n">
        <v>1535896</v>
      </c>
      <c r="DW6" s="3" t="n">
        <v>10699760</v>
      </c>
      <c r="DX6" s="3" t="n">
        <v>11189147</v>
      </c>
      <c r="DY6" s="3" t="n">
        <v>35618289</v>
      </c>
      <c r="DZ6" s="3" t="n">
        <v>5985372</v>
      </c>
      <c r="EA6" s="3" t="n">
        <v>3973357</v>
      </c>
      <c r="EB6" s="3" t="n">
        <v>5289150</v>
      </c>
      <c r="EC6" s="3" t="n">
        <v>2574235474</v>
      </c>
      <c r="ED6" s="3"/>
    </row>
    <row r="7" customFormat="false" ht="15" hidden="false" customHeight="false" outlineLevel="0" collapsed="false">
      <c r="A7" s="141" t="n">
        <v>1995</v>
      </c>
      <c r="B7" s="3" t="n">
        <v>7388879</v>
      </c>
      <c r="C7" s="3" t="n">
        <v>14470649</v>
      </c>
      <c r="D7" s="3" t="n">
        <v>5717238</v>
      </c>
      <c r="E7" s="3" t="n">
        <v>17102218</v>
      </c>
      <c r="F7" s="3" t="n">
        <v>1599641</v>
      </c>
      <c r="G7" s="3" t="n">
        <v>9549801</v>
      </c>
      <c r="H7" s="3" t="n">
        <v>4029457</v>
      </c>
      <c r="I7" s="3" t="n">
        <v>3939153</v>
      </c>
      <c r="J7" s="3" t="n">
        <v>152650</v>
      </c>
      <c r="K7" s="3" t="n">
        <v>57628053</v>
      </c>
      <c r="L7" s="3" t="n">
        <v>147760</v>
      </c>
      <c r="M7" s="3" t="n">
        <v>5120976</v>
      </c>
      <c r="N7" s="3" t="n">
        <v>5061657</v>
      </c>
      <c r="O7" s="3" t="n">
        <v>96666</v>
      </c>
      <c r="P7" s="3" t="n">
        <v>2679643</v>
      </c>
      <c r="Q7" s="3" t="n">
        <v>228764</v>
      </c>
      <c r="R7" s="3" t="n">
        <v>3592346</v>
      </c>
      <c r="S7" s="3" t="n">
        <v>778571</v>
      </c>
      <c r="T7" s="3" t="n">
        <v>87706100</v>
      </c>
      <c r="U7" s="3" t="n">
        <v>4111375</v>
      </c>
      <c r="V7" s="3" t="n">
        <v>4405817</v>
      </c>
      <c r="W7" s="3" t="n">
        <v>2627629</v>
      </c>
      <c r="X7" s="3" t="n">
        <v>4650855</v>
      </c>
      <c r="Y7" s="3" t="n">
        <v>6048050</v>
      </c>
      <c r="Z7" s="3" t="n">
        <v>15768035</v>
      </c>
      <c r="AA7" s="3" t="n">
        <v>168771</v>
      </c>
      <c r="AB7" s="3" t="n">
        <v>1520257</v>
      </c>
      <c r="AC7" s="3" t="n">
        <v>2965437</v>
      </c>
      <c r="AD7" s="4" t="n">
        <v>7619617</v>
      </c>
      <c r="AE7" s="4" t="n">
        <v>673000000</v>
      </c>
      <c r="AF7" s="3" t="n">
        <v>20051191</v>
      </c>
      <c r="AG7" s="3" t="n">
        <v>1271446</v>
      </c>
      <c r="AH7" s="3" t="n">
        <v>1824544</v>
      </c>
      <c r="AI7" s="3" t="n">
        <v>6072381</v>
      </c>
      <c r="AJ7" s="3" t="n">
        <v>6613143</v>
      </c>
      <c r="AK7" s="3" t="n">
        <v>18493842</v>
      </c>
      <c r="AL7" s="3" t="n">
        <v>2651795</v>
      </c>
      <c r="AM7" s="3" t="n">
        <v>312823</v>
      </c>
      <c r="AN7" s="3" t="n">
        <v>3968923</v>
      </c>
      <c r="AO7" s="3" t="n">
        <v>5830700</v>
      </c>
      <c r="AP7" s="3" t="n">
        <v>29417605</v>
      </c>
      <c r="AQ7" s="3" t="n">
        <v>2703628</v>
      </c>
      <c r="AR7" s="3" t="n">
        <v>213199</v>
      </c>
      <c r="AS7" s="3" t="n">
        <v>1345636</v>
      </c>
      <c r="AT7" s="3" t="n">
        <v>693312</v>
      </c>
      <c r="AU7" s="3" t="n">
        <v>24821363</v>
      </c>
      <c r="AV7" s="11" t="n">
        <v>2592561</v>
      </c>
      <c r="AW7" s="3" t="n">
        <v>30080026</v>
      </c>
      <c r="AX7" s="3" t="n">
        <v>469149</v>
      </c>
      <c r="AY7" s="3" t="n">
        <v>481540</v>
      </c>
      <c r="AZ7" s="3" t="n">
        <v>2332998</v>
      </c>
      <c r="BA7" s="3" t="n">
        <v>7930145</v>
      </c>
      <c r="BB7" s="3" t="n">
        <v>5321886</v>
      </c>
      <c r="BC7" s="3" t="n">
        <v>4665748</v>
      </c>
      <c r="BD7" s="3" t="n">
        <v>3516490</v>
      </c>
      <c r="BE7" s="3" t="n">
        <v>524186</v>
      </c>
      <c r="BF7" s="3" t="n">
        <v>383542</v>
      </c>
      <c r="BG7" s="3" t="n">
        <v>3558640</v>
      </c>
      <c r="BH7" s="4" t="n">
        <v>2571464</v>
      </c>
      <c r="BI7" s="4" t="n">
        <v>484000000</v>
      </c>
      <c r="BJ7" s="4" t="n">
        <v>104000000</v>
      </c>
      <c r="BK7" s="3" t="n">
        <v>28465259</v>
      </c>
      <c r="BL7" s="3" t="n">
        <v>2803827</v>
      </c>
      <c r="BM7" s="3" t="n">
        <v>28762342</v>
      </c>
      <c r="BN7" s="3" t="n">
        <v>1248282</v>
      </c>
      <c r="BO7" s="3" t="n">
        <v>8230988</v>
      </c>
      <c r="BP7" s="3" t="n">
        <v>12524792</v>
      </c>
      <c r="BQ7" s="3" t="n">
        <v>2240619</v>
      </c>
      <c r="BR7" s="3" t="n">
        <v>2204525</v>
      </c>
      <c r="BS7" s="3" t="n">
        <v>1557451</v>
      </c>
      <c r="BT7" s="3" t="n">
        <v>813007</v>
      </c>
      <c r="BU7" s="3" t="n">
        <v>947004</v>
      </c>
      <c r="BV7" s="3" t="n">
        <v>6173281</v>
      </c>
      <c r="BW7" s="3" t="n">
        <v>4339291</v>
      </c>
      <c r="BX7" s="3" t="n">
        <v>10873858</v>
      </c>
      <c r="BY7" s="3" t="n">
        <v>4153033</v>
      </c>
      <c r="BZ7" s="3" t="n">
        <v>1080183</v>
      </c>
      <c r="CA7" s="3" t="n">
        <v>638643</v>
      </c>
      <c r="CB7" s="3" t="n">
        <v>48737045</v>
      </c>
      <c r="CC7" s="3" t="n">
        <v>1159853</v>
      </c>
      <c r="CD7" s="3" t="n">
        <v>13613341</v>
      </c>
      <c r="CE7" s="3" t="n">
        <v>7144256</v>
      </c>
      <c r="CF7" s="3" t="n">
        <v>23434478</v>
      </c>
      <c r="CG7" s="3" t="n">
        <v>797505</v>
      </c>
      <c r="CH7" s="3" t="n">
        <v>10054537</v>
      </c>
      <c r="CI7" s="3" t="n">
        <v>8244920</v>
      </c>
      <c r="CJ7" s="3" t="n">
        <v>1920016</v>
      </c>
      <c r="CK7" s="3" t="n">
        <v>2167932</v>
      </c>
      <c r="CL7" s="3" t="n">
        <v>4074397</v>
      </c>
      <c r="CM7" s="3" t="n">
        <v>49473747</v>
      </c>
      <c r="CN7" s="3" t="n">
        <v>55579907</v>
      </c>
      <c r="CO7" s="3" t="n">
        <v>1439604</v>
      </c>
      <c r="CP7" s="3" t="n">
        <v>2357595</v>
      </c>
      <c r="CQ7" s="3" t="n">
        <v>2285705</v>
      </c>
      <c r="CR7" s="3" t="n">
        <v>12273598</v>
      </c>
      <c r="CS7" s="3" t="n">
        <v>35037540</v>
      </c>
      <c r="CT7" s="3" t="n">
        <v>1877025</v>
      </c>
      <c r="CU7" s="3" t="n">
        <v>76154335</v>
      </c>
      <c r="CV7" s="3" t="n">
        <v>2873410</v>
      </c>
      <c r="CW7" s="3" t="n">
        <v>71658</v>
      </c>
      <c r="CX7" s="3" t="n">
        <v>54588</v>
      </c>
      <c r="CY7" s="3" t="n">
        <v>3837759</v>
      </c>
      <c r="CZ7" s="3" t="n">
        <v>1725062</v>
      </c>
      <c r="DA7" s="3" t="n">
        <v>2811399</v>
      </c>
      <c r="DB7" s="3" t="n">
        <v>20413196</v>
      </c>
      <c r="DC7" s="3" t="n">
        <v>2458571</v>
      </c>
      <c r="DD7" s="3" t="n">
        <v>20614798</v>
      </c>
      <c r="DE7" s="3" t="n">
        <v>9824471</v>
      </c>
      <c r="DF7" s="3" t="n">
        <v>11399563</v>
      </c>
      <c r="DG7" s="3" t="n">
        <v>227634</v>
      </c>
      <c r="DH7" s="3" t="n">
        <v>416589</v>
      </c>
      <c r="DI7" s="12" t="n">
        <v>4179229</v>
      </c>
      <c r="DJ7" s="3" t="n">
        <v>3602623</v>
      </c>
      <c r="DK7" s="3" t="n">
        <v>2621082</v>
      </c>
      <c r="DL7" s="3" t="n">
        <v>33496465</v>
      </c>
      <c r="DM7" s="3" t="n">
        <v>417508</v>
      </c>
      <c r="DN7" s="3" t="n">
        <v>1913050</v>
      </c>
      <c r="DO7" s="3" t="n">
        <v>665224</v>
      </c>
      <c r="DP7" s="3" t="n">
        <v>4580010</v>
      </c>
      <c r="DQ7" s="3" t="n">
        <v>8732822</v>
      </c>
      <c r="DR7" s="3" t="n">
        <v>25550985</v>
      </c>
      <c r="DS7" s="3" t="n">
        <v>28364613</v>
      </c>
      <c r="DT7" s="4" t="n">
        <v>13572367</v>
      </c>
      <c r="DU7" s="4" t="n">
        <v>140000000</v>
      </c>
      <c r="DV7" s="3" t="n">
        <v>1552066</v>
      </c>
      <c r="DW7" s="3" t="n">
        <v>11002603</v>
      </c>
      <c r="DX7" s="3" t="n">
        <v>11473868</v>
      </c>
      <c r="DY7" s="3" t="n">
        <v>36614889</v>
      </c>
      <c r="DZ7" s="3" t="n">
        <v>6282024</v>
      </c>
      <c r="EA7" s="3" t="n">
        <v>4091567</v>
      </c>
      <c r="EB7" s="3" t="n">
        <v>5440590</v>
      </c>
      <c r="EC7" s="3" t="n">
        <v>2624355975</v>
      </c>
      <c r="ED7" s="3"/>
    </row>
    <row r="8" customFormat="false" ht="15" hidden="false" customHeight="false" outlineLevel="0" collapsed="false">
      <c r="A8" s="141" t="n">
        <v>1996</v>
      </c>
      <c r="B8" s="3" t="n">
        <v>7666595</v>
      </c>
      <c r="C8" s="3" t="n">
        <v>14956401</v>
      </c>
      <c r="D8" s="3" t="n">
        <v>5881347</v>
      </c>
      <c r="E8" s="3" t="n">
        <v>17373101</v>
      </c>
      <c r="F8" s="3" t="n">
        <v>1592071</v>
      </c>
      <c r="G8" s="3" t="n">
        <v>9621446</v>
      </c>
      <c r="H8" s="3" t="n">
        <v>4016692</v>
      </c>
      <c r="I8" s="3" t="n">
        <v>4022258</v>
      </c>
      <c r="J8" s="3" t="n">
        <v>154444</v>
      </c>
      <c r="K8" s="3" t="n">
        <v>59371481</v>
      </c>
      <c r="L8" s="3" t="n">
        <v>147536</v>
      </c>
      <c r="M8" s="3" t="n">
        <v>5160218</v>
      </c>
      <c r="N8" s="3" t="n">
        <v>5052737</v>
      </c>
      <c r="O8" s="3" t="n">
        <v>101212</v>
      </c>
      <c r="P8" s="3" t="n">
        <v>2762984</v>
      </c>
      <c r="Q8" s="3" t="n">
        <v>232993</v>
      </c>
      <c r="R8" s="3" t="n">
        <v>3679786</v>
      </c>
      <c r="S8" s="3" t="n">
        <v>804951</v>
      </c>
      <c r="T8" s="3" t="n">
        <v>89682627</v>
      </c>
      <c r="U8" s="3" t="n">
        <v>4100198</v>
      </c>
      <c r="V8" s="3" t="n">
        <v>4540273</v>
      </c>
      <c r="W8" s="3" t="n">
        <v>2667615</v>
      </c>
      <c r="X8" s="3" t="n">
        <v>4823422</v>
      </c>
      <c r="Y8" s="3" t="n">
        <v>6236764</v>
      </c>
      <c r="Z8" s="3" t="n">
        <v>15863668</v>
      </c>
      <c r="AA8" s="3" t="n">
        <v>174844</v>
      </c>
      <c r="AB8" s="3" t="n">
        <v>1560627</v>
      </c>
      <c r="AC8" s="3" t="n">
        <v>3061454</v>
      </c>
      <c r="AD8" s="4" t="n">
        <v>7728943</v>
      </c>
      <c r="AE8" s="4" t="n">
        <v>684000000</v>
      </c>
      <c r="AF8" s="3" t="n">
        <v>20475828</v>
      </c>
      <c r="AG8" s="3" t="n">
        <v>1312213</v>
      </c>
      <c r="AH8" s="3" t="n">
        <v>1876094</v>
      </c>
      <c r="AI8" s="3" t="n">
        <v>6088562</v>
      </c>
      <c r="AJ8" s="3" t="n">
        <v>6821346</v>
      </c>
      <c r="AK8" s="3" t="n">
        <v>18978105</v>
      </c>
      <c r="AL8" s="3" t="n">
        <v>2638083</v>
      </c>
      <c r="AM8" s="3" t="n">
        <v>320279</v>
      </c>
      <c r="AN8" s="3" t="n">
        <v>4055613</v>
      </c>
      <c r="AO8" s="3" t="n">
        <v>5975712</v>
      </c>
      <c r="AP8" s="3" t="n">
        <v>30305803</v>
      </c>
      <c r="AQ8" s="3" t="n">
        <v>2737148</v>
      </c>
      <c r="AR8" s="3" t="n">
        <v>219834</v>
      </c>
      <c r="AS8" s="3" t="n">
        <v>1377677</v>
      </c>
      <c r="AT8" s="3" t="n">
        <v>688438</v>
      </c>
      <c r="AU8" s="3" t="n">
        <v>25592858</v>
      </c>
      <c r="AV8" s="11" t="n">
        <v>2575568</v>
      </c>
      <c r="AW8" s="3" t="n">
        <v>30050088</v>
      </c>
      <c r="AX8" s="3" t="n">
        <v>484862</v>
      </c>
      <c r="AY8" s="3" t="n">
        <v>495653</v>
      </c>
      <c r="AZ8" s="3" t="n">
        <v>2287924</v>
      </c>
      <c r="BA8" s="3" t="n">
        <v>8144766</v>
      </c>
      <c r="BB8" s="3" t="n">
        <v>5365123</v>
      </c>
      <c r="BC8" s="3" t="n">
        <v>4797289</v>
      </c>
      <c r="BD8" s="3" t="n">
        <v>3630594</v>
      </c>
      <c r="BE8" s="3" t="n">
        <v>537239</v>
      </c>
      <c r="BF8" s="3" t="n">
        <v>388698</v>
      </c>
      <c r="BG8" s="3" t="n">
        <v>3653336</v>
      </c>
      <c r="BH8" s="4" t="n">
        <v>2646422</v>
      </c>
      <c r="BI8" s="4" t="n">
        <v>496000000</v>
      </c>
      <c r="BJ8" s="4" t="n">
        <v>107000000</v>
      </c>
      <c r="BK8" s="3" t="n">
        <v>29715595</v>
      </c>
      <c r="BL8" s="3" t="n">
        <v>2881172</v>
      </c>
      <c r="BM8" s="3" t="n">
        <v>28636852</v>
      </c>
      <c r="BN8" s="3" t="n">
        <v>1266681</v>
      </c>
      <c r="BO8" s="3" t="n">
        <v>8190926</v>
      </c>
      <c r="BP8" s="3" t="n">
        <v>12985229</v>
      </c>
      <c r="BQ8" s="3" t="n">
        <v>2302445</v>
      </c>
      <c r="BR8" s="3" t="n">
        <v>2255359</v>
      </c>
      <c r="BS8" s="3" t="n">
        <v>1588199</v>
      </c>
      <c r="BT8" s="3" t="n">
        <v>828367</v>
      </c>
      <c r="BU8" s="3" t="n">
        <v>1006226</v>
      </c>
      <c r="BV8" s="3" t="n">
        <v>6371120</v>
      </c>
      <c r="BW8" s="3" t="n">
        <v>4400665</v>
      </c>
      <c r="BX8" s="3" t="n">
        <v>11210298</v>
      </c>
      <c r="BY8" s="3" t="n">
        <v>4274977</v>
      </c>
      <c r="BZ8" s="3" t="n">
        <v>1117757</v>
      </c>
      <c r="CA8" s="3" t="n">
        <v>643875</v>
      </c>
      <c r="CB8" s="3" t="n">
        <v>49915489</v>
      </c>
      <c r="CC8" s="3" t="n">
        <v>1189928</v>
      </c>
      <c r="CD8" s="3" t="n">
        <v>13975144</v>
      </c>
      <c r="CE8" s="3" t="n">
        <v>7351900</v>
      </c>
      <c r="CF8" s="3" t="n">
        <v>24001095</v>
      </c>
      <c r="CG8" s="3" t="n">
        <v>826827</v>
      </c>
      <c r="CH8" s="3" t="n">
        <v>10310919</v>
      </c>
      <c r="CI8" s="3" t="n">
        <v>8208211</v>
      </c>
      <c r="CJ8" s="3" t="n">
        <v>1937915</v>
      </c>
      <c r="CK8" s="3" t="n">
        <v>2239561</v>
      </c>
      <c r="CL8" s="3" t="n">
        <v>4214958</v>
      </c>
      <c r="CM8" s="3" t="n">
        <v>50836039</v>
      </c>
      <c r="CN8" s="3" t="n">
        <v>57271274</v>
      </c>
      <c r="CO8" s="3" t="n">
        <v>1474864</v>
      </c>
      <c r="CP8" s="3" t="n">
        <v>2424094</v>
      </c>
      <c r="CQ8" s="3" t="n">
        <v>2348518</v>
      </c>
      <c r="CR8" s="3" t="n">
        <v>12533804</v>
      </c>
      <c r="CS8" s="3" t="n">
        <v>35972195</v>
      </c>
      <c r="CT8" s="3" t="n">
        <v>1892916</v>
      </c>
      <c r="CU8" s="3" t="n">
        <v>76998046</v>
      </c>
      <c r="CV8" s="3" t="n">
        <v>2968397</v>
      </c>
      <c r="CW8" s="3" t="n">
        <v>73260</v>
      </c>
      <c r="CX8" s="3" t="n">
        <v>56416</v>
      </c>
      <c r="CY8" s="3" t="n">
        <v>3954843</v>
      </c>
      <c r="CZ8" s="3" t="n">
        <v>1725482</v>
      </c>
      <c r="DA8" s="3" t="n">
        <v>2855635</v>
      </c>
      <c r="DB8" s="3" t="n">
        <v>20931512</v>
      </c>
      <c r="DC8" s="3" t="n">
        <v>2510468</v>
      </c>
      <c r="DD8" s="3" t="n">
        <v>20751179</v>
      </c>
      <c r="DE8" s="3" t="n">
        <v>9973773</v>
      </c>
      <c r="DF8" s="3" t="n">
        <v>11778450</v>
      </c>
      <c r="DG8" s="3" t="n">
        <v>231626</v>
      </c>
      <c r="DH8" s="3" t="n">
        <v>429342</v>
      </c>
      <c r="DI8" s="12" t="n">
        <v>4147332</v>
      </c>
      <c r="DJ8" s="3" t="n">
        <v>3590714</v>
      </c>
      <c r="DK8" s="3" t="n">
        <v>2684067</v>
      </c>
      <c r="DL8" s="3" t="n">
        <v>34057963</v>
      </c>
      <c r="DM8" s="3" t="n">
        <v>402069</v>
      </c>
      <c r="DN8" s="3" t="n">
        <v>1973982</v>
      </c>
      <c r="DO8" s="3" t="n">
        <v>673804</v>
      </c>
      <c r="DP8" s="3" t="n">
        <v>4714432</v>
      </c>
      <c r="DQ8" s="3" t="n">
        <v>8969844</v>
      </c>
      <c r="DR8" s="3" t="n">
        <v>25538233</v>
      </c>
      <c r="DS8" s="3" t="n">
        <v>28312848</v>
      </c>
      <c r="DT8" s="4" t="n">
        <v>13953996</v>
      </c>
      <c r="DU8" s="4" t="n">
        <v>141000000</v>
      </c>
      <c r="DV8" s="3" t="n">
        <v>1566029</v>
      </c>
      <c r="DW8" s="3" t="n">
        <v>11360869</v>
      </c>
      <c r="DX8" s="3" t="n">
        <v>11764215</v>
      </c>
      <c r="DY8" s="3" t="n">
        <v>37640976</v>
      </c>
      <c r="DZ8" s="3" t="n">
        <v>6533608</v>
      </c>
      <c r="EA8" s="3" t="n">
        <v>4210169</v>
      </c>
      <c r="EB8" s="3" t="n">
        <v>5564769</v>
      </c>
      <c r="EC8" s="3" t="n">
        <v>2677059585</v>
      </c>
      <c r="ED8" s="3"/>
    </row>
    <row r="9" customFormat="false" ht="15" hidden="false" customHeight="false" outlineLevel="0" collapsed="false">
      <c r="A9" s="141" t="n">
        <v>1997</v>
      </c>
      <c r="B9" s="3" t="n">
        <v>7870813</v>
      </c>
      <c r="C9" s="3" t="n">
        <v>15459549</v>
      </c>
      <c r="D9" s="3" t="n">
        <v>6052094</v>
      </c>
      <c r="E9" s="3" t="n">
        <v>17624214</v>
      </c>
      <c r="F9" s="3" t="n">
        <v>1591281</v>
      </c>
      <c r="G9" s="3" t="n">
        <v>9666896</v>
      </c>
      <c r="H9" s="3" t="n">
        <v>4013064</v>
      </c>
      <c r="I9" s="3" t="n">
        <v>4115222</v>
      </c>
      <c r="J9" s="3" t="n">
        <v>156523</v>
      </c>
      <c r="K9" s="3" t="n">
        <v>61172637</v>
      </c>
      <c r="L9" s="3" t="n">
        <v>147157</v>
      </c>
      <c r="M9" s="3" t="n">
        <v>5186204</v>
      </c>
      <c r="N9" s="3" t="n">
        <v>5039293</v>
      </c>
      <c r="O9" s="3" t="n">
        <v>106451</v>
      </c>
      <c r="P9" s="3" t="n">
        <v>2847659</v>
      </c>
      <c r="Q9" s="3" t="n">
        <v>239629</v>
      </c>
      <c r="R9" s="3" t="n">
        <v>3771726</v>
      </c>
      <c r="S9" s="3" t="n">
        <v>831886</v>
      </c>
      <c r="T9" s="3" t="n">
        <v>91639057</v>
      </c>
      <c r="U9" s="3" t="n">
        <v>4074620</v>
      </c>
      <c r="V9" s="3" t="n">
        <v>4685842</v>
      </c>
      <c r="W9" s="3" t="n">
        <v>2710917</v>
      </c>
      <c r="X9" s="3" t="n">
        <v>5050026</v>
      </c>
      <c r="Y9" s="3" t="n">
        <v>6438457</v>
      </c>
      <c r="Z9" s="3" t="n">
        <v>15958131</v>
      </c>
      <c r="AA9" s="3" t="n">
        <v>181218</v>
      </c>
      <c r="AB9" s="3" t="n">
        <v>1601687</v>
      </c>
      <c r="AC9" s="3" t="n">
        <v>3167497</v>
      </c>
      <c r="AD9" s="4" t="n">
        <v>7832158</v>
      </c>
      <c r="AE9" s="4" t="n">
        <v>692000000</v>
      </c>
      <c r="AF9" s="3" t="n">
        <v>20909331</v>
      </c>
      <c r="AG9" s="3" t="n">
        <v>1354254</v>
      </c>
      <c r="AH9" s="3" t="n">
        <v>1928345</v>
      </c>
      <c r="AI9" s="3" t="n">
        <v>6092041</v>
      </c>
      <c r="AJ9" s="3" t="n">
        <v>7030584</v>
      </c>
      <c r="AK9" s="3" t="n">
        <v>19444209</v>
      </c>
      <c r="AL9" s="3" t="n">
        <v>2617546</v>
      </c>
      <c r="AM9" s="3" t="n">
        <v>326996</v>
      </c>
      <c r="AN9" s="3" t="n">
        <v>4143910</v>
      </c>
      <c r="AO9" s="3" t="n">
        <v>6120931</v>
      </c>
      <c r="AP9" s="3" t="n">
        <v>31154378</v>
      </c>
      <c r="AQ9" s="3" t="n">
        <v>2767263</v>
      </c>
      <c r="AR9" s="3" t="n">
        <v>227081</v>
      </c>
      <c r="AS9" s="3" t="n">
        <v>1419778</v>
      </c>
      <c r="AT9" s="3" t="n">
        <v>684643</v>
      </c>
      <c r="AU9" s="3" t="n">
        <v>26391366</v>
      </c>
      <c r="AV9" s="11" t="n">
        <v>2554994</v>
      </c>
      <c r="AW9" s="3" t="n">
        <v>29947210</v>
      </c>
      <c r="AX9" s="3" t="n">
        <v>501405</v>
      </c>
      <c r="AY9" s="3" t="n">
        <v>511718</v>
      </c>
      <c r="AZ9" s="3" t="n">
        <v>2256567</v>
      </c>
      <c r="BA9" s="3" t="n">
        <v>8362708</v>
      </c>
      <c r="BB9" s="3" t="n">
        <v>5403766</v>
      </c>
      <c r="BC9" s="3" t="n">
        <v>4937533</v>
      </c>
      <c r="BD9" s="3" t="n">
        <v>3725711</v>
      </c>
      <c r="BE9" s="3" t="n">
        <v>552107</v>
      </c>
      <c r="BF9" s="3" t="n">
        <v>392434</v>
      </c>
      <c r="BG9" s="3" t="n">
        <v>3758875</v>
      </c>
      <c r="BH9" s="4" t="n">
        <v>2722945</v>
      </c>
      <c r="BI9" s="4" t="n">
        <v>508000000</v>
      </c>
      <c r="BJ9" s="4" t="n">
        <v>110000000</v>
      </c>
      <c r="BK9" s="3" t="n">
        <v>31082423</v>
      </c>
      <c r="BL9" s="3" t="n">
        <v>2949193</v>
      </c>
      <c r="BM9" s="3" t="n">
        <v>28469069</v>
      </c>
      <c r="BN9" s="3" t="n">
        <v>1281916</v>
      </c>
      <c r="BO9" s="3" t="n">
        <v>8128315</v>
      </c>
      <c r="BP9" s="3" t="n">
        <v>13430202</v>
      </c>
      <c r="BQ9" s="3" t="n">
        <v>2362875</v>
      </c>
      <c r="BR9" s="3" t="n">
        <v>2309475</v>
      </c>
      <c r="BS9" s="3" t="n">
        <v>1614225</v>
      </c>
      <c r="BT9" s="3" t="n">
        <v>842218</v>
      </c>
      <c r="BU9" s="3" t="n">
        <v>1088399</v>
      </c>
      <c r="BV9" s="3" t="n">
        <v>6564567</v>
      </c>
      <c r="BW9" s="3" t="n">
        <v>4491373</v>
      </c>
      <c r="BX9" s="3" t="n">
        <v>11557242</v>
      </c>
      <c r="BY9" s="3" t="n">
        <v>4408576</v>
      </c>
      <c r="BZ9" s="3" t="n">
        <v>1156992</v>
      </c>
      <c r="CA9" s="3" t="n">
        <v>652972</v>
      </c>
      <c r="CB9" s="3" t="n">
        <v>51064777</v>
      </c>
      <c r="CC9" s="3" t="n">
        <v>1218378</v>
      </c>
      <c r="CD9" s="3" t="n">
        <v>14363496</v>
      </c>
      <c r="CE9" s="3" t="n">
        <v>7555670</v>
      </c>
      <c r="CF9" s="3" t="n">
        <v>24597181</v>
      </c>
      <c r="CG9" s="3" t="n">
        <v>857658</v>
      </c>
      <c r="CH9" s="3" t="n">
        <v>10564138</v>
      </c>
      <c r="CI9" s="3" t="n">
        <v>8162705</v>
      </c>
      <c r="CJ9" s="3" t="n">
        <v>1948956</v>
      </c>
      <c r="CK9" s="3" t="n">
        <v>2313287</v>
      </c>
      <c r="CL9" s="3" t="n">
        <v>4359714</v>
      </c>
      <c r="CM9" s="3" t="n">
        <v>52282452</v>
      </c>
      <c r="CN9" s="3" t="n">
        <v>59015265</v>
      </c>
      <c r="CO9" s="3" t="n">
        <v>1509050</v>
      </c>
      <c r="CP9" s="3" t="n">
        <v>2493344</v>
      </c>
      <c r="CQ9" s="3" t="n">
        <v>2412744</v>
      </c>
      <c r="CR9" s="3" t="n">
        <v>12780976</v>
      </c>
      <c r="CS9" s="3" t="n">
        <v>36903970</v>
      </c>
      <c r="CT9" s="3" t="n">
        <v>1905984</v>
      </c>
      <c r="CU9" s="3" t="n">
        <v>77532347</v>
      </c>
      <c r="CV9" s="3" t="n">
        <v>3142145</v>
      </c>
      <c r="CW9" s="3" t="n">
        <v>75054</v>
      </c>
      <c r="CX9" s="3" t="n">
        <v>57943</v>
      </c>
      <c r="CY9" s="3" t="n">
        <v>4074757</v>
      </c>
      <c r="CZ9" s="3" t="n">
        <v>1735712</v>
      </c>
      <c r="DA9" s="3" t="n">
        <v>2925130</v>
      </c>
      <c r="DB9" s="3" t="n">
        <v>21458644</v>
      </c>
      <c r="DC9" s="3" t="n">
        <v>2603989</v>
      </c>
      <c r="DD9" s="3" t="n">
        <v>20863271</v>
      </c>
      <c r="DE9" s="3" t="n">
        <v>10139410</v>
      </c>
      <c r="DF9" s="3" t="n">
        <v>12126533</v>
      </c>
      <c r="DG9" s="3" t="n">
        <v>235897</v>
      </c>
      <c r="DH9" s="3" t="n">
        <v>443294</v>
      </c>
      <c r="DI9" s="12" t="n">
        <v>4114397</v>
      </c>
      <c r="DJ9" s="3" t="n">
        <v>3573794</v>
      </c>
      <c r="DK9" s="3" t="n">
        <v>2744017</v>
      </c>
      <c r="DL9" s="3" t="n">
        <v>34616946</v>
      </c>
      <c r="DM9" s="3" t="n">
        <v>384374</v>
      </c>
      <c r="DN9" s="3" t="n">
        <v>2038576</v>
      </c>
      <c r="DO9" s="3" t="n">
        <v>683210</v>
      </c>
      <c r="DP9" s="3" t="n">
        <v>4845875</v>
      </c>
      <c r="DQ9" s="3" t="n">
        <v>9226419</v>
      </c>
      <c r="DR9" s="3" t="n">
        <v>25523119</v>
      </c>
      <c r="DS9" s="3" t="n">
        <v>28241048</v>
      </c>
      <c r="DT9" s="4" t="n">
        <v>14340178</v>
      </c>
      <c r="DU9" s="4" t="n">
        <v>142000000</v>
      </c>
      <c r="DV9" s="3" t="n">
        <v>1578529</v>
      </c>
      <c r="DW9" s="3" t="n">
        <v>11723790</v>
      </c>
      <c r="DX9" s="3" t="n">
        <v>12047419</v>
      </c>
      <c r="DY9" s="3" t="n">
        <v>38780831</v>
      </c>
      <c r="DZ9" s="3" t="n">
        <v>6788550</v>
      </c>
      <c r="EA9" s="3" t="n">
        <v>4334309</v>
      </c>
      <c r="EB9" s="3" t="n">
        <v>5697875</v>
      </c>
      <c r="EC9" s="3" t="n">
        <v>2726869696</v>
      </c>
      <c r="ED9" s="3"/>
    </row>
    <row r="10" customFormat="false" ht="15" hidden="false" customHeight="false" outlineLevel="0" collapsed="false">
      <c r="A10" s="141" t="n">
        <v>1998</v>
      </c>
      <c r="B10" s="3" t="n">
        <v>8046463</v>
      </c>
      <c r="C10" s="3" t="n">
        <v>15970564</v>
      </c>
      <c r="D10" s="3" t="n">
        <v>6233229</v>
      </c>
      <c r="E10" s="3" t="n">
        <v>17859159</v>
      </c>
      <c r="F10" s="3" t="n">
        <v>1596092</v>
      </c>
      <c r="G10" s="3" t="n">
        <v>9698066</v>
      </c>
      <c r="H10" s="3" t="n">
        <v>4016367</v>
      </c>
      <c r="I10" s="3" t="n">
        <v>4217402</v>
      </c>
      <c r="J10" s="3" t="n">
        <v>158822</v>
      </c>
      <c r="K10" s="3" t="n">
        <v>63031573</v>
      </c>
      <c r="L10" s="3" t="n">
        <v>146601</v>
      </c>
      <c r="M10" s="3" t="n">
        <v>5204327</v>
      </c>
      <c r="N10" s="3" t="n">
        <v>5019609</v>
      </c>
      <c r="O10" s="3" t="n">
        <v>111979</v>
      </c>
      <c r="P10" s="3" t="n">
        <v>2935579</v>
      </c>
      <c r="Q10" s="3" t="n">
        <v>248368</v>
      </c>
      <c r="R10" s="3" t="n">
        <v>3866424</v>
      </c>
      <c r="S10" s="3" t="n">
        <v>858827</v>
      </c>
      <c r="T10" s="3" t="n">
        <v>93566189</v>
      </c>
      <c r="U10" s="3" t="n">
        <v>4040777</v>
      </c>
      <c r="V10" s="3" t="n">
        <v>4841038</v>
      </c>
      <c r="W10" s="3" t="n">
        <v>2761516</v>
      </c>
      <c r="X10" s="3" t="n">
        <v>5324301</v>
      </c>
      <c r="Y10" s="3" t="n">
        <v>6652405</v>
      </c>
      <c r="Z10" s="3" t="n">
        <v>16022499</v>
      </c>
      <c r="AA10" s="3" t="n">
        <v>187818</v>
      </c>
      <c r="AB10" s="3" t="n">
        <v>1643372</v>
      </c>
      <c r="AC10" s="3" t="n">
        <v>3282820</v>
      </c>
      <c r="AD10" s="4" t="n">
        <v>7932026</v>
      </c>
      <c r="AE10" s="4" t="n">
        <v>700000000</v>
      </c>
      <c r="AF10" s="3" t="n">
        <v>21343180</v>
      </c>
      <c r="AG10" s="3" t="n">
        <v>1396895</v>
      </c>
      <c r="AH10" s="3" t="n">
        <v>1981055</v>
      </c>
      <c r="AI10" s="3" t="n">
        <v>6089808</v>
      </c>
      <c r="AJ10" s="3" t="n">
        <v>7238115</v>
      </c>
      <c r="AK10" s="3" t="n">
        <v>19920763</v>
      </c>
      <c r="AL10" s="3" t="n">
        <v>2594438</v>
      </c>
      <c r="AM10" s="3" t="n">
        <v>333584</v>
      </c>
      <c r="AN10" s="3" t="n">
        <v>4232494</v>
      </c>
      <c r="AO10" s="3" t="n">
        <v>6265377</v>
      </c>
      <c r="AP10" s="3" t="n">
        <v>32005131</v>
      </c>
      <c r="AQ10" s="3" t="n">
        <v>2793931</v>
      </c>
      <c r="AR10" s="3" t="n">
        <v>235012</v>
      </c>
      <c r="AS10" s="3" t="n">
        <v>1472093</v>
      </c>
      <c r="AT10" s="3" t="n">
        <v>681310</v>
      </c>
      <c r="AU10" s="3" t="n">
        <v>27220896</v>
      </c>
      <c r="AV10" s="11" t="n">
        <v>2531666</v>
      </c>
      <c r="AW10" s="3" t="n">
        <v>29804917</v>
      </c>
      <c r="AX10" s="3" t="n">
        <v>518676</v>
      </c>
      <c r="AY10" s="3" t="n">
        <v>529399</v>
      </c>
      <c r="AZ10" s="3" t="n">
        <v>2244239</v>
      </c>
      <c r="BA10" s="3" t="n">
        <v>8588433</v>
      </c>
      <c r="BB10" s="3" t="n">
        <v>5438851</v>
      </c>
      <c r="BC10" s="3" t="n">
        <v>5084307</v>
      </c>
      <c r="BD10" s="3" t="n">
        <v>3808628</v>
      </c>
      <c r="BE10" s="3" t="n">
        <v>568256</v>
      </c>
      <c r="BF10" s="3" t="n">
        <v>393761</v>
      </c>
      <c r="BG10" s="3" t="n">
        <v>3871669</v>
      </c>
      <c r="BH10" s="4" t="n">
        <v>2800511</v>
      </c>
      <c r="BI10" s="4" t="n">
        <v>520000000</v>
      </c>
      <c r="BJ10" s="4" t="n">
        <v>112000000</v>
      </c>
      <c r="BK10" s="3" t="n">
        <v>32518771</v>
      </c>
      <c r="BL10" s="3" t="n">
        <v>3006046</v>
      </c>
      <c r="BM10" s="3" t="n">
        <v>28261096</v>
      </c>
      <c r="BN10" s="3" t="n">
        <v>1296070</v>
      </c>
      <c r="BO10" s="3" t="n">
        <v>8044227</v>
      </c>
      <c r="BP10" s="3" t="n">
        <v>13872302</v>
      </c>
      <c r="BQ10" s="3" t="n">
        <v>2425365</v>
      </c>
      <c r="BR10" s="3" t="n">
        <v>2366022</v>
      </c>
      <c r="BS10" s="3" t="n">
        <v>1642662</v>
      </c>
      <c r="BT10" s="3" t="n">
        <v>854825</v>
      </c>
      <c r="BU10" s="3" t="n">
        <v>1181564</v>
      </c>
      <c r="BV10" s="3" t="n">
        <v>6758539</v>
      </c>
      <c r="BW10" s="3" t="n">
        <v>4604313</v>
      </c>
      <c r="BX10" s="3" t="n">
        <v>11909506</v>
      </c>
      <c r="BY10" s="3" t="n">
        <v>4551880</v>
      </c>
      <c r="BZ10" s="3" t="n">
        <v>1197901</v>
      </c>
      <c r="CA10" s="3" t="n">
        <v>661858</v>
      </c>
      <c r="CB10" s="3" t="n">
        <v>52173735</v>
      </c>
      <c r="CC10" s="3" t="n">
        <v>1246941</v>
      </c>
      <c r="CD10" s="3" t="n">
        <v>14758152</v>
      </c>
      <c r="CE10" s="3" t="n">
        <v>7760554</v>
      </c>
      <c r="CF10" s="3" t="n">
        <v>25194396</v>
      </c>
      <c r="CG10" s="3" t="n">
        <v>888661</v>
      </c>
      <c r="CH10" s="3" t="n">
        <v>10810595</v>
      </c>
      <c r="CI10" s="3" t="n">
        <v>8119058</v>
      </c>
      <c r="CJ10" s="3" t="n">
        <v>1951949</v>
      </c>
      <c r="CK10" s="3" t="n">
        <v>2387507</v>
      </c>
      <c r="CL10" s="3" t="n">
        <v>4507437</v>
      </c>
      <c r="CM10" s="3" t="n">
        <v>53802640</v>
      </c>
      <c r="CN10" s="3" t="n">
        <v>60837892</v>
      </c>
      <c r="CO10" s="3" t="n">
        <v>1542515</v>
      </c>
      <c r="CP10" s="3" t="n">
        <v>2564218</v>
      </c>
      <c r="CQ10" s="3" t="n">
        <v>2478287</v>
      </c>
      <c r="CR10" s="3" t="n">
        <v>13017801</v>
      </c>
      <c r="CS10" s="3" t="n">
        <v>37835266</v>
      </c>
      <c r="CT10" s="3" t="n">
        <v>1926909</v>
      </c>
      <c r="CU10" s="3" t="n">
        <v>77906265</v>
      </c>
      <c r="CV10" s="3" t="n">
        <v>3352855</v>
      </c>
      <c r="CW10" s="3" t="n">
        <v>76981</v>
      </c>
      <c r="CX10" s="3" t="n">
        <v>59323</v>
      </c>
      <c r="CY10" s="3" t="n">
        <v>4199265</v>
      </c>
      <c r="CZ10" s="3" t="n">
        <v>1758839</v>
      </c>
      <c r="DA10" s="3" t="n">
        <v>3010880</v>
      </c>
      <c r="DB10" s="3" t="n">
        <v>22008606</v>
      </c>
      <c r="DC10" s="3" t="n">
        <v>2725189</v>
      </c>
      <c r="DD10" s="3" t="n">
        <v>20962396</v>
      </c>
      <c r="DE10" s="3" t="n">
        <v>10291363</v>
      </c>
      <c r="DF10" s="3" t="n">
        <v>12458701</v>
      </c>
      <c r="DG10" s="3" t="n">
        <v>240248</v>
      </c>
      <c r="DH10" s="3" t="n">
        <v>458031</v>
      </c>
      <c r="DI10" s="12" t="n">
        <v>4085483</v>
      </c>
      <c r="DJ10" s="3" t="n">
        <v>3561712</v>
      </c>
      <c r="DK10" s="3" t="n">
        <v>2806697</v>
      </c>
      <c r="DL10" s="3" t="n">
        <v>35165430</v>
      </c>
      <c r="DM10" s="3" t="n">
        <v>367076</v>
      </c>
      <c r="DN10" s="3" t="n">
        <v>2106749</v>
      </c>
      <c r="DO10" s="3" t="n">
        <v>693071</v>
      </c>
      <c r="DP10" s="3" t="n">
        <v>4973564</v>
      </c>
      <c r="DQ10" s="3" t="n">
        <v>9503019</v>
      </c>
      <c r="DR10" s="3" t="n">
        <v>25505524</v>
      </c>
      <c r="DS10" s="3" t="n">
        <v>28177150</v>
      </c>
      <c r="DT10" s="4" t="n">
        <v>14737482</v>
      </c>
      <c r="DU10" s="4" t="n">
        <v>144000000</v>
      </c>
      <c r="DV10" s="3" t="n">
        <v>1589181</v>
      </c>
      <c r="DW10" s="3" t="n">
        <v>12068207</v>
      </c>
      <c r="DX10" s="3" t="n">
        <v>12328566</v>
      </c>
      <c r="DY10" s="3" t="n">
        <v>39994035</v>
      </c>
      <c r="DZ10" s="3" t="n">
        <v>7048873</v>
      </c>
      <c r="EA10" s="3" t="n">
        <v>4463991</v>
      </c>
      <c r="EB10" s="3" t="n">
        <v>5834853</v>
      </c>
      <c r="EC10" s="3" t="n">
        <v>2776938672</v>
      </c>
      <c r="ED10" s="3"/>
    </row>
    <row r="11" customFormat="false" ht="15" hidden="false" customHeight="false" outlineLevel="0" collapsed="false">
      <c r="A11" s="141" t="n">
        <v>1999</v>
      </c>
      <c r="B11" s="3" t="n">
        <v>8250375</v>
      </c>
      <c r="C11" s="3" t="n">
        <v>16472286</v>
      </c>
      <c r="D11" s="3" t="n">
        <v>6429223</v>
      </c>
      <c r="E11" s="3" t="n">
        <v>18087576</v>
      </c>
      <c r="F11" s="3" t="n">
        <v>1603803</v>
      </c>
      <c r="G11" s="3" t="n">
        <v>9733897</v>
      </c>
      <c r="H11" s="3" t="n">
        <v>4023961</v>
      </c>
      <c r="I11" s="3" t="n">
        <v>4322144</v>
      </c>
      <c r="J11" s="3" t="n">
        <v>161154</v>
      </c>
      <c r="K11" s="3" t="n">
        <v>64952924</v>
      </c>
      <c r="L11" s="3" t="n">
        <v>145826</v>
      </c>
      <c r="M11" s="3" t="n">
        <v>5229038</v>
      </c>
      <c r="N11" s="3" t="n">
        <v>4999543</v>
      </c>
      <c r="O11" s="3" t="n">
        <v>117347</v>
      </c>
      <c r="P11" s="3" t="n">
        <v>3029402</v>
      </c>
      <c r="Q11" s="3" t="n">
        <v>258785</v>
      </c>
      <c r="R11" s="3" t="n">
        <v>3961575</v>
      </c>
      <c r="S11" s="3" t="n">
        <v>885033</v>
      </c>
      <c r="T11" s="3" t="n">
        <v>95446877</v>
      </c>
      <c r="U11" s="3" t="n">
        <v>4013049</v>
      </c>
      <c r="V11" s="3" t="n">
        <v>5004023</v>
      </c>
      <c r="W11" s="3" t="n">
        <v>2824278</v>
      </c>
      <c r="X11" s="3" t="n">
        <v>5617893</v>
      </c>
      <c r="Y11" s="3" t="n">
        <v>6876947</v>
      </c>
      <c r="Z11" s="3" t="n">
        <v>16077592</v>
      </c>
      <c r="AA11" s="3" t="n">
        <v>194597</v>
      </c>
      <c r="AB11" s="3" t="n">
        <v>1685860</v>
      </c>
      <c r="AC11" s="3" t="n">
        <v>3406371</v>
      </c>
      <c r="AD11" s="4" t="n">
        <v>8032196</v>
      </c>
      <c r="AE11" s="4" t="n">
        <v>707000000</v>
      </c>
      <c r="AF11" s="3" t="n">
        <v>21762843</v>
      </c>
      <c r="AG11" s="3" t="n">
        <v>1439421</v>
      </c>
      <c r="AH11" s="3" t="n">
        <v>2034098</v>
      </c>
      <c r="AI11" s="3" t="n">
        <v>6089490</v>
      </c>
      <c r="AJ11" s="3" t="n">
        <v>7441122</v>
      </c>
      <c r="AK11" s="3" t="n">
        <v>20440450</v>
      </c>
      <c r="AL11" s="3" t="n">
        <v>2572229</v>
      </c>
      <c r="AM11" s="3" t="n">
        <v>341064</v>
      </c>
      <c r="AN11" s="3" t="n">
        <v>4318818</v>
      </c>
      <c r="AO11" s="3" t="n">
        <v>6407762</v>
      </c>
      <c r="AP11" s="3" t="n">
        <v>32917600</v>
      </c>
      <c r="AQ11" s="3" t="n">
        <v>2817594</v>
      </c>
      <c r="AR11" s="3" t="n">
        <v>243700</v>
      </c>
      <c r="AS11" s="3" t="n">
        <v>1533984</v>
      </c>
      <c r="AT11" s="3" t="n">
        <v>681868</v>
      </c>
      <c r="AU11" s="3" t="n">
        <v>28093014</v>
      </c>
      <c r="AV11" s="11" t="n">
        <v>2507138</v>
      </c>
      <c r="AW11" s="3" t="n">
        <v>29701420</v>
      </c>
      <c r="AX11" s="3" t="n">
        <v>536553</v>
      </c>
      <c r="AY11" s="3" t="n">
        <v>548203</v>
      </c>
      <c r="AZ11" s="3" t="n">
        <v>2238104</v>
      </c>
      <c r="BA11" s="3" t="n">
        <v>8827164</v>
      </c>
      <c r="BB11" s="3" t="n">
        <v>5460111</v>
      </c>
      <c r="BC11" s="3" t="n">
        <v>5233275</v>
      </c>
      <c r="BD11" s="3" t="n">
        <v>3887807</v>
      </c>
      <c r="BE11" s="3" t="n">
        <v>584871</v>
      </c>
      <c r="BF11" s="3" t="n">
        <v>392794</v>
      </c>
      <c r="BG11" s="3" t="n">
        <v>3985615</v>
      </c>
      <c r="BH11" s="4" t="n">
        <v>2878465</v>
      </c>
      <c r="BI11" s="4" t="n">
        <v>533000000</v>
      </c>
      <c r="BJ11" s="4" t="n">
        <v>115000000</v>
      </c>
      <c r="BK11" s="3" t="n">
        <v>33963943</v>
      </c>
      <c r="BL11" s="3" t="n">
        <v>3068543</v>
      </c>
      <c r="BM11" s="3" t="n">
        <v>28041773</v>
      </c>
      <c r="BN11" s="3" t="n">
        <v>1307044</v>
      </c>
      <c r="BO11" s="3" t="n">
        <v>8022774</v>
      </c>
      <c r="BP11" s="3" t="n">
        <v>14328663</v>
      </c>
      <c r="BQ11" s="3" t="n">
        <v>2489658</v>
      </c>
      <c r="BR11" s="3" t="n">
        <v>2423800</v>
      </c>
      <c r="BS11" s="3" t="n">
        <v>1682529</v>
      </c>
      <c r="BT11" s="3" t="n">
        <v>866792</v>
      </c>
      <c r="BU11" s="3" t="n">
        <v>1270992</v>
      </c>
      <c r="BV11" s="3" t="n">
        <v>6963619</v>
      </c>
      <c r="BW11" s="3" t="n">
        <v>4731988</v>
      </c>
      <c r="BX11" s="3" t="n">
        <v>12259238</v>
      </c>
      <c r="BY11" s="3" t="n">
        <v>4702571</v>
      </c>
      <c r="BZ11" s="3" t="n">
        <v>1240611</v>
      </c>
      <c r="CA11" s="3" t="n">
        <v>671511</v>
      </c>
      <c r="CB11" s="3" t="n">
        <v>53224828</v>
      </c>
      <c r="CC11" s="3" t="n">
        <v>1278362</v>
      </c>
      <c r="CD11" s="3" t="n">
        <v>15126530</v>
      </c>
      <c r="CE11" s="3" t="n">
        <v>7972835</v>
      </c>
      <c r="CF11" s="3" t="n">
        <v>25747873</v>
      </c>
      <c r="CG11" s="3" t="n">
        <v>918180</v>
      </c>
      <c r="CH11" s="3" t="n">
        <v>11048284</v>
      </c>
      <c r="CI11" s="3" t="n">
        <v>8082157</v>
      </c>
      <c r="CJ11" s="3" t="n">
        <v>1949432</v>
      </c>
      <c r="CK11" s="3" t="n">
        <v>2459758</v>
      </c>
      <c r="CL11" s="3" t="n">
        <v>4658838</v>
      </c>
      <c r="CM11" s="3" t="n">
        <v>55381721</v>
      </c>
      <c r="CN11" s="3" t="n">
        <v>62785899</v>
      </c>
      <c r="CO11" s="3" t="n">
        <v>1575996</v>
      </c>
      <c r="CP11" s="3" t="n">
        <v>2635239</v>
      </c>
      <c r="CQ11" s="3" t="n">
        <v>2545077</v>
      </c>
      <c r="CR11" s="3" t="n">
        <v>13249954</v>
      </c>
      <c r="CS11" s="3" t="n">
        <v>38766223</v>
      </c>
      <c r="CT11" s="3" t="n">
        <v>1947694</v>
      </c>
      <c r="CU11" s="3" t="n">
        <v>78199249</v>
      </c>
      <c r="CV11" s="3" t="n">
        <v>3559901</v>
      </c>
      <c r="CW11" s="3" t="n">
        <v>78951</v>
      </c>
      <c r="CX11" s="3" t="n">
        <v>60819</v>
      </c>
      <c r="CY11" s="3" t="n">
        <v>4330442</v>
      </c>
      <c r="CZ11" s="3" t="n">
        <v>1798344</v>
      </c>
      <c r="DA11" s="3" t="n">
        <v>3103413</v>
      </c>
      <c r="DB11" s="3" t="n">
        <v>22600960</v>
      </c>
      <c r="DC11" s="3" t="n">
        <v>2858226</v>
      </c>
      <c r="DD11" s="3" t="n">
        <v>21068730</v>
      </c>
      <c r="DE11" s="3" t="n">
        <v>10460391</v>
      </c>
      <c r="DF11" s="3" t="n">
        <v>12793328</v>
      </c>
      <c r="DG11" s="3" t="n">
        <v>244321</v>
      </c>
      <c r="DH11" s="3" t="n">
        <v>472854</v>
      </c>
      <c r="DI11" s="12" t="n">
        <v>4062001</v>
      </c>
      <c r="DJ11" s="3" t="n">
        <v>3558829</v>
      </c>
      <c r="DK11" s="3" t="n">
        <v>2880258</v>
      </c>
      <c r="DL11" s="3" t="n">
        <v>35672604</v>
      </c>
      <c r="DM11" s="3" t="n">
        <v>352793</v>
      </c>
      <c r="DN11" s="3" t="n">
        <v>2178217</v>
      </c>
      <c r="DO11" s="3" t="n">
        <v>702397</v>
      </c>
      <c r="DP11" s="3" t="n">
        <v>5102478</v>
      </c>
      <c r="DQ11" s="3" t="n">
        <v>9799365</v>
      </c>
      <c r="DR11" s="3" t="n">
        <v>25449045</v>
      </c>
      <c r="DS11" s="3" t="n">
        <v>28152182</v>
      </c>
      <c r="DT11" s="4" t="n">
        <v>15152357</v>
      </c>
      <c r="DU11" s="4" t="n">
        <v>145000000</v>
      </c>
      <c r="DV11" s="3" t="n">
        <v>1597954</v>
      </c>
      <c r="DW11" s="3" t="n">
        <v>12369182</v>
      </c>
      <c r="DX11" s="3" t="n">
        <v>12615496</v>
      </c>
      <c r="DY11" s="3" t="n">
        <v>41195272</v>
      </c>
      <c r="DZ11" s="3" t="n">
        <v>7317184</v>
      </c>
      <c r="EA11" s="3" t="n">
        <v>4600203</v>
      </c>
      <c r="EB11" s="3" t="n">
        <v>5967182</v>
      </c>
      <c r="EC11" s="3" t="n">
        <v>2827506009</v>
      </c>
      <c r="ED11" s="3"/>
    </row>
    <row r="12" customFormat="false" ht="15" hidden="false" customHeight="false" outlineLevel="0" collapsed="false">
      <c r="A12" s="141" t="n">
        <v>2000</v>
      </c>
      <c r="B12" s="3" t="n">
        <v>8516829</v>
      </c>
      <c r="C12" s="3" t="n">
        <v>16953391</v>
      </c>
      <c r="D12" s="3" t="n">
        <v>6642265</v>
      </c>
      <c r="E12" s="3" t="n">
        <v>18315476</v>
      </c>
      <c r="F12" s="3" t="n">
        <v>1611584</v>
      </c>
      <c r="G12" s="3" t="n">
        <v>9773177</v>
      </c>
      <c r="H12" s="3" t="n">
        <v>4030418</v>
      </c>
      <c r="I12" s="3" t="n">
        <v>4425843</v>
      </c>
      <c r="J12" s="3" t="n">
        <v>163480</v>
      </c>
      <c r="K12" s="3" t="n">
        <v>66929167</v>
      </c>
      <c r="L12" s="3" t="n">
        <v>144843</v>
      </c>
      <c r="M12" s="3" t="n">
        <v>5256403</v>
      </c>
      <c r="N12" s="3" t="n">
        <v>4981644</v>
      </c>
      <c r="O12" s="3" t="n">
        <v>122356</v>
      </c>
      <c r="P12" s="3" t="n">
        <v>3131132</v>
      </c>
      <c r="Q12" s="3" t="n">
        <v>270460</v>
      </c>
      <c r="R12" s="3" t="n">
        <v>4055917</v>
      </c>
      <c r="S12" s="3" t="n">
        <v>910070</v>
      </c>
      <c r="T12" s="3" t="n">
        <v>97260636</v>
      </c>
      <c r="U12" s="3" t="n">
        <v>3993628</v>
      </c>
      <c r="V12" s="3" t="n">
        <v>5174038</v>
      </c>
      <c r="W12" s="3" t="n">
        <v>2902551</v>
      </c>
      <c r="X12" s="3" t="n">
        <v>5905377</v>
      </c>
      <c r="Y12" s="3" t="n">
        <v>7110790</v>
      </c>
      <c r="Z12" s="3" t="n">
        <v>16136477</v>
      </c>
      <c r="AA12" s="3" t="n">
        <v>201570</v>
      </c>
      <c r="AB12" s="3" t="n">
        <v>1729134</v>
      </c>
      <c r="AC12" s="3" t="n">
        <v>3537553</v>
      </c>
      <c r="AD12" s="4" t="n">
        <v>8133857</v>
      </c>
      <c r="AE12" s="4" t="n">
        <v>716000000</v>
      </c>
      <c r="AF12" s="3" t="n">
        <v>22160378</v>
      </c>
      <c r="AG12" s="3" t="n">
        <v>1481376</v>
      </c>
      <c r="AH12" s="3" t="n">
        <v>2087087</v>
      </c>
      <c r="AI12" s="3" t="n">
        <v>6093855</v>
      </c>
      <c r="AJ12" s="3" t="n">
        <v>7637506</v>
      </c>
      <c r="AK12" s="3" t="n">
        <v>21023204</v>
      </c>
      <c r="AL12" s="3" t="n">
        <v>2554021</v>
      </c>
      <c r="AM12" s="3" t="n">
        <v>349895</v>
      </c>
      <c r="AN12" s="3" t="n">
        <v>4401567</v>
      </c>
      <c r="AO12" s="3" t="n">
        <v>6547100</v>
      </c>
      <c r="AP12" s="3" t="n">
        <v>33914380</v>
      </c>
      <c r="AQ12" s="3" t="n">
        <v>2839112</v>
      </c>
      <c r="AR12" s="3" t="n">
        <v>253111</v>
      </c>
      <c r="AS12" s="3" t="n">
        <v>1603987</v>
      </c>
      <c r="AT12" s="3" t="n">
        <v>693676</v>
      </c>
      <c r="AU12" s="3" t="n">
        <v>29017091</v>
      </c>
      <c r="AV12" s="11" t="n">
        <v>2483176</v>
      </c>
      <c r="AW12" s="3" t="n">
        <v>29666746</v>
      </c>
      <c r="AX12" s="3" t="n">
        <v>554948</v>
      </c>
      <c r="AY12" s="3" t="n">
        <v>567730</v>
      </c>
      <c r="AZ12" s="3" t="n">
        <v>2234932</v>
      </c>
      <c r="BA12" s="3" t="n">
        <v>9082154</v>
      </c>
      <c r="BB12" s="3" t="n">
        <v>5480225</v>
      </c>
      <c r="BC12" s="3" t="n">
        <v>5382431</v>
      </c>
      <c r="BD12" s="3" t="n">
        <v>3969423</v>
      </c>
      <c r="BE12" s="3" t="n">
        <v>601498</v>
      </c>
      <c r="BF12" s="3" t="n">
        <v>390471</v>
      </c>
      <c r="BG12" s="3" t="n">
        <v>4097066</v>
      </c>
      <c r="BH12" s="4" t="n">
        <v>2956800</v>
      </c>
      <c r="BI12" s="4" t="n">
        <v>545000000</v>
      </c>
      <c r="BJ12" s="4" t="n">
        <v>117000000</v>
      </c>
      <c r="BK12" s="3" t="n">
        <v>35379994</v>
      </c>
      <c r="BL12" s="3" t="n">
        <v>3133837</v>
      </c>
      <c r="BM12" s="3" t="n">
        <v>27837777</v>
      </c>
      <c r="BN12" s="3" t="n">
        <v>1316521</v>
      </c>
      <c r="BO12" s="3" t="n">
        <v>8055797</v>
      </c>
      <c r="BP12" s="3" t="n">
        <v>14806597</v>
      </c>
      <c r="BQ12" s="3" t="n">
        <v>2551226</v>
      </c>
      <c r="BR12" s="3" t="n">
        <v>2482586</v>
      </c>
      <c r="BS12" s="3" t="n">
        <v>1739011</v>
      </c>
      <c r="BT12" s="3" t="n">
        <v>878747</v>
      </c>
      <c r="BU12" s="3" t="n">
        <v>1347623</v>
      </c>
      <c r="BV12" s="3" t="n">
        <v>7185417</v>
      </c>
      <c r="BW12" s="3" t="n">
        <v>4869156</v>
      </c>
      <c r="BX12" s="3" t="n">
        <v>12465633</v>
      </c>
      <c r="BY12" s="3" t="n">
        <v>4860008</v>
      </c>
      <c r="BZ12" s="3" t="n">
        <v>1285135</v>
      </c>
      <c r="CA12" s="3" t="n">
        <v>677591</v>
      </c>
      <c r="CB12" s="3" t="n">
        <v>54205221</v>
      </c>
      <c r="CC12" s="3" t="n">
        <v>1313939</v>
      </c>
      <c r="CD12" s="3" t="n">
        <v>15451233</v>
      </c>
      <c r="CE12" s="3" t="n">
        <v>8197324</v>
      </c>
      <c r="CF12" s="3" t="n">
        <v>26228739</v>
      </c>
      <c r="CG12" s="3" t="n">
        <v>945179</v>
      </c>
      <c r="CH12" s="3" t="n">
        <v>11278263</v>
      </c>
      <c r="CI12" s="3" t="n">
        <v>8057704</v>
      </c>
      <c r="CJ12" s="3" t="n">
        <v>1949731</v>
      </c>
      <c r="CK12" s="3" t="n">
        <v>2528543</v>
      </c>
      <c r="CL12" s="3" t="n">
        <v>4815964</v>
      </c>
      <c r="CM12" s="3" t="n">
        <v>57008384</v>
      </c>
      <c r="CN12" s="3" t="n">
        <v>64877469</v>
      </c>
      <c r="CO12" s="3" t="n">
        <v>1609809</v>
      </c>
      <c r="CP12" s="3" t="n">
        <v>2705782</v>
      </c>
      <c r="CQ12" s="3" t="n">
        <v>2612944</v>
      </c>
      <c r="CR12" s="3" t="n">
        <v>13481294</v>
      </c>
      <c r="CS12" s="3" t="n">
        <v>39691571</v>
      </c>
      <c r="CT12" s="3" t="n">
        <v>1968481</v>
      </c>
      <c r="CU12" s="3" t="n">
        <v>78504965</v>
      </c>
      <c r="CV12" s="3" t="n">
        <v>3742224</v>
      </c>
      <c r="CW12" s="3" t="n">
        <v>80901</v>
      </c>
      <c r="CX12" s="3" t="n">
        <v>62571</v>
      </c>
      <c r="CY12" s="3" t="n">
        <v>4469560</v>
      </c>
      <c r="CZ12" s="3" t="n">
        <v>1855216</v>
      </c>
      <c r="DA12" s="3" t="n">
        <v>3196937</v>
      </c>
      <c r="DB12" s="3" t="n">
        <v>23249110</v>
      </c>
      <c r="DC12" s="3" t="n">
        <v>2993126</v>
      </c>
      <c r="DD12" s="3" t="n">
        <v>21217419</v>
      </c>
      <c r="DE12" s="3" t="n">
        <v>10485791</v>
      </c>
      <c r="DF12" s="3" t="n">
        <v>13143657</v>
      </c>
      <c r="DG12" s="3" t="n">
        <v>247878</v>
      </c>
      <c r="DH12" s="3" t="n">
        <v>487120</v>
      </c>
      <c r="DI12" s="12" t="n">
        <v>4046740</v>
      </c>
      <c r="DJ12" s="3" t="n">
        <v>3561747</v>
      </c>
      <c r="DK12" s="3" t="n">
        <v>2968875</v>
      </c>
      <c r="DL12" s="3" t="n">
        <v>36104960</v>
      </c>
      <c r="DM12" s="3" t="n">
        <v>343103</v>
      </c>
      <c r="DN12" s="3" t="n">
        <v>2252533</v>
      </c>
      <c r="DO12" s="3" t="n">
        <v>710591</v>
      </c>
      <c r="DP12" s="3" t="n">
        <v>5214208</v>
      </c>
      <c r="DQ12" s="3" t="n">
        <v>10116126</v>
      </c>
      <c r="DR12" s="3" t="n">
        <v>25334835</v>
      </c>
      <c r="DS12" s="3" t="n">
        <v>28179256</v>
      </c>
      <c r="DT12" s="4" t="n">
        <v>15588481</v>
      </c>
      <c r="DU12" s="4" t="n">
        <v>146000000</v>
      </c>
      <c r="DV12" s="3" t="n">
        <v>1604883</v>
      </c>
      <c r="DW12" s="3" t="n">
        <v>12730186</v>
      </c>
      <c r="DX12" s="3" t="n">
        <v>12911079</v>
      </c>
      <c r="DY12" s="3" t="n">
        <v>42281445</v>
      </c>
      <c r="DZ12" s="3" t="n">
        <v>7597786</v>
      </c>
      <c r="EA12" s="3" t="n">
        <v>4742899</v>
      </c>
      <c r="EB12" s="3" t="n">
        <v>6089885</v>
      </c>
      <c r="EC12" s="3" t="n">
        <v>2878361335</v>
      </c>
      <c r="ED12" s="3"/>
    </row>
    <row r="13" customFormat="false" ht="15" hidden="false" customHeight="false" outlineLevel="0" collapsed="false">
      <c r="A13" s="141" t="n">
        <v>2001</v>
      </c>
      <c r="B13" s="3" t="n">
        <v>8894962</v>
      </c>
      <c r="C13" s="3" t="n">
        <v>17441239</v>
      </c>
      <c r="D13" s="3" t="n">
        <v>6845739</v>
      </c>
      <c r="E13" s="3" t="n">
        <v>18558322</v>
      </c>
      <c r="F13" s="3" t="n">
        <v>1623433</v>
      </c>
      <c r="G13" s="3" t="n">
        <v>9863457</v>
      </c>
      <c r="H13" s="3" t="n">
        <v>4047723</v>
      </c>
      <c r="I13" s="3" t="n">
        <v>4530374</v>
      </c>
      <c r="J13" s="3" t="n">
        <v>167195</v>
      </c>
      <c r="K13" s="3" t="n">
        <v>68854280</v>
      </c>
      <c r="L13" s="3" t="n">
        <v>144933</v>
      </c>
      <c r="M13" s="3" t="n">
        <v>5248018</v>
      </c>
      <c r="N13" s="3" t="n">
        <v>4984455</v>
      </c>
      <c r="O13" s="3" t="n">
        <v>127410</v>
      </c>
      <c r="P13" s="3" t="n">
        <v>3245882</v>
      </c>
      <c r="Q13" s="3" t="n">
        <v>285879</v>
      </c>
      <c r="R13" s="3" t="n">
        <v>4143889</v>
      </c>
      <c r="S13" s="3" t="n">
        <v>930092</v>
      </c>
      <c r="T13" s="3" t="n">
        <v>98842421</v>
      </c>
      <c r="U13" s="3" t="n">
        <v>3915711</v>
      </c>
      <c r="V13" s="3" t="n">
        <v>5334090</v>
      </c>
      <c r="W13" s="3" t="n">
        <v>3028932</v>
      </c>
      <c r="X13" s="3" t="n">
        <v>6152709</v>
      </c>
      <c r="Y13" s="3" t="n">
        <v>7334718</v>
      </c>
      <c r="Z13" s="3" t="n">
        <v>16230334</v>
      </c>
      <c r="AA13" s="3" t="n">
        <v>209637</v>
      </c>
      <c r="AB13" s="3" t="n">
        <v>1759747</v>
      </c>
      <c r="AC13" s="3" t="n">
        <v>3666050</v>
      </c>
      <c r="AD13" s="4" t="n">
        <v>8238232</v>
      </c>
      <c r="AE13" s="4" t="n">
        <v>725000000</v>
      </c>
      <c r="AF13" s="3" t="n">
        <v>22560251</v>
      </c>
      <c r="AG13" s="3" t="n">
        <v>1514801</v>
      </c>
      <c r="AH13" s="3" t="n">
        <v>2135227</v>
      </c>
      <c r="AI13" s="3" t="n">
        <v>6100453</v>
      </c>
      <c r="AJ13" s="3" t="n">
        <v>7767442</v>
      </c>
      <c r="AK13" s="3" t="n">
        <v>21620929</v>
      </c>
      <c r="AL13" s="3" t="n">
        <v>2540575</v>
      </c>
      <c r="AM13" s="3" t="n">
        <v>359207</v>
      </c>
      <c r="AN13" s="3" t="n">
        <v>4488448</v>
      </c>
      <c r="AO13" s="3" t="n">
        <v>6675414</v>
      </c>
      <c r="AP13" s="3" t="n">
        <v>34955811</v>
      </c>
      <c r="AQ13" s="3" t="n">
        <v>2862718</v>
      </c>
      <c r="AR13" s="3" t="n">
        <v>262606</v>
      </c>
      <c r="AS13" s="3" t="n">
        <v>1693220</v>
      </c>
      <c r="AT13" s="3" t="n">
        <v>691296</v>
      </c>
      <c r="AU13" s="3" t="n">
        <v>29858269</v>
      </c>
      <c r="AV13" s="11" t="n">
        <v>2464897</v>
      </c>
      <c r="AW13" s="3" t="n">
        <v>29639274</v>
      </c>
      <c r="AX13" s="3" t="n">
        <v>572838</v>
      </c>
      <c r="AY13" s="3" t="n">
        <v>584570</v>
      </c>
      <c r="AZ13" s="3" t="n">
        <v>2233261</v>
      </c>
      <c r="BA13" s="3" t="n">
        <v>9348654</v>
      </c>
      <c r="BB13" s="3" t="n">
        <v>5489075</v>
      </c>
      <c r="BC13" s="3" t="n">
        <v>5538812</v>
      </c>
      <c r="BD13" s="3" t="n">
        <v>4040395</v>
      </c>
      <c r="BE13" s="3" t="n">
        <v>616781</v>
      </c>
      <c r="BF13" s="3" t="n">
        <v>388441</v>
      </c>
      <c r="BG13" s="3" t="n">
        <v>4202806</v>
      </c>
      <c r="BH13" s="4" t="n">
        <v>3040183</v>
      </c>
      <c r="BI13" s="4" t="n">
        <v>556000000</v>
      </c>
      <c r="BJ13" s="4" t="n">
        <v>119000000</v>
      </c>
      <c r="BK13" s="3" t="n">
        <v>36853745</v>
      </c>
      <c r="BL13" s="3" t="n">
        <v>3191544</v>
      </c>
      <c r="BM13" s="3" t="n">
        <v>27732850</v>
      </c>
      <c r="BN13" s="3" t="n">
        <v>1329482</v>
      </c>
      <c r="BO13" s="3" t="n">
        <v>8120504</v>
      </c>
      <c r="BP13" s="3" t="n">
        <v>15252813</v>
      </c>
      <c r="BQ13" s="3" t="n">
        <v>2606274</v>
      </c>
      <c r="BR13" s="3" t="n">
        <v>2542568</v>
      </c>
      <c r="BS13" s="3" t="n">
        <v>1796697</v>
      </c>
      <c r="BT13" s="3" t="n">
        <v>888079</v>
      </c>
      <c r="BU13" s="3" t="n">
        <v>1397266</v>
      </c>
      <c r="BV13" s="3" t="n">
        <v>7402084</v>
      </c>
      <c r="BW13" s="3" t="n">
        <v>4993784</v>
      </c>
      <c r="BX13" s="3" t="n">
        <v>12764249</v>
      </c>
      <c r="BY13" s="3" t="n">
        <v>5013683</v>
      </c>
      <c r="BZ13" s="3" t="n">
        <v>1331469</v>
      </c>
      <c r="CA13" s="3" t="n">
        <v>680193</v>
      </c>
      <c r="CB13" s="3" t="n">
        <v>55098576</v>
      </c>
      <c r="CC13" s="3" t="n">
        <v>1350848</v>
      </c>
      <c r="CD13" s="3" t="n">
        <v>15736830</v>
      </c>
      <c r="CE13" s="3" t="n">
        <v>8404809</v>
      </c>
      <c r="CF13" s="3" t="n">
        <v>26565734</v>
      </c>
      <c r="CG13" s="3" t="n">
        <v>961344</v>
      </c>
      <c r="CH13" s="3" t="n">
        <v>11453964</v>
      </c>
      <c r="CI13" s="3" t="n">
        <v>8048208</v>
      </c>
      <c r="CJ13" s="3" t="n">
        <v>1957555</v>
      </c>
      <c r="CK13" s="3" t="n">
        <v>2594337</v>
      </c>
      <c r="CL13" s="3" t="n">
        <v>4958542</v>
      </c>
      <c r="CM13" s="3" t="n">
        <v>58492889</v>
      </c>
      <c r="CN13" s="3" t="n">
        <v>66980920</v>
      </c>
      <c r="CO13" s="3" t="n">
        <v>1641931</v>
      </c>
      <c r="CP13" s="3" t="n">
        <v>2771746</v>
      </c>
      <c r="CQ13" s="3" t="n">
        <v>2678655</v>
      </c>
      <c r="CR13" s="3" t="n">
        <v>13722691</v>
      </c>
      <c r="CS13" s="3" t="n">
        <v>40580342</v>
      </c>
      <c r="CT13" s="3" t="n">
        <v>1984961</v>
      </c>
      <c r="CU13" s="3" t="n">
        <v>78563582</v>
      </c>
      <c r="CV13" s="3" t="n">
        <v>3911071</v>
      </c>
      <c r="CW13" s="3" t="n">
        <v>82896</v>
      </c>
      <c r="CX13" s="3" t="n">
        <v>64361</v>
      </c>
      <c r="CY13" s="3" t="n">
        <v>4612357</v>
      </c>
      <c r="CZ13" s="3" t="n">
        <v>1930944</v>
      </c>
      <c r="DA13" s="3" t="n">
        <v>3275628</v>
      </c>
      <c r="DB13" s="3" t="n">
        <v>23776242</v>
      </c>
      <c r="DC13" s="3" t="n">
        <v>3117403</v>
      </c>
      <c r="DD13" s="3" t="n">
        <v>21528816</v>
      </c>
      <c r="DE13" s="3" t="n">
        <v>10310955</v>
      </c>
      <c r="DF13" s="3" t="n">
        <v>13497993</v>
      </c>
      <c r="DG13" s="3" t="n">
        <v>252649</v>
      </c>
      <c r="DH13" s="3" t="n">
        <v>497481</v>
      </c>
      <c r="DI13" s="12" t="n">
        <v>4056372</v>
      </c>
      <c r="DJ13" s="3" t="n">
        <v>3579324</v>
      </c>
      <c r="DK13" s="3" t="n">
        <v>3069090</v>
      </c>
      <c r="DL13" s="3" t="n">
        <v>36456959</v>
      </c>
      <c r="DM13" s="3" t="n">
        <v>351000</v>
      </c>
      <c r="DN13" s="3" t="n">
        <v>2326709</v>
      </c>
      <c r="DO13" s="3" t="n">
        <v>719093</v>
      </c>
      <c r="DP13" s="3" t="n">
        <v>5317403</v>
      </c>
      <c r="DQ13" s="3" t="n">
        <v>10444359</v>
      </c>
      <c r="DR13" s="3" t="n">
        <v>25159765</v>
      </c>
      <c r="DS13" s="3" t="n">
        <v>28295474</v>
      </c>
      <c r="DT13" s="4" t="n">
        <v>16008750</v>
      </c>
      <c r="DU13" s="4" t="n">
        <v>146000000</v>
      </c>
      <c r="DV13" s="3" t="n">
        <v>1607029</v>
      </c>
      <c r="DW13" s="3" t="n">
        <v>13084197</v>
      </c>
      <c r="DX13" s="3" t="n">
        <v>13206877</v>
      </c>
      <c r="DY13" s="3" t="n">
        <v>43460066</v>
      </c>
      <c r="DZ13" s="3" t="n">
        <v>7905491</v>
      </c>
      <c r="EA13" s="3" t="n">
        <v>4862713</v>
      </c>
      <c r="EB13" s="3" t="n">
        <v>6164716</v>
      </c>
      <c r="EC13" s="3" t="n">
        <v>2926276448</v>
      </c>
      <c r="ED13" s="3"/>
    </row>
    <row r="14" customFormat="false" ht="15" hidden="false" customHeight="false" outlineLevel="0" collapsed="false">
      <c r="A14" s="141" t="n">
        <v>2002</v>
      </c>
      <c r="B14" s="3" t="n">
        <v>9349540</v>
      </c>
      <c r="C14" s="3" t="n">
        <v>17890908</v>
      </c>
      <c r="D14" s="3" t="n">
        <v>7072934</v>
      </c>
      <c r="E14" s="3" t="n">
        <v>18789359</v>
      </c>
      <c r="F14" s="3" t="n">
        <v>1633744</v>
      </c>
      <c r="G14" s="3" t="n">
        <v>9945577</v>
      </c>
      <c r="H14" s="3" t="n">
        <v>4067041</v>
      </c>
      <c r="I14" s="3" t="n">
        <v>4630144</v>
      </c>
      <c r="J14" s="3" t="n">
        <v>171001</v>
      </c>
      <c r="K14" s="3" t="n">
        <v>70832939</v>
      </c>
      <c r="L14" s="3" t="n">
        <v>144745</v>
      </c>
      <c r="M14" s="3" t="n">
        <v>5244454</v>
      </c>
      <c r="N14" s="3" t="n">
        <v>4992903</v>
      </c>
      <c r="O14" s="3" t="n">
        <v>132270</v>
      </c>
      <c r="P14" s="3" t="n">
        <v>3369334</v>
      </c>
      <c r="Q14" s="3" t="n">
        <v>302606</v>
      </c>
      <c r="R14" s="3" t="n">
        <v>4231996</v>
      </c>
      <c r="S14" s="3" t="n">
        <v>949394</v>
      </c>
      <c r="T14" s="4" t="n">
        <v>100000000</v>
      </c>
      <c r="U14" s="3" t="n">
        <v>3839999</v>
      </c>
      <c r="V14" s="3" t="n">
        <v>5503994</v>
      </c>
      <c r="W14" s="3" t="n">
        <v>3171376</v>
      </c>
      <c r="X14" s="3" t="n">
        <v>6361077</v>
      </c>
      <c r="Y14" s="3" t="n">
        <v>7568144</v>
      </c>
      <c r="Z14" s="3" t="n">
        <v>16295862</v>
      </c>
      <c r="AA14" s="3" t="n">
        <v>217783</v>
      </c>
      <c r="AB14" s="3" t="n">
        <v>1792414</v>
      </c>
      <c r="AC14" s="3" t="n">
        <v>3805139</v>
      </c>
      <c r="AD14" s="4" t="n">
        <v>8343354</v>
      </c>
      <c r="AE14" s="4" t="n">
        <v>733000000</v>
      </c>
      <c r="AF14" s="3" t="n">
        <v>22926168</v>
      </c>
      <c r="AG14" s="3" t="n">
        <v>1548194</v>
      </c>
      <c r="AH14" s="3" t="n">
        <v>2183345</v>
      </c>
      <c r="AI14" s="3" t="n">
        <v>6111999</v>
      </c>
      <c r="AJ14" s="3" t="n">
        <v>7892394</v>
      </c>
      <c r="AK14" s="3" t="n">
        <v>22292351</v>
      </c>
      <c r="AL14" s="3" t="n">
        <v>2529336</v>
      </c>
      <c r="AM14" s="3" t="n">
        <v>369613</v>
      </c>
      <c r="AN14" s="3" t="n">
        <v>4569101</v>
      </c>
      <c r="AO14" s="3" t="n">
        <v>6801523</v>
      </c>
      <c r="AP14" s="3" t="n">
        <v>36064479</v>
      </c>
      <c r="AQ14" s="3" t="n">
        <v>2884754</v>
      </c>
      <c r="AR14" s="3" t="n">
        <v>272997</v>
      </c>
      <c r="AS14" s="3" t="n">
        <v>1790419</v>
      </c>
      <c r="AT14" s="3" t="n">
        <v>688914</v>
      </c>
      <c r="AU14" s="3" t="n">
        <v>30773365</v>
      </c>
      <c r="AV14" s="11" t="n">
        <v>2446587</v>
      </c>
      <c r="AW14" s="3" t="n">
        <v>29637791</v>
      </c>
      <c r="AX14" s="3" t="n">
        <v>591364</v>
      </c>
      <c r="AY14" s="3" t="n">
        <v>602628</v>
      </c>
      <c r="AZ14" s="3" t="n">
        <v>2233547</v>
      </c>
      <c r="BA14" s="3" t="n">
        <v>9628864</v>
      </c>
      <c r="BB14" s="3" t="n">
        <v>5488757</v>
      </c>
      <c r="BC14" s="3" t="n">
        <v>5695876</v>
      </c>
      <c r="BD14" s="3" t="n">
        <v>4114911</v>
      </c>
      <c r="BE14" s="3" t="n">
        <v>632315</v>
      </c>
      <c r="BF14" s="3" t="n">
        <v>384403</v>
      </c>
      <c r="BG14" s="3" t="n">
        <v>4307404</v>
      </c>
      <c r="BH14" s="4" t="n">
        <v>3124301</v>
      </c>
      <c r="BI14" s="4" t="n">
        <v>567000000</v>
      </c>
      <c r="BJ14" s="4" t="n">
        <v>121000000</v>
      </c>
      <c r="BK14" s="3" t="n">
        <v>38326198</v>
      </c>
      <c r="BL14" s="3" t="n">
        <v>3238904</v>
      </c>
      <c r="BM14" s="3" t="n">
        <v>27654097</v>
      </c>
      <c r="BN14" s="3" t="n">
        <v>1338719</v>
      </c>
      <c r="BO14" s="3" t="n">
        <v>8193262</v>
      </c>
      <c r="BP14" s="3" t="n">
        <v>15722719</v>
      </c>
      <c r="BQ14" s="3" t="n">
        <v>2664875</v>
      </c>
      <c r="BR14" s="3" t="n">
        <v>2601150</v>
      </c>
      <c r="BS14" s="3" t="n">
        <v>1876866</v>
      </c>
      <c r="BT14" s="3" t="n">
        <v>898216</v>
      </c>
      <c r="BU14" s="3" t="n">
        <v>1431870</v>
      </c>
      <c r="BV14" s="3" t="n">
        <v>7638353</v>
      </c>
      <c r="BW14" s="3" t="n">
        <v>5131536</v>
      </c>
      <c r="BX14" s="3" t="n">
        <v>13080077</v>
      </c>
      <c r="BY14" s="3" t="n">
        <v>5176065</v>
      </c>
      <c r="BZ14" s="3" t="n">
        <v>1379816</v>
      </c>
      <c r="CA14" s="3" t="n">
        <v>679323</v>
      </c>
      <c r="CB14" s="3" t="n">
        <v>55903987</v>
      </c>
      <c r="CC14" s="3" t="n">
        <v>1392001</v>
      </c>
      <c r="CD14" s="3" t="n">
        <v>15970898</v>
      </c>
      <c r="CE14" s="3" t="n">
        <v>8628068</v>
      </c>
      <c r="CF14" s="3" t="n">
        <v>26833507</v>
      </c>
      <c r="CG14" s="3" t="n">
        <v>974876</v>
      </c>
      <c r="CH14" s="3" t="n">
        <v>11610119</v>
      </c>
      <c r="CI14" s="3" t="n">
        <v>8035934</v>
      </c>
      <c r="CJ14" s="3" t="n">
        <v>1988747</v>
      </c>
      <c r="CK14" s="3" t="n">
        <v>2656137</v>
      </c>
      <c r="CL14" s="3" t="n">
        <v>5114152</v>
      </c>
      <c r="CM14" s="3" t="n">
        <v>60049717</v>
      </c>
      <c r="CN14" s="3" t="n">
        <v>69250681</v>
      </c>
      <c r="CO14" s="3" t="n">
        <v>1675366</v>
      </c>
      <c r="CP14" s="3" t="n">
        <v>2839439</v>
      </c>
      <c r="CQ14" s="3" t="n">
        <v>2746855</v>
      </c>
      <c r="CR14" s="3" t="n">
        <v>13959007</v>
      </c>
      <c r="CS14" s="3" t="n">
        <v>41458173</v>
      </c>
      <c r="CT14" s="3" t="n">
        <v>1999513</v>
      </c>
      <c r="CU14" s="3" t="n">
        <v>78676960</v>
      </c>
      <c r="CV14" s="3" t="n">
        <v>4057467</v>
      </c>
      <c r="CW14" s="3" t="n">
        <v>84831</v>
      </c>
      <c r="CX14" s="3" t="n">
        <v>66459</v>
      </c>
      <c r="CY14" s="3" t="n">
        <v>4763148</v>
      </c>
      <c r="CZ14" s="3" t="n">
        <v>2029259</v>
      </c>
      <c r="DA14" s="3" t="n">
        <v>3359910</v>
      </c>
      <c r="DB14" s="3" t="n">
        <v>24218229</v>
      </c>
      <c r="DC14" s="3" t="n">
        <v>3246617</v>
      </c>
      <c r="DD14" s="3" t="n">
        <v>21902581</v>
      </c>
      <c r="DE14" s="3" t="n">
        <v>10354869</v>
      </c>
      <c r="DF14" s="3" t="n">
        <v>13868367</v>
      </c>
      <c r="DG14" s="3" t="n">
        <v>256682</v>
      </c>
      <c r="DH14" s="3" t="n">
        <v>506497</v>
      </c>
      <c r="DI14" s="12" t="n">
        <v>4066703</v>
      </c>
      <c r="DJ14" s="3" t="n">
        <v>3603786</v>
      </c>
      <c r="DK14" s="3" t="n">
        <v>3184453</v>
      </c>
      <c r="DL14" s="3" t="n">
        <v>36748952</v>
      </c>
      <c r="DM14" s="3" t="n">
        <v>364321</v>
      </c>
      <c r="DN14" s="3" t="n">
        <v>2403755</v>
      </c>
      <c r="DO14" s="3" t="n">
        <v>726469</v>
      </c>
      <c r="DP14" s="3" t="n">
        <v>5416051</v>
      </c>
      <c r="DQ14" s="3" t="n">
        <v>10793488</v>
      </c>
      <c r="DR14" s="3" t="n">
        <v>24938010</v>
      </c>
      <c r="DS14" s="3" t="n">
        <v>28477561</v>
      </c>
      <c r="DT14" s="4" t="n">
        <v>16438772</v>
      </c>
      <c r="DU14" s="4" t="n">
        <v>147000000</v>
      </c>
      <c r="DV14" s="3" t="n">
        <v>1606325</v>
      </c>
      <c r="DW14" s="3" t="n">
        <v>13444479</v>
      </c>
      <c r="DX14" s="3" t="n">
        <v>13507734</v>
      </c>
      <c r="DY14" s="3" t="n">
        <v>44446887</v>
      </c>
      <c r="DZ14" s="3" t="n">
        <v>8214957</v>
      </c>
      <c r="EA14" s="3" t="n">
        <v>4988932</v>
      </c>
      <c r="EB14" s="3" t="n">
        <v>6228233</v>
      </c>
      <c r="EC14" s="3" t="n">
        <v>2974348698</v>
      </c>
      <c r="ED14" s="3"/>
    </row>
    <row r="15" customFormat="false" ht="15" hidden="false" customHeight="false" outlineLevel="0" collapsed="false">
      <c r="A15" s="141" t="n">
        <v>2003</v>
      </c>
      <c r="B15" s="3" t="n">
        <v>9846928</v>
      </c>
      <c r="C15" s="3" t="n">
        <v>18313871</v>
      </c>
      <c r="D15" s="3" t="n">
        <v>7318768</v>
      </c>
      <c r="E15" s="3" t="n">
        <v>19014559</v>
      </c>
      <c r="F15" s="3" t="n">
        <v>1641578</v>
      </c>
      <c r="G15" s="3" t="n">
        <v>10031237</v>
      </c>
      <c r="H15" s="3" t="n">
        <v>4083656</v>
      </c>
      <c r="I15" s="3" t="n">
        <v>4726617</v>
      </c>
      <c r="J15" s="3" t="n">
        <v>174926</v>
      </c>
      <c r="K15" s="3" t="n">
        <v>72811536</v>
      </c>
      <c r="L15" s="3" t="n">
        <v>144346</v>
      </c>
      <c r="M15" s="3" t="n">
        <v>5232053</v>
      </c>
      <c r="N15" s="3" t="n">
        <v>4999420</v>
      </c>
      <c r="O15" s="3" t="n">
        <v>137088</v>
      </c>
      <c r="P15" s="3" t="n">
        <v>3499978</v>
      </c>
      <c r="Q15" s="3" t="n">
        <v>319870</v>
      </c>
      <c r="R15" s="3" t="n">
        <v>4320515</v>
      </c>
      <c r="S15" s="3" t="n">
        <v>968615</v>
      </c>
      <c r="T15" s="4" t="n">
        <v>102000000</v>
      </c>
      <c r="U15" s="3" t="n">
        <v>3816030</v>
      </c>
      <c r="V15" s="3" t="n">
        <v>5683639</v>
      </c>
      <c r="W15" s="3" t="n">
        <v>3326090</v>
      </c>
      <c r="X15" s="3" t="n">
        <v>6537033</v>
      </c>
      <c r="Y15" s="3" t="n">
        <v>7811359</v>
      </c>
      <c r="Z15" s="3" t="n">
        <v>16369347</v>
      </c>
      <c r="AA15" s="3" t="n">
        <v>225899</v>
      </c>
      <c r="AB15" s="3" t="n">
        <v>1827115</v>
      </c>
      <c r="AC15" s="3" t="n">
        <v>3953018</v>
      </c>
      <c r="AD15" s="4" t="n">
        <v>8447729</v>
      </c>
      <c r="AE15" s="4" t="n">
        <v>742000000</v>
      </c>
      <c r="AF15" s="3" t="n">
        <v>23267735</v>
      </c>
      <c r="AG15" s="3" t="n">
        <v>1582733</v>
      </c>
      <c r="AH15" s="3" t="n">
        <v>2230526</v>
      </c>
      <c r="AI15" s="3" t="n">
        <v>6125590</v>
      </c>
      <c r="AJ15" s="3" t="n">
        <v>8018191</v>
      </c>
      <c r="AK15" s="3" t="n">
        <v>23027232</v>
      </c>
      <c r="AL15" s="3" t="n">
        <v>2520174</v>
      </c>
      <c r="AM15" s="3" t="n">
        <v>380788</v>
      </c>
      <c r="AN15" s="3" t="n">
        <v>4645465</v>
      </c>
      <c r="AO15" s="3" t="n">
        <v>6926611</v>
      </c>
      <c r="AP15" s="3" t="n">
        <v>37201299</v>
      </c>
      <c r="AQ15" s="3" t="n">
        <v>2906208</v>
      </c>
      <c r="AR15" s="3" t="n">
        <v>283934</v>
      </c>
      <c r="AS15" s="3" t="n">
        <v>1890895</v>
      </c>
      <c r="AT15" s="3" t="n">
        <v>686292</v>
      </c>
      <c r="AU15" s="3" t="n">
        <v>31745422</v>
      </c>
      <c r="AV15" s="11" t="n">
        <v>2428898</v>
      </c>
      <c r="AW15" s="3" t="n">
        <v>29646389</v>
      </c>
      <c r="AX15" s="3" t="n">
        <v>610476</v>
      </c>
      <c r="AY15" s="3" t="n">
        <v>621708</v>
      </c>
      <c r="AZ15" s="3" t="n">
        <v>2220475</v>
      </c>
      <c r="BA15" s="3" t="n">
        <v>9921566</v>
      </c>
      <c r="BB15" s="3" t="n">
        <v>5480581</v>
      </c>
      <c r="BC15" s="3" t="n">
        <v>5855778</v>
      </c>
      <c r="BD15" s="3" t="n">
        <v>4196025</v>
      </c>
      <c r="BE15" s="3" t="n">
        <v>648309</v>
      </c>
      <c r="BF15" s="3" t="n">
        <v>378982</v>
      </c>
      <c r="BG15" s="3" t="n">
        <v>4411077</v>
      </c>
      <c r="BH15" s="4" t="n">
        <v>3209694</v>
      </c>
      <c r="BI15" s="4" t="n">
        <v>578000000</v>
      </c>
      <c r="BJ15" s="4" t="n">
        <v>122000000</v>
      </c>
      <c r="BK15" s="3" t="n">
        <v>39791235</v>
      </c>
      <c r="BL15" s="3" t="n">
        <v>3279793</v>
      </c>
      <c r="BM15" s="3" t="n">
        <v>27653281</v>
      </c>
      <c r="BN15" s="3" t="n">
        <v>1346622</v>
      </c>
      <c r="BO15" s="3" t="n">
        <v>8286325</v>
      </c>
      <c r="BP15" s="3" t="n">
        <v>16207273</v>
      </c>
      <c r="BQ15" s="3" t="n">
        <v>2731004</v>
      </c>
      <c r="BR15" s="3" t="n">
        <v>2661434</v>
      </c>
      <c r="BS15" s="3" t="n">
        <v>1967596</v>
      </c>
      <c r="BT15" s="3" t="n">
        <v>908907</v>
      </c>
      <c r="BU15" s="3" t="n">
        <v>1459371</v>
      </c>
      <c r="BV15" s="3" t="n">
        <v>7891179</v>
      </c>
      <c r="BW15" s="3" t="n">
        <v>5281634</v>
      </c>
      <c r="BX15" s="3" t="n">
        <v>13411634</v>
      </c>
      <c r="BY15" s="3" t="n">
        <v>5348148</v>
      </c>
      <c r="BZ15" s="3" t="n">
        <v>1429395</v>
      </c>
      <c r="CA15" s="3" t="n">
        <v>677350</v>
      </c>
      <c r="CB15" s="3" t="n">
        <v>56665359</v>
      </c>
      <c r="CC15" s="3" t="n">
        <v>1435423</v>
      </c>
      <c r="CD15" s="3" t="n">
        <v>16167124</v>
      </c>
      <c r="CE15" s="3" t="n">
        <v>8864824</v>
      </c>
      <c r="CF15" s="3" t="n">
        <v>27041371</v>
      </c>
      <c r="CG15" s="3" t="n">
        <v>987362</v>
      </c>
      <c r="CH15" s="3" t="n">
        <v>11753055</v>
      </c>
      <c r="CI15" s="3" t="n">
        <v>8015510</v>
      </c>
      <c r="CJ15" s="3" t="n">
        <v>2026109</v>
      </c>
      <c r="CK15" s="3" t="n">
        <v>2714517</v>
      </c>
      <c r="CL15" s="3" t="n">
        <v>5279586</v>
      </c>
      <c r="CM15" s="3" t="n">
        <v>61671517</v>
      </c>
      <c r="CN15" s="3" t="n">
        <v>71627618</v>
      </c>
      <c r="CO15" s="3" t="n">
        <v>1709211</v>
      </c>
      <c r="CP15" s="3" t="n">
        <v>2908728</v>
      </c>
      <c r="CQ15" s="3" t="n">
        <v>2815808</v>
      </c>
      <c r="CR15" s="3" t="n">
        <v>14194167</v>
      </c>
      <c r="CS15" s="3" t="n">
        <v>42316690</v>
      </c>
      <c r="CT15" s="3" t="n">
        <v>2010652</v>
      </c>
      <c r="CU15" s="3" t="n">
        <v>78774956</v>
      </c>
      <c r="CV15" s="3" t="n">
        <v>4189882</v>
      </c>
      <c r="CW15" s="3" t="n">
        <v>86760</v>
      </c>
      <c r="CX15" s="3" t="n">
        <v>68697</v>
      </c>
      <c r="CY15" s="3" t="n">
        <v>4920935</v>
      </c>
      <c r="CZ15" s="3" t="n">
        <v>2140080</v>
      </c>
      <c r="DA15" s="3" t="n">
        <v>3448488</v>
      </c>
      <c r="DB15" s="3" t="n">
        <v>24670671</v>
      </c>
      <c r="DC15" s="3" t="n">
        <v>3383600</v>
      </c>
      <c r="DD15" s="3" t="n">
        <v>22283486</v>
      </c>
      <c r="DE15" s="3" t="n">
        <v>10453261</v>
      </c>
      <c r="DF15" s="3" t="n">
        <v>14254377</v>
      </c>
      <c r="DG15" s="3" t="n">
        <v>260024</v>
      </c>
      <c r="DH15" s="3" t="n">
        <v>514889</v>
      </c>
      <c r="DI15" s="12" t="n">
        <v>4080215</v>
      </c>
      <c r="DJ15" s="3" t="n">
        <v>3629288</v>
      </c>
      <c r="DK15" s="3" t="n">
        <v>3309176</v>
      </c>
      <c r="DL15" s="3" t="n">
        <v>36963157</v>
      </c>
      <c r="DM15" s="3" t="n">
        <v>381033</v>
      </c>
      <c r="DN15" s="3" t="n">
        <v>2483346</v>
      </c>
      <c r="DO15" s="3" t="n">
        <v>732520</v>
      </c>
      <c r="DP15" s="3" t="n">
        <v>5504487</v>
      </c>
      <c r="DQ15" s="3" t="n">
        <v>11164762</v>
      </c>
      <c r="DR15" s="3" t="n">
        <v>24722368</v>
      </c>
      <c r="DS15" s="3" t="n">
        <v>28701963</v>
      </c>
      <c r="DT15" s="4" t="n">
        <v>16883280</v>
      </c>
      <c r="DU15" s="4" t="n">
        <v>147000000</v>
      </c>
      <c r="DV15" s="3" t="n">
        <v>1604274</v>
      </c>
      <c r="DW15" s="3" t="n">
        <v>13800044</v>
      </c>
      <c r="DX15" s="3" t="n">
        <v>13809263</v>
      </c>
      <c r="DY15" s="3" t="n">
        <v>45342155</v>
      </c>
      <c r="DZ15" s="3" t="n">
        <v>8535899</v>
      </c>
      <c r="EA15" s="3" t="n">
        <v>5122042</v>
      </c>
      <c r="EB15" s="3" t="n">
        <v>6288527</v>
      </c>
      <c r="EC15" s="3" t="n">
        <v>3022696590</v>
      </c>
      <c r="ED15" s="3"/>
    </row>
    <row r="16" customFormat="false" ht="15" hidden="false" customHeight="false" outlineLevel="0" collapsed="false">
      <c r="A16" s="141" t="n">
        <v>2004</v>
      </c>
      <c r="B16" s="3" t="n">
        <v>10342506</v>
      </c>
      <c r="C16" s="3" t="n">
        <v>18724179</v>
      </c>
      <c r="D16" s="3" t="n">
        <v>7577895</v>
      </c>
      <c r="E16" s="3" t="n">
        <v>19241499</v>
      </c>
      <c r="F16" s="3" t="n">
        <v>1645911</v>
      </c>
      <c r="G16" s="3" t="n">
        <v>10108388</v>
      </c>
      <c r="H16" s="3" t="n">
        <v>4104560</v>
      </c>
      <c r="I16" s="3" t="n">
        <v>4823927</v>
      </c>
      <c r="J16" s="3" t="n">
        <v>178938</v>
      </c>
      <c r="K16" s="3" t="n">
        <v>74719052</v>
      </c>
      <c r="L16" s="3" t="n">
        <v>143830</v>
      </c>
      <c r="M16" s="3" t="n">
        <v>5208231</v>
      </c>
      <c r="N16" s="3" t="n">
        <v>5005184</v>
      </c>
      <c r="O16" s="3" t="n">
        <v>142085</v>
      </c>
      <c r="P16" s="3" t="n">
        <v>3635988</v>
      </c>
      <c r="Q16" s="3" t="n">
        <v>336713</v>
      </c>
      <c r="R16" s="3" t="n">
        <v>4410315</v>
      </c>
      <c r="S16" s="3" t="n">
        <v>988649</v>
      </c>
      <c r="T16" s="4" t="n">
        <v>103000000</v>
      </c>
      <c r="U16" s="3" t="n">
        <v>3788662</v>
      </c>
      <c r="V16" s="3" t="n">
        <v>5872833</v>
      </c>
      <c r="W16" s="3" t="n">
        <v>3486924</v>
      </c>
      <c r="X16" s="3" t="n">
        <v>6701682</v>
      </c>
      <c r="Y16" s="3" t="n">
        <v>8065067</v>
      </c>
      <c r="Z16" s="3" t="n">
        <v>16438076</v>
      </c>
      <c r="AA16" s="3" t="n">
        <v>233746</v>
      </c>
      <c r="AB16" s="3" t="n">
        <v>1863763</v>
      </c>
      <c r="AC16" s="3" t="n">
        <v>4108189</v>
      </c>
      <c r="AD16" s="4" t="n">
        <v>8548141</v>
      </c>
      <c r="AE16" s="4" t="n">
        <v>751000000</v>
      </c>
      <c r="AF16" s="3" t="n">
        <v>23601764</v>
      </c>
      <c r="AG16" s="3" t="n">
        <v>1619908</v>
      </c>
      <c r="AH16" s="3" t="n">
        <v>2275276</v>
      </c>
      <c r="AI16" s="3" t="n">
        <v>6135935</v>
      </c>
      <c r="AJ16" s="3" t="n">
        <v>8151430</v>
      </c>
      <c r="AK16" s="3" t="n">
        <v>23813885</v>
      </c>
      <c r="AL16" s="3" t="n">
        <v>2513454</v>
      </c>
      <c r="AM16" s="3" t="n">
        <v>392070</v>
      </c>
      <c r="AN16" s="3" t="n">
        <v>4720635</v>
      </c>
      <c r="AO16" s="3" t="n">
        <v>7051691</v>
      </c>
      <c r="AP16" s="3" t="n">
        <v>38305635</v>
      </c>
      <c r="AQ16" s="3" t="n">
        <v>2928156</v>
      </c>
      <c r="AR16" s="3" t="n">
        <v>294891</v>
      </c>
      <c r="AS16" s="3" t="n">
        <v>1988331</v>
      </c>
      <c r="AT16" s="3" t="n">
        <v>682948</v>
      </c>
      <c r="AU16" s="3" t="n">
        <v>32758000</v>
      </c>
      <c r="AV16" s="11" t="n">
        <v>2414568</v>
      </c>
      <c r="AW16" s="3" t="n">
        <v>29661976</v>
      </c>
      <c r="AX16" s="3" t="n">
        <v>630074</v>
      </c>
      <c r="AY16" s="3" t="n">
        <v>641709</v>
      </c>
      <c r="AZ16" s="3" t="n">
        <v>2206352</v>
      </c>
      <c r="BA16" s="3" t="n">
        <v>10225988</v>
      </c>
      <c r="BB16" s="3" t="n">
        <v>5471263</v>
      </c>
      <c r="BC16" s="3" t="n">
        <v>6022515</v>
      </c>
      <c r="BD16" s="3" t="n">
        <v>4287357</v>
      </c>
      <c r="BE16" s="3" t="n">
        <v>665182</v>
      </c>
      <c r="BF16" s="3" t="n">
        <v>373241</v>
      </c>
      <c r="BG16" s="3" t="n">
        <v>4514899</v>
      </c>
      <c r="BH16" s="4" t="n">
        <v>3297283</v>
      </c>
      <c r="BI16" s="4" t="n">
        <v>589000000</v>
      </c>
      <c r="BJ16" s="4" t="n">
        <v>124000000</v>
      </c>
      <c r="BK16" s="3" t="n">
        <v>41212376</v>
      </c>
      <c r="BL16" s="3" t="n">
        <v>3319488</v>
      </c>
      <c r="BM16" s="3" t="n">
        <v>27698450</v>
      </c>
      <c r="BN16" s="3" t="n">
        <v>1352945</v>
      </c>
      <c r="BO16" s="3" t="n">
        <v>8397869</v>
      </c>
      <c r="BP16" s="3" t="n">
        <v>16692535</v>
      </c>
      <c r="BQ16" s="3" t="n">
        <v>2802245</v>
      </c>
      <c r="BR16" s="3" t="n">
        <v>2727042</v>
      </c>
      <c r="BS16" s="3" t="n">
        <v>2053834</v>
      </c>
      <c r="BT16" s="3" t="n">
        <v>919842</v>
      </c>
      <c r="BU16" s="3" t="n">
        <v>1490012</v>
      </c>
      <c r="BV16" s="3" t="n">
        <v>8154712</v>
      </c>
      <c r="BW16" s="3" t="n">
        <v>5442353</v>
      </c>
      <c r="BX16" s="3" t="n">
        <v>13747617</v>
      </c>
      <c r="BY16" s="3" t="n">
        <v>5531801</v>
      </c>
      <c r="BZ16" s="3" t="n">
        <v>1479231</v>
      </c>
      <c r="CA16" s="3" t="n">
        <v>675573</v>
      </c>
      <c r="CB16" s="3" t="n">
        <v>57441464</v>
      </c>
      <c r="CC16" s="3" t="n">
        <v>1477186</v>
      </c>
      <c r="CD16" s="3" t="n">
        <v>16345321</v>
      </c>
      <c r="CE16" s="3" t="n">
        <v>9114243</v>
      </c>
      <c r="CF16" s="3" t="n">
        <v>27211029</v>
      </c>
      <c r="CG16" s="3" t="n">
        <v>1000779</v>
      </c>
      <c r="CH16" s="3" t="n">
        <v>11890889</v>
      </c>
      <c r="CI16" s="3" t="n">
        <v>7987858</v>
      </c>
      <c r="CJ16" s="3" t="n">
        <v>2054233</v>
      </c>
      <c r="CK16" s="3" t="n">
        <v>2770364</v>
      </c>
      <c r="CL16" s="3" t="n">
        <v>5451889</v>
      </c>
      <c r="CM16" s="3" t="n">
        <v>63352737</v>
      </c>
      <c r="CN16" s="3" t="n">
        <v>74003986</v>
      </c>
      <c r="CO16" s="3" t="n">
        <v>1742012</v>
      </c>
      <c r="CP16" s="3" t="n">
        <v>2979783</v>
      </c>
      <c r="CQ16" s="3" t="n">
        <v>2882800</v>
      </c>
      <c r="CR16" s="3" t="n">
        <v>14430470</v>
      </c>
      <c r="CS16" s="3" t="n">
        <v>43159045</v>
      </c>
      <c r="CT16" s="3" t="n">
        <v>2019060</v>
      </c>
      <c r="CU16" s="3" t="n">
        <v>78729424</v>
      </c>
      <c r="CV16" s="3" t="n">
        <v>4312820</v>
      </c>
      <c r="CW16" s="3" t="n">
        <v>88734</v>
      </c>
      <c r="CX16" s="3" t="n">
        <v>70861</v>
      </c>
      <c r="CY16" s="3" t="n">
        <v>5084348</v>
      </c>
      <c r="CZ16" s="3" t="n">
        <v>2251110</v>
      </c>
      <c r="DA16" s="3" t="n">
        <v>3539721</v>
      </c>
      <c r="DB16" s="3" t="n">
        <v>25134900</v>
      </c>
      <c r="DC16" s="3" t="n">
        <v>3531806</v>
      </c>
      <c r="DD16" s="3" t="n">
        <v>22618094</v>
      </c>
      <c r="DE16" s="3" t="n">
        <v>10544948</v>
      </c>
      <c r="DF16" s="3" t="n">
        <v>14657583</v>
      </c>
      <c r="DG16" s="3" t="n">
        <v>262869</v>
      </c>
      <c r="DH16" s="3" t="n">
        <v>523637</v>
      </c>
      <c r="DI16" s="12" t="n">
        <v>4099331</v>
      </c>
      <c r="DJ16" s="3" t="n">
        <v>3653073</v>
      </c>
      <c r="DK16" s="3" t="n">
        <v>3433114</v>
      </c>
      <c r="DL16" s="3" t="n">
        <v>37087752</v>
      </c>
      <c r="DM16" s="3" t="n">
        <v>398403</v>
      </c>
      <c r="DN16" s="3" t="n">
        <v>2564964</v>
      </c>
      <c r="DO16" s="3" t="n">
        <v>737164</v>
      </c>
      <c r="DP16" s="3" t="n">
        <v>5585815</v>
      </c>
      <c r="DQ16" s="3" t="n">
        <v>11562075</v>
      </c>
      <c r="DR16" s="3" t="n">
        <v>24500269</v>
      </c>
      <c r="DS16" s="3" t="n">
        <v>28950235</v>
      </c>
      <c r="DT16" s="4" t="n">
        <v>17352713</v>
      </c>
      <c r="DU16" s="4" t="n">
        <v>148000000</v>
      </c>
      <c r="DV16" s="3" t="n">
        <v>1602579</v>
      </c>
      <c r="DW16" s="3" t="n">
        <v>14140281</v>
      </c>
      <c r="DX16" s="3" t="n">
        <v>14103878</v>
      </c>
      <c r="DY16" s="3" t="n">
        <v>46244737</v>
      </c>
      <c r="DZ16" s="3" t="n">
        <v>8881668</v>
      </c>
      <c r="EA16" s="3" t="n">
        <v>5262626</v>
      </c>
      <c r="EB16" s="3" t="n">
        <v>6355442</v>
      </c>
      <c r="EC16" s="3" t="n">
        <v>3071971396</v>
      </c>
      <c r="ED16" s="3"/>
    </row>
    <row r="17" customFormat="false" ht="15" hidden="false" customHeight="false" outlineLevel="0" collapsed="false">
      <c r="A17" s="141" t="n">
        <v>2005</v>
      </c>
      <c r="B17" s="3" t="n">
        <v>10808305</v>
      </c>
      <c r="C17" s="3" t="n">
        <v>19124872</v>
      </c>
      <c r="D17" s="3" t="n">
        <v>7847368</v>
      </c>
      <c r="E17" s="3" t="n">
        <v>19473160</v>
      </c>
      <c r="F17" s="3" t="n">
        <v>1646153</v>
      </c>
      <c r="G17" s="3" t="n">
        <v>10197558</v>
      </c>
      <c r="H17" s="3" t="n">
        <v>4127251</v>
      </c>
      <c r="I17" s="3" t="n">
        <v>4921554</v>
      </c>
      <c r="J17" s="3" t="n">
        <v>182875</v>
      </c>
      <c r="K17" s="3" t="n">
        <v>76513597</v>
      </c>
      <c r="L17" s="3" t="n">
        <v>143253</v>
      </c>
      <c r="M17" s="3" t="n">
        <v>5169508</v>
      </c>
      <c r="N17" s="3" t="n">
        <v>5014648</v>
      </c>
      <c r="O17" s="3" t="n">
        <v>147384</v>
      </c>
      <c r="P17" s="3" t="n">
        <v>3775864</v>
      </c>
      <c r="Q17" s="3" t="n">
        <v>352498</v>
      </c>
      <c r="R17" s="3" t="n">
        <v>4502164</v>
      </c>
      <c r="S17" s="3" t="n">
        <v>1010158</v>
      </c>
      <c r="T17" s="4" t="n">
        <v>105000000</v>
      </c>
      <c r="U17" s="3" t="n">
        <v>3755571</v>
      </c>
      <c r="V17" s="3" t="n">
        <v>6071146</v>
      </c>
      <c r="W17" s="3" t="n">
        <v>3648799</v>
      </c>
      <c r="X17" s="3" t="n">
        <v>6872429</v>
      </c>
      <c r="Y17" s="3" t="n">
        <v>8329371</v>
      </c>
      <c r="Z17" s="3" t="n">
        <v>16497260</v>
      </c>
      <c r="AA17" s="3" t="n">
        <v>241130</v>
      </c>
      <c r="AB17" s="3" t="n">
        <v>1902730</v>
      </c>
      <c r="AC17" s="3" t="n">
        <v>4270129</v>
      </c>
      <c r="AD17" s="4" t="n">
        <v>8642374</v>
      </c>
      <c r="AE17" s="4" t="n">
        <v>759000000</v>
      </c>
      <c r="AF17" s="3" t="n">
        <v>23935660</v>
      </c>
      <c r="AG17" s="3" t="n">
        <v>1660758</v>
      </c>
      <c r="AH17" s="3" t="n">
        <v>2316720</v>
      </c>
      <c r="AI17" s="3" t="n">
        <v>6140079</v>
      </c>
      <c r="AJ17" s="3" t="n">
        <v>8297520</v>
      </c>
      <c r="AK17" s="3" t="n">
        <v>24643862</v>
      </c>
      <c r="AL17" s="3" t="n">
        <v>2509254</v>
      </c>
      <c r="AM17" s="3" t="n">
        <v>403019</v>
      </c>
      <c r="AN17" s="3" t="n">
        <v>4795988</v>
      </c>
      <c r="AO17" s="3" t="n">
        <v>7177604</v>
      </c>
      <c r="AP17" s="3" t="n">
        <v>39340047</v>
      </c>
      <c r="AQ17" s="3" t="n">
        <v>2951382</v>
      </c>
      <c r="AR17" s="3" t="n">
        <v>305550</v>
      </c>
      <c r="AS17" s="3" t="n">
        <v>2078048</v>
      </c>
      <c r="AT17" s="3" t="n">
        <v>678425</v>
      </c>
      <c r="AU17" s="3" t="n">
        <v>33811571</v>
      </c>
      <c r="AV17" s="11" t="n">
        <v>2403891</v>
      </c>
      <c r="AW17" s="3" t="n">
        <v>29673519</v>
      </c>
      <c r="AX17" s="3" t="n">
        <v>650098</v>
      </c>
      <c r="AY17" s="3" t="n">
        <v>662586</v>
      </c>
      <c r="AZ17" s="3" t="n">
        <v>2190303</v>
      </c>
      <c r="BA17" s="3" t="n">
        <v>10540709</v>
      </c>
      <c r="BB17" s="3" t="n">
        <v>5461753</v>
      </c>
      <c r="BC17" s="3" t="n">
        <v>6198230</v>
      </c>
      <c r="BD17" s="3" t="n">
        <v>4391041</v>
      </c>
      <c r="BE17" s="3" t="n">
        <v>683175</v>
      </c>
      <c r="BF17" s="3" t="n">
        <v>368056</v>
      </c>
      <c r="BG17" s="3" t="n">
        <v>4619649</v>
      </c>
      <c r="BH17" s="4" t="n">
        <v>3387623</v>
      </c>
      <c r="BI17" s="4" t="n">
        <v>600000000</v>
      </c>
      <c r="BJ17" s="4" t="n">
        <v>125000000</v>
      </c>
      <c r="BK17" s="3" t="n">
        <v>42532189</v>
      </c>
      <c r="BL17" s="3" t="n">
        <v>3359473</v>
      </c>
      <c r="BM17" s="3" t="n">
        <v>27686128</v>
      </c>
      <c r="BN17" s="3" t="n">
        <v>1358210</v>
      </c>
      <c r="BO17" s="3" t="n">
        <v>8510538</v>
      </c>
      <c r="BP17" s="3" t="n">
        <v>17171653</v>
      </c>
      <c r="BQ17" s="3" t="n">
        <v>2867761</v>
      </c>
      <c r="BR17" s="3" t="n">
        <v>2799364</v>
      </c>
      <c r="BS17" s="3" t="n">
        <v>2126663</v>
      </c>
      <c r="BT17" s="3" t="n">
        <v>931105</v>
      </c>
      <c r="BU17" s="3" t="n">
        <v>1530277</v>
      </c>
      <c r="BV17" s="3" t="n">
        <v>8426206</v>
      </c>
      <c r="BW17" s="3" t="n">
        <v>5613356</v>
      </c>
      <c r="BX17" s="3" t="n">
        <v>14094446</v>
      </c>
      <c r="BY17" s="3" t="n">
        <v>5727664</v>
      </c>
      <c r="BZ17" s="3" t="n">
        <v>1528675</v>
      </c>
      <c r="CA17" s="3" t="n">
        <v>675390</v>
      </c>
      <c r="CB17" s="3" t="n">
        <v>58274411</v>
      </c>
      <c r="CC17" s="3" t="n">
        <v>1514680</v>
      </c>
      <c r="CD17" s="3" t="n">
        <v>16516301</v>
      </c>
      <c r="CE17" s="3" t="n">
        <v>9376153</v>
      </c>
      <c r="CF17" s="3" t="n">
        <v>27361003</v>
      </c>
      <c r="CG17" s="3" t="n">
        <v>1016459</v>
      </c>
      <c r="CH17" s="3" t="n">
        <v>12032623</v>
      </c>
      <c r="CI17" s="3" t="n">
        <v>7952268</v>
      </c>
      <c r="CJ17" s="3" t="n">
        <v>2074138</v>
      </c>
      <c r="CK17" s="3" t="n">
        <v>2824361</v>
      </c>
      <c r="CL17" s="3" t="n">
        <v>5631182</v>
      </c>
      <c r="CM17" s="3" t="n">
        <v>65090425</v>
      </c>
      <c r="CN17" s="3" t="n">
        <v>76314512</v>
      </c>
      <c r="CO17" s="3" t="n">
        <v>1773086</v>
      </c>
      <c r="CP17" s="3" t="n">
        <v>3053015</v>
      </c>
      <c r="CQ17" s="3" t="n">
        <v>2946305</v>
      </c>
      <c r="CR17" s="3" t="n">
        <v>14666861</v>
      </c>
      <c r="CS17" s="3" t="n">
        <v>44005793</v>
      </c>
      <c r="CT17" s="3" t="n">
        <v>2023611</v>
      </c>
      <c r="CU17" s="3" t="n">
        <v>78435128</v>
      </c>
      <c r="CV17" s="3" t="n">
        <v>4430926</v>
      </c>
      <c r="CW17" s="3" t="n">
        <v>90768</v>
      </c>
      <c r="CX17" s="3" t="n">
        <v>72851</v>
      </c>
      <c r="CY17" s="3" t="n">
        <v>5252291</v>
      </c>
      <c r="CZ17" s="3" t="n">
        <v>2354768</v>
      </c>
      <c r="DA17" s="3" t="n">
        <v>3633409</v>
      </c>
      <c r="DB17" s="3" t="n">
        <v>25584677</v>
      </c>
      <c r="DC17" s="3" t="n">
        <v>3693445</v>
      </c>
      <c r="DD17" s="3" t="n">
        <v>22916107</v>
      </c>
      <c r="DE17" s="3" t="n">
        <v>10598028</v>
      </c>
      <c r="DF17" s="3" t="n">
        <v>15078320</v>
      </c>
      <c r="DG17" s="3" t="n">
        <v>265396</v>
      </c>
      <c r="DH17" s="3" t="n">
        <v>533540</v>
      </c>
      <c r="DI17" s="12" t="n">
        <v>4123694</v>
      </c>
      <c r="DJ17" s="3" t="n">
        <v>3674083</v>
      </c>
      <c r="DK17" s="3" t="n">
        <v>3549834</v>
      </c>
      <c r="DL17" s="3" t="n">
        <v>37123622</v>
      </c>
      <c r="DM17" s="3" t="n">
        <v>410245</v>
      </c>
      <c r="DN17" s="3" t="n">
        <v>2648137</v>
      </c>
      <c r="DO17" s="3" t="n">
        <v>740298</v>
      </c>
      <c r="DP17" s="3" t="n">
        <v>5659830</v>
      </c>
      <c r="DQ17" s="3" t="n">
        <v>11987914</v>
      </c>
      <c r="DR17" s="3" t="n">
        <v>24278372</v>
      </c>
      <c r="DS17" s="3" t="n">
        <v>29202872</v>
      </c>
      <c r="DT17" s="4" t="n">
        <v>17854500</v>
      </c>
      <c r="DU17" s="4" t="n">
        <v>148000000</v>
      </c>
      <c r="DV17" s="3" t="n">
        <v>1602266</v>
      </c>
      <c r="DW17" s="3" t="n">
        <v>14454876</v>
      </c>
      <c r="DX17" s="3" t="n">
        <v>14386529</v>
      </c>
      <c r="DY17" s="3" t="n">
        <v>47153469</v>
      </c>
      <c r="DZ17" s="3" t="n">
        <v>9257155</v>
      </c>
      <c r="EA17" s="3" t="n">
        <v>5411887</v>
      </c>
      <c r="EB17" s="3" t="n">
        <v>6435201</v>
      </c>
      <c r="EC17" s="3" t="n">
        <v>3118745952</v>
      </c>
      <c r="ED17" s="3"/>
    </row>
    <row r="18" customFormat="false" ht="15" hidden="false" customHeight="false" outlineLevel="0" collapsed="false">
      <c r="A18" s="141" t="n">
        <v>2006</v>
      </c>
      <c r="B18" s="3" t="n">
        <v>11124393</v>
      </c>
      <c r="C18" s="3" t="n">
        <v>19486701</v>
      </c>
      <c r="D18" s="3" t="n">
        <v>8099036</v>
      </c>
      <c r="E18" s="3" t="n">
        <v>19692744</v>
      </c>
      <c r="F18" s="3" t="n">
        <v>1638428</v>
      </c>
      <c r="G18" s="3" t="n">
        <v>10344111</v>
      </c>
      <c r="H18" s="3" t="n">
        <v>4135816</v>
      </c>
      <c r="I18" s="3" t="n">
        <v>5008107</v>
      </c>
      <c r="J18" s="3" t="n">
        <v>186589</v>
      </c>
      <c r="K18" s="3" t="n">
        <v>78074731</v>
      </c>
      <c r="L18" s="3" t="n">
        <v>142451</v>
      </c>
      <c r="M18" s="3" t="n">
        <v>5116488</v>
      </c>
      <c r="N18" s="3" t="n">
        <v>5025185</v>
      </c>
      <c r="O18" s="3" t="n">
        <v>151810</v>
      </c>
      <c r="P18" s="3" t="n">
        <v>3908116</v>
      </c>
      <c r="Q18" s="3" t="n">
        <v>365674</v>
      </c>
      <c r="R18" s="3" t="n">
        <v>4595091</v>
      </c>
      <c r="S18" s="3" t="n">
        <v>1034753</v>
      </c>
      <c r="T18" s="4" t="n">
        <v>106000000</v>
      </c>
      <c r="U18" s="3" t="n">
        <v>3719423</v>
      </c>
      <c r="V18" s="3" t="n">
        <v>6260396</v>
      </c>
      <c r="W18" s="3" t="n">
        <v>3805575</v>
      </c>
      <c r="X18" s="3" t="n">
        <v>7058955</v>
      </c>
      <c r="Y18" s="3" t="n">
        <v>8579871</v>
      </c>
      <c r="Z18" s="3" t="n">
        <v>16530748</v>
      </c>
      <c r="AA18" s="3" t="n">
        <v>248746</v>
      </c>
      <c r="AB18" s="3" t="n">
        <v>1944072</v>
      </c>
      <c r="AC18" s="3" t="n">
        <v>4422370</v>
      </c>
      <c r="AD18" s="4" t="n">
        <v>8733954</v>
      </c>
      <c r="AE18" s="4" t="n">
        <v>764000000</v>
      </c>
      <c r="AF18" s="3" t="n">
        <v>24243922</v>
      </c>
      <c r="AG18" s="3" t="n">
        <v>1709022</v>
      </c>
      <c r="AH18" s="3" t="n">
        <v>2357005</v>
      </c>
      <c r="AI18" s="3" t="n">
        <v>6142839</v>
      </c>
      <c r="AJ18" s="3" t="n">
        <v>8465037</v>
      </c>
      <c r="AK18" s="3" t="n">
        <v>25442065</v>
      </c>
      <c r="AL18" s="3" t="n">
        <v>2510729</v>
      </c>
      <c r="AM18" s="3" t="n">
        <v>412734</v>
      </c>
      <c r="AN18" s="3" t="n">
        <v>4869952</v>
      </c>
      <c r="AO18" s="3" t="n">
        <v>7315624</v>
      </c>
      <c r="AP18" s="3" t="n">
        <v>40223134</v>
      </c>
      <c r="AQ18" s="3" t="n">
        <v>2983150</v>
      </c>
      <c r="AR18" s="3" t="n">
        <v>314954</v>
      </c>
      <c r="AS18" s="3" t="n">
        <v>2134587</v>
      </c>
      <c r="AT18" s="3" t="n">
        <v>670722</v>
      </c>
      <c r="AU18" s="3" t="n">
        <v>34897525</v>
      </c>
      <c r="AV18" s="11" t="n">
        <v>2396285</v>
      </c>
      <c r="AW18" s="3" t="n">
        <v>29660375</v>
      </c>
      <c r="AX18" s="3" t="n">
        <v>670353</v>
      </c>
      <c r="AY18" s="3" t="n">
        <v>682235</v>
      </c>
      <c r="AZ18" s="3" t="n">
        <v>2162269</v>
      </c>
      <c r="BA18" s="3" t="n">
        <v>10848777</v>
      </c>
      <c r="BB18" s="3" t="n">
        <v>5449431</v>
      </c>
      <c r="BC18" s="3" t="n">
        <v>6386572</v>
      </c>
      <c r="BD18" s="3" t="n">
        <v>4500703</v>
      </c>
      <c r="BE18" s="3" t="n">
        <v>700249</v>
      </c>
      <c r="BF18" s="3" t="n">
        <v>369104</v>
      </c>
      <c r="BG18" s="3" t="n">
        <v>4724704</v>
      </c>
      <c r="BH18" s="4" t="n">
        <v>3485911</v>
      </c>
      <c r="BI18" s="4" t="n">
        <v>611000000</v>
      </c>
      <c r="BJ18" s="4" t="n">
        <v>127000000</v>
      </c>
      <c r="BK18" s="3" t="n">
        <v>43393675</v>
      </c>
      <c r="BL18" s="3" t="n">
        <v>3408183</v>
      </c>
      <c r="BM18" s="3" t="n">
        <v>27578759</v>
      </c>
      <c r="BN18" s="3" t="n">
        <v>1371701</v>
      </c>
      <c r="BO18" s="3" t="n">
        <v>8607555</v>
      </c>
      <c r="BP18" s="3" t="n">
        <v>17629535</v>
      </c>
      <c r="BQ18" s="3" t="n">
        <v>2911396</v>
      </c>
      <c r="BR18" s="3" t="n">
        <v>2881088</v>
      </c>
      <c r="BS18" s="3" t="n">
        <v>2179264</v>
      </c>
      <c r="BT18" s="3" t="n">
        <v>947286</v>
      </c>
      <c r="BU18" s="3" t="n">
        <v>1582552</v>
      </c>
      <c r="BV18" s="3" t="n">
        <v>8704107</v>
      </c>
      <c r="BW18" s="3" t="n">
        <v>5797470</v>
      </c>
      <c r="BX18" s="3" t="n">
        <v>14445127</v>
      </c>
      <c r="BY18" s="3" t="n">
        <v>5911092</v>
      </c>
      <c r="BZ18" s="3" t="n">
        <v>1572135</v>
      </c>
      <c r="CA18" s="3" t="n">
        <v>673846</v>
      </c>
      <c r="CB18" s="3" t="n">
        <v>59330798</v>
      </c>
      <c r="CC18" s="3" t="n">
        <v>1547274</v>
      </c>
      <c r="CD18" s="3" t="n">
        <v>16730940</v>
      </c>
      <c r="CE18" s="3" t="n">
        <v>9612689</v>
      </c>
      <c r="CF18" s="3" t="n">
        <v>27447024</v>
      </c>
      <c r="CG18" s="3" t="n">
        <v>1034671</v>
      </c>
      <c r="CH18" s="3" t="n">
        <v>12241393</v>
      </c>
      <c r="CI18" s="3" t="n">
        <v>7894937</v>
      </c>
      <c r="CJ18" s="3" t="n">
        <v>2089339</v>
      </c>
      <c r="CK18" s="3" t="n">
        <v>2881522</v>
      </c>
      <c r="CL18" s="3" t="n">
        <v>5809181</v>
      </c>
      <c r="CM18" s="3" t="n">
        <v>66699830</v>
      </c>
      <c r="CN18" s="3" t="n">
        <v>78619873</v>
      </c>
      <c r="CO18" s="3" t="n">
        <v>1805188</v>
      </c>
      <c r="CP18" s="3" t="n">
        <v>3129250</v>
      </c>
      <c r="CQ18" s="3" t="n">
        <v>3008295</v>
      </c>
      <c r="CR18" s="3" t="n">
        <v>14898097</v>
      </c>
      <c r="CS18" s="3" t="n">
        <v>44894211</v>
      </c>
      <c r="CT18" s="3" t="n">
        <v>2015117</v>
      </c>
      <c r="CU18" s="3" t="n">
        <v>77692672</v>
      </c>
      <c r="CV18" s="3" t="n">
        <v>4552474</v>
      </c>
      <c r="CW18" s="3" t="n">
        <v>92048</v>
      </c>
      <c r="CX18" s="3" t="n">
        <v>74730</v>
      </c>
      <c r="CY18" s="3" t="n">
        <v>5411245</v>
      </c>
      <c r="CZ18" s="3" t="n">
        <v>2436820</v>
      </c>
      <c r="DA18" s="3" t="n">
        <v>3726129</v>
      </c>
      <c r="DB18" s="3" t="n">
        <v>26025318</v>
      </c>
      <c r="DC18" s="3" t="n">
        <v>3865521</v>
      </c>
      <c r="DD18" s="3" t="n">
        <v>23161329</v>
      </c>
      <c r="DE18" s="3" t="n">
        <v>10630492</v>
      </c>
      <c r="DF18" s="3" t="n">
        <v>15487885</v>
      </c>
      <c r="DG18" s="3" t="n">
        <v>267743</v>
      </c>
      <c r="DH18" s="3" t="n">
        <v>546159</v>
      </c>
      <c r="DI18" s="12" t="n">
        <v>4152477</v>
      </c>
      <c r="DJ18" s="3" t="n">
        <v>3695976</v>
      </c>
      <c r="DK18" s="3" t="n">
        <v>3666997</v>
      </c>
      <c r="DL18" s="3" t="n">
        <v>37216552</v>
      </c>
      <c r="DM18" s="3" t="n">
        <v>427123</v>
      </c>
      <c r="DN18" s="3" t="n">
        <v>2726881</v>
      </c>
      <c r="DO18" s="3" t="n">
        <v>741570</v>
      </c>
      <c r="DP18" s="3" t="n">
        <v>5734330</v>
      </c>
      <c r="DQ18" s="3" t="n">
        <v>12425214</v>
      </c>
      <c r="DR18" s="3" t="n">
        <v>24046721</v>
      </c>
      <c r="DS18" s="3" t="n">
        <v>29440938</v>
      </c>
      <c r="DT18" s="4" t="n">
        <v>18377802</v>
      </c>
      <c r="DU18" s="4" t="n">
        <v>149000000</v>
      </c>
      <c r="DV18" s="3" t="n">
        <v>1605578</v>
      </c>
      <c r="DW18" s="3" t="n">
        <v>14759352</v>
      </c>
      <c r="DX18" s="3" t="n">
        <v>14657083</v>
      </c>
      <c r="DY18" s="3" t="n">
        <v>47909242</v>
      </c>
      <c r="DZ18" s="3" t="n">
        <v>9642313</v>
      </c>
      <c r="EA18" s="3" t="n">
        <v>5570759</v>
      </c>
      <c r="EB18" s="3" t="n">
        <v>6532555</v>
      </c>
      <c r="EC18" s="3" t="n">
        <v>3161748731</v>
      </c>
      <c r="ED18" s="3"/>
    </row>
    <row r="19" customFormat="false" ht="15" hidden="false" customHeight="false" outlineLevel="0" collapsed="false">
      <c r="A19" s="141" t="n">
        <v>2007</v>
      </c>
      <c r="B19" s="3" t="n">
        <v>11401881</v>
      </c>
      <c r="C19" s="3" t="n">
        <v>19823700</v>
      </c>
      <c r="D19" s="3" t="n">
        <v>8365536</v>
      </c>
      <c r="E19" s="3" t="n">
        <v>19924596</v>
      </c>
      <c r="F19" s="3" t="n">
        <v>1627889</v>
      </c>
      <c r="G19" s="3" t="n">
        <v>10397533</v>
      </c>
      <c r="H19" s="3" t="n">
        <v>4135261</v>
      </c>
      <c r="I19" s="3" t="n">
        <v>5089667</v>
      </c>
      <c r="J19" s="3" t="n">
        <v>190307</v>
      </c>
      <c r="K19" s="3" t="n">
        <v>79529849</v>
      </c>
      <c r="L19" s="3" t="n">
        <v>141622</v>
      </c>
      <c r="M19" s="3" t="n">
        <v>5062031</v>
      </c>
      <c r="N19" s="3" t="n">
        <v>5038717</v>
      </c>
      <c r="O19" s="3" t="n">
        <v>156236</v>
      </c>
      <c r="P19" s="3" t="n">
        <v>4045717</v>
      </c>
      <c r="Q19" s="3" t="n">
        <v>377598</v>
      </c>
      <c r="R19" s="3" t="n">
        <v>4689378</v>
      </c>
      <c r="S19" s="3" t="n">
        <v>1060134</v>
      </c>
      <c r="T19" s="4" t="n">
        <v>107000000</v>
      </c>
      <c r="U19" s="3" t="n">
        <v>3623029</v>
      </c>
      <c r="V19" s="3" t="n">
        <v>6460790</v>
      </c>
      <c r="W19" s="3" t="n">
        <v>3963603</v>
      </c>
      <c r="X19" s="3" t="n">
        <v>7247316</v>
      </c>
      <c r="Y19" s="3" t="n">
        <v>8844879</v>
      </c>
      <c r="Z19" s="3" t="n">
        <v>16585873</v>
      </c>
      <c r="AA19" s="3" t="n">
        <v>255445</v>
      </c>
      <c r="AB19" s="3" t="n">
        <v>1988740</v>
      </c>
      <c r="AC19" s="3" t="n">
        <v>4582182</v>
      </c>
      <c r="AD19" s="4" t="n">
        <v>8820939</v>
      </c>
      <c r="AE19" s="4" t="n">
        <v>770000000</v>
      </c>
      <c r="AF19" s="3" t="n">
        <v>24558965</v>
      </c>
      <c r="AG19" s="3" t="n">
        <v>1761327</v>
      </c>
      <c r="AH19" s="3" t="n">
        <v>2392621</v>
      </c>
      <c r="AI19" s="3" t="n">
        <v>6140100</v>
      </c>
      <c r="AJ19" s="3" t="n">
        <v>8647457</v>
      </c>
      <c r="AK19" s="3" t="n">
        <v>26305687</v>
      </c>
      <c r="AL19" s="3" t="n">
        <v>2517042</v>
      </c>
      <c r="AM19" s="3" t="n">
        <v>422480</v>
      </c>
      <c r="AN19" s="3" t="n">
        <v>4944788</v>
      </c>
      <c r="AO19" s="3" t="n">
        <v>7451291</v>
      </c>
      <c r="AP19" s="3" t="n">
        <v>41079616</v>
      </c>
      <c r="AQ19" s="3" t="n">
        <v>3013567</v>
      </c>
      <c r="AR19" s="3" t="n">
        <v>324153</v>
      </c>
      <c r="AS19" s="3" t="n">
        <v>2183203</v>
      </c>
      <c r="AT19" s="3" t="n">
        <v>663030</v>
      </c>
      <c r="AU19" s="3" t="n">
        <v>36039498</v>
      </c>
      <c r="AV19" s="11" t="n">
        <v>2392614</v>
      </c>
      <c r="AW19" s="3" t="n">
        <v>29615344</v>
      </c>
      <c r="AX19" s="3" t="n">
        <v>690845</v>
      </c>
      <c r="AY19" s="3" t="n">
        <v>703051</v>
      </c>
      <c r="AZ19" s="3" t="n">
        <v>2132796</v>
      </c>
      <c r="BA19" s="3" t="n">
        <v>11172751</v>
      </c>
      <c r="BB19" s="3" t="n">
        <v>5428731</v>
      </c>
      <c r="BC19" s="3" t="n">
        <v>6583398</v>
      </c>
      <c r="BD19" s="3" t="n">
        <v>4627785</v>
      </c>
      <c r="BE19" s="3" t="n">
        <v>718658</v>
      </c>
      <c r="BF19" s="3" t="n">
        <v>371001</v>
      </c>
      <c r="BG19" s="3" t="n">
        <v>4828661</v>
      </c>
      <c r="BH19" s="4" t="n">
        <v>3585872</v>
      </c>
      <c r="BI19" s="4" t="n">
        <v>621000000</v>
      </c>
      <c r="BJ19" s="4" t="n">
        <v>129000000</v>
      </c>
      <c r="BK19" s="3" t="n">
        <v>44136241</v>
      </c>
      <c r="BL19" s="3" t="n">
        <v>3457084</v>
      </c>
      <c r="BM19" s="3" t="n">
        <v>27515166</v>
      </c>
      <c r="BN19" s="3" t="n">
        <v>1384187</v>
      </c>
      <c r="BO19" s="3" t="n">
        <v>8707721</v>
      </c>
      <c r="BP19" s="3" t="n">
        <v>18091477</v>
      </c>
      <c r="BQ19" s="3" t="n">
        <v>2947798</v>
      </c>
      <c r="BR19" s="3" t="n">
        <v>2967407</v>
      </c>
      <c r="BS19" s="3" t="n">
        <v>2213912</v>
      </c>
      <c r="BT19" s="3" t="n">
        <v>963306</v>
      </c>
      <c r="BU19" s="3" t="n">
        <v>1645229</v>
      </c>
      <c r="BV19" s="3" t="n">
        <v>8989744</v>
      </c>
      <c r="BW19" s="3" t="n">
        <v>5989385</v>
      </c>
      <c r="BX19" s="3" t="n">
        <v>14798922</v>
      </c>
      <c r="BY19" s="3" t="n">
        <v>6109161</v>
      </c>
      <c r="BZ19" s="3" t="n">
        <v>1615409</v>
      </c>
      <c r="CA19" s="3" t="n">
        <v>674231</v>
      </c>
      <c r="CB19" s="3" t="n">
        <v>60445870</v>
      </c>
      <c r="CC19" s="3" t="n">
        <v>1574971</v>
      </c>
      <c r="CD19" s="3" t="n">
        <v>16931807</v>
      </c>
      <c r="CE19" s="3" t="n">
        <v>9866046</v>
      </c>
      <c r="CF19" s="3" t="n">
        <v>27528605</v>
      </c>
      <c r="CG19" s="3" t="n">
        <v>1054608</v>
      </c>
      <c r="CH19" s="3" t="n">
        <v>12442048</v>
      </c>
      <c r="CI19" s="3" t="n">
        <v>7846535</v>
      </c>
      <c r="CJ19" s="3" t="n">
        <v>2097543</v>
      </c>
      <c r="CK19" s="3" t="n">
        <v>2935504</v>
      </c>
      <c r="CL19" s="3" t="n">
        <v>5998669</v>
      </c>
      <c r="CM19" s="3" t="n">
        <v>68403641</v>
      </c>
      <c r="CN19" s="3" t="n">
        <v>80793781</v>
      </c>
      <c r="CO19" s="3" t="n">
        <v>1834786</v>
      </c>
      <c r="CP19" s="3" t="n">
        <v>3206606</v>
      </c>
      <c r="CQ19" s="3" t="n">
        <v>3064401</v>
      </c>
      <c r="CR19" s="3" t="n">
        <v>15132588</v>
      </c>
      <c r="CS19" s="3" t="n">
        <v>45791697</v>
      </c>
      <c r="CT19" s="3" t="n">
        <v>2005247</v>
      </c>
      <c r="CU19" s="3" t="n">
        <v>76916178</v>
      </c>
      <c r="CV19" s="3" t="n">
        <v>4664916</v>
      </c>
      <c r="CW19" s="3" t="n">
        <v>93260</v>
      </c>
      <c r="CX19" s="3" t="n">
        <v>76521</v>
      </c>
      <c r="CY19" s="3" t="n">
        <v>5577298</v>
      </c>
      <c r="CZ19" s="3" t="n">
        <v>2509120</v>
      </c>
      <c r="DA19" s="3" t="n">
        <v>3818443</v>
      </c>
      <c r="DB19" s="3" t="n">
        <v>26415909</v>
      </c>
      <c r="DC19" s="3" t="n">
        <v>4050132</v>
      </c>
      <c r="DD19" s="3" t="n">
        <v>23424023</v>
      </c>
      <c r="DE19" s="3" t="n">
        <v>10641719</v>
      </c>
      <c r="DF19" s="3" t="n">
        <v>15925258</v>
      </c>
      <c r="DG19" s="3" t="n">
        <v>269969</v>
      </c>
      <c r="DH19" s="3" t="n">
        <v>560405</v>
      </c>
      <c r="DI19" s="12" t="n">
        <v>4198687</v>
      </c>
      <c r="DJ19" s="3" t="n">
        <v>3725672</v>
      </c>
      <c r="DK19" s="3" t="n">
        <v>3774909</v>
      </c>
      <c r="DL19" s="3" t="n">
        <v>37175513</v>
      </c>
      <c r="DM19" s="3" t="n">
        <v>444294</v>
      </c>
      <c r="DN19" s="3" t="n">
        <v>2808359</v>
      </c>
      <c r="DO19" s="3" t="n">
        <v>741568</v>
      </c>
      <c r="DP19" s="3" t="n">
        <v>5798042</v>
      </c>
      <c r="DQ19" s="3" t="n">
        <v>12894630</v>
      </c>
      <c r="DR19" s="3" t="n">
        <v>23822739</v>
      </c>
      <c r="DS19" s="3" t="n">
        <v>29663990</v>
      </c>
      <c r="DT19" s="4" t="n">
        <v>18950371</v>
      </c>
      <c r="DU19" s="4" t="n">
        <v>149000000</v>
      </c>
      <c r="DV19" s="3" t="n">
        <v>1610448</v>
      </c>
      <c r="DW19" s="3" t="n">
        <v>15060803</v>
      </c>
      <c r="DX19" s="3" t="n">
        <v>14918010</v>
      </c>
      <c r="DY19" s="3" t="n">
        <v>48679798</v>
      </c>
      <c r="DZ19" s="3" t="n">
        <v>10059050</v>
      </c>
      <c r="EA19" s="3" t="n">
        <v>5739776</v>
      </c>
      <c r="EB19" s="3" t="n">
        <v>6638365</v>
      </c>
      <c r="EC19" s="3" t="n">
        <v>3203536288</v>
      </c>
      <c r="ED19" s="3"/>
    </row>
    <row r="20" customFormat="false" ht="15" hidden="false" customHeight="false" outlineLevel="0" collapsed="false">
      <c r="A20" s="141" t="n">
        <v>2008</v>
      </c>
      <c r="B20" s="3" t="n">
        <v>11671600</v>
      </c>
      <c r="C20" s="3" t="n">
        <v>20135854</v>
      </c>
      <c r="D20" s="3" t="n">
        <v>8647727</v>
      </c>
      <c r="E20" s="3" t="n">
        <v>20161770</v>
      </c>
      <c r="F20" s="3" t="n">
        <v>1615573</v>
      </c>
      <c r="G20" s="3" t="n">
        <v>10586247</v>
      </c>
      <c r="H20" s="3" t="n">
        <v>4130913</v>
      </c>
      <c r="I20" s="3" t="n">
        <v>5210361</v>
      </c>
      <c r="J20" s="3" t="n">
        <v>194251</v>
      </c>
      <c r="K20" s="3" t="n">
        <v>80900197</v>
      </c>
      <c r="L20" s="3" t="n">
        <v>140727</v>
      </c>
      <c r="M20" s="3" t="n">
        <v>5005297</v>
      </c>
      <c r="N20" s="3" t="n">
        <v>5053480</v>
      </c>
      <c r="O20" s="3" t="n">
        <v>160586</v>
      </c>
      <c r="P20" s="3" t="n">
        <v>4187532</v>
      </c>
      <c r="Q20" s="3" t="n">
        <v>388520</v>
      </c>
      <c r="R20" s="3" t="n">
        <v>4785376</v>
      </c>
      <c r="S20" s="3" t="n">
        <v>1086166</v>
      </c>
      <c r="T20" s="4" t="n">
        <v>108000000</v>
      </c>
      <c r="U20" s="3" t="n">
        <v>3570045</v>
      </c>
      <c r="V20" s="3" t="n">
        <v>6670859</v>
      </c>
      <c r="W20" s="3" t="n">
        <v>4121610</v>
      </c>
      <c r="X20" s="3" t="n">
        <v>7436084</v>
      </c>
      <c r="Y20" s="3" t="n">
        <v>9121646</v>
      </c>
      <c r="Z20" s="3" t="n">
        <v>16648470</v>
      </c>
      <c r="AA20" s="3" t="n">
        <v>261457</v>
      </c>
      <c r="AB20" s="3" t="n">
        <v>2036597</v>
      </c>
      <c r="AC20" s="3" t="n">
        <v>4751147</v>
      </c>
      <c r="AD20" s="4" t="n">
        <v>8902230</v>
      </c>
      <c r="AE20" s="4" t="n">
        <v>774000000</v>
      </c>
      <c r="AF20" s="3" t="n">
        <v>24866678</v>
      </c>
      <c r="AG20" s="3" t="n">
        <v>1816091</v>
      </c>
      <c r="AH20" s="3" t="n">
        <v>2424435</v>
      </c>
      <c r="AI20" s="3" t="n">
        <v>6127384</v>
      </c>
      <c r="AJ20" s="3" t="n">
        <v>8847007</v>
      </c>
      <c r="AK20" s="3" t="n">
        <v>27222973</v>
      </c>
      <c r="AL20" s="3" t="n">
        <v>2527836</v>
      </c>
      <c r="AM20" s="3" t="n">
        <v>432032</v>
      </c>
      <c r="AN20" s="3" t="n">
        <v>5018593</v>
      </c>
      <c r="AO20" s="3" t="n">
        <v>7585453</v>
      </c>
      <c r="AP20" s="3" t="n">
        <v>41901887</v>
      </c>
      <c r="AQ20" s="3" t="n">
        <v>3043282</v>
      </c>
      <c r="AR20" s="3" t="n">
        <v>333229</v>
      </c>
      <c r="AS20" s="3" t="n">
        <v>2225618</v>
      </c>
      <c r="AT20" s="3" t="n">
        <v>655659</v>
      </c>
      <c r="AU20" s="3" t="n">
        <v>37256292</v>
      </c>
      <c r="AV20" s="11" t="n">
        <v>2391648</v>
      </c>
      <c r="AW20" s="3" t="n">
        <v>29548245</v>
      </c>
      <c r="AX20" s="3" t="n">
        <v>711600</v>
      </c>
      <c r="AY20" s="3" t="n">
        <v>725131</v>
      </c>
      <c r="AZ20" s="3" t="n">
        <v>2101587</v>
      </c>
      <c r="BA20" s="3" t="n">
        <v>11507066</v>
      </c>
      <c r="BB20" s="3" t="n">
        <v>5404148</v>
      </c>
      <c r="BC20" s="3" t="n">
        <v>6787701</v>
      </c>
      <c r="BD20" s="3" t="n">
        <v>4768730</v>
      </c>
      <c r="BE20" s="3" t="n">
        <v>738256</v>
      </c>
      <c r="BF20" s="3" t="n">
        <v>372999</v>
      </c>
      <c r="BG20" s="3" t="n">
        <v>4931821</v>
      </c>
      <c r="BH20" s="4" t="n">
        <v>3687288</v>
      </c>
      <c r="BI20" s="4" t="n">
        <v>632000000</v>
      </c>
      <c r="BJ20" s="4" t="n">
        <v>131000000</v>
      </c>
      <c r="BK20" s="3" t="n">
        <v>44749970</v>
      </c>
      <c r="BL20" s="3" t="n">
        <v>3506816</v>
      </c>
      <c r="BM20" s="3" t="n">
        <v>27479817</v>
      </c>
      <c r="BN20" s="3" t="n">
        <v>1396079</v>
      </c>
      <c r="BO20" s="3" t="n">
        <v>8809833</v>
      </c>
      <c r="BP20" s="3" t="n">
        <v>18559215</v>
      </c>
      <c r="BQ20" s="3" t="n">
        <v>2978605</v>
      </c>
      <c r="BR20" s="3" t="n">
        <v>3056579</v>
      </c>
      <c r="BS20" s="3" t="n">
        <v>2248400</v>
      </c>
      <c r="BT20" s="3" t="n">
        <v>979803</v>
      </c>
      <c r="BU20" s="3" t="n">
        <v>1713787</v>
      </c>
      <c r="BV20" s="3" t="n">
        <v>9285539</v>
      </c>
      <c r="BW20" s="3" t="n">
        <v>6190236</v>
      </c>
      <c r="BX20" s="3" t="n">
        <v>15150291</v>
      </c>
      <c r="BY20" s="3" t="n">
        <v>6318132</v>
      </c>
      <c r="BZ20" s="3" t="n">
        <v>1658990</v>
      </c>
      <c r="CA20" s="3" t="n">
        <v>674842</v>
      </c>
      <c r="CB20" s="3" t="n">
        <v>61599380</v>
      </c>
      <c r="CC20" s="3" t="n">
        <v>1598216</v>
      </c>
      <c r="CD20" s="3" t="n">
        <v>17121703</v>
      </c>
      <c r="CE20" s="3" t="n">
        <v>10137031</v>
      </c>
      <c r="CF20" s="3" t="n">
        <v>27614359</v>
      </c>
      <c r="CG20" s="3" t="n">
        <v>1076461</v>
      </c>
      <c r="CH20" s="3" t="n">
        <v>12639213</v>
      </c>
      <c r="CI20" s="3" t="n">
        <v>7812434</v>
      </c>
      <c r="CJ20" s="3" t="n">
        <v>2103577</v>
      </c>
      <c r="CK20" s="3" t="n">
        <v>2987046</v>
      </c>
      <c r="CL20" s="3" t="n">
        <v>6199999</v>
      </c>
      <c r="CM20" s="3" t="n">
        <v>70194009</v>
      </c>
      <c r="CN20" s="3" t="n">
        <v>82891603</v>
      </c>
      <c r="CO20" s="3" t="n">
        <v>1862916</v>
      </c>
      <c r="CP20" s="3" t="n">
        <v>3286216</v>
      </c>
      <c r="CQ20" s="3" t="n">
        <v>3117649</v>
      </c>
      <c r="CR20" s="3" t="n">
        <v>15367161</v>
      </c>
      <c r="CS20" s="3" t="n">
        <v>46734028</v>
      </c>
      <c r="CT20" s="3" t="n">
        <v>1993917</v>
      </c>
      <c r="CU20" s="3" t="n">
        <v>76111098</v>
      </c>
      <c r="CV20" s="3" t="n">
        <v>4771261</v>
      </c>
      <c r="CW20" s="3" t="n">
        <v>94354</v>
      </c>
      <c r="CX20" s="3" t="n">
        <v>78246</v>
      </c>
      <c r="CY20" s="3" t="n">
        <v>5750004</v>
      </c>
      <c r="CZ20" s="3" t="n">
        <v>2576256</v>
      </c>
      <c r="DA20" s="3" t="n">
        <v>3913468</v>
      </c>
      <c r="DB20" s="3" t="n">
        <v>26780292</v>
      </c>
      <c r="DC20" s="3" t="n">
        <v>4247579</v>
      </c>
      <c r="DD20" s="3" t="n">
        <v>23604133</v>
      </c>
      <c r="DE20" s="3" t="n">
        <v>10666181</v>
      </c>
      <c r="DF20" s="3" t="n">
        <v>16381797</v>
      </c>
      <c r="DG20" s="3" t="n">
        <v>272139</v>
      </c>
      <c r="DH20" s="3" t="n">
        <v>575771</v>
      </c>
      <c r="DI20" s="12" t="n">
        <v>4250179</v>
      </c>
      <c r="DJ20" s="3" t="n">
        <v>3766148</v>
      </c>
      <c r="DK20" s="3" t="n">
        <v>3875792</v>
      </c>
      <c r="DL20" s="3" t="n">
        <v>37043794</v>
      </c>
      <c r="DM20" s="3" t="n">
        <v>461058</v>
      </c>
      <c r="DN20" s="3" t="n">
        <v>2892121</v>
      </c>
      <c r="DO20" s="3" t="n">
        <v>740104</v>
      </c>
      <c r="DP20" s="3" t="n">
        <v>5854847</v>
      </c>
      <c r="DQ20" s="3" t="n">
        <v>13391951</v>
      </c>
      <c r="DR20" s="3" t="n">
        <v>23611811</v>
      </c>
      <c r="DS20" s="3" t="n">
        <v>29863319</v>
      </c>
      <c r="DT20" s="4" t="n">
        <v>19561182</v>
      </c>
      <c r="DU20" s="4" t="n">
        <v>149000000</v>
      </c>
      <c r="DV20" s="3" t="n">
        <v>1616330</v>
      </c>
      <c r="DW20" s="3" t="n">
        <v>15358863</v>
      </c>
      <c r="DX20" s="3" t="n">
        <v>15165524</v>
      </c>
      <c r="DY20" s="3" t="n">
        <v>49412200</v>
      </c>
      <c r="DZ20" s="3" t="n">
        <v>10497149</v>
      </c>
      <c r="EA20" s="3" t="n">
        <v>5918685</v>
      </c>
      <c r="EB20" s="3" t="n">
        <v>6753217</v>
      </c>
      <c r="EC20" s="3" t="n">
        <v>3244493696</v>
      </c>
      <c r="ED20" s="3"/>
    </row>
    <row r="21" customFormat="false" ht="15" hidden="false" customHeight="false" outlineLevel="0" collapsed="false">
      <c r="A21" s="141" t="n">
        <v>2009</v>
      </c>
      <c r="B21" s="3" t="n">
        <v>11976808</v>
      </c>
      <c r="C21" s="3" t="n">
        <v>20421359</v>
      </c>
      <c r="D21" s="3" t="n">
        <v>8947578</v>
      </c>
      <c r="E21" s="3" t="n">
        <v>20392989</v>
      </c>
      <c r="F21" s="3" t="n">
        <v>1602917</v>
      </c>
      <c r="G21" s="3" t="n">
        <v>10775415</v>
      </c>
      <c r="H21" s="3" t="n">
        <v>4118525</v>
      </c>
      <c r="I21" s="3" t="n">
        <v>5314227</v>
      </c>
      <c r="J21" s="3" t="n">
        <v>198377</v>
      </c>
      <c r="K21" s="3" t="n">
        <v>82216923</v>
      </c>
      <c r="L21" s="3" t="n">
        <v>139695</v>
      </c>
      <c r="M21" s="3" t="n">
        <v>4947864</v>
      </c>
      <c r="N21" s="3" t="n">
        <v>5066008</v>
      </c>
      <c r="O21" s="3" t="n">
        <v>164748</v>
      </c>
      <c r="P21" s="3" t="n">
        <v>4332362</v>
      </c>
      <c r="Q21" s="3" t="n">
        <v>399068</v>
      </c>
      <c r="R21" s="3" t="n">
        <v>4883638</v>
      </c>
      <c r="S21" s="3" t="n">
        <v>1112585</v>
      </c>
      <c r="T21" s="4" t="n">
        <v>109000000</v>
      </c>
      <c r="U21" s="3" t="n">
        <v>3516924</v>
      </c>
      <c r="V21" s="3" t="n">
        <v>6890037</v>
      </c>
      <c r="W21" s="3" t="n">
        <v>4279178</v>
      </c>
      <c r="X21" s="3" t="n">
        <v>7613887</v>
      </c>
      <c r="Y21" s="3" t="n">
        <v>9406644</v>
      </c>
      <c r="Z21" s="3" t="n">
        <v>16705231</v>
      </c>
      <c r="AA21" s="3" t="n">
        <v>267095</v>
      </c>
      <c r="AB21" s="3" t="n">
        <v>2087594</v>
      </c>
      <c r="AC21" s="3" t="n">
        <v>4931216</v>
      </c>
      <c r="AD21" s="4" t="n">
        <v>8977262</v>
      </c>
      <c r="AE21" s="4" t="n">
        <v>777000000</v>
      </c>
      <c r="AF21" s="3" t="n">
        <v>25145211</v>
      </c>
      <c r="AG21" s="3" t="n">
        <v>1871498</v>
      </c>
      <c r="AH21" s="3" t="n">
        <v>2453922</v>
      </c>
      <c r="AI21" s="3" t="n">
        <v>6098810</v>
      </c>
      <c r="AJ21" s="3" t="n">
        <v>9064822</v>
      </c>
      <c r="AK21" s="3" t="n">
        <v>28180628</v>
      </c>
      <c r="AL21" s="3" t="n">
        <v>2537001</v>
      </c>
      <c r="AM21" s="3" t="n">
        <v>441141</v>
      </c>
      <c r="AN21" s="3" t="n">
        <v>5088193</v>
      </c>
      <c r="AO21" s="3" t="n">
        <v>7719428</v>
      </c>
      <c r="AP21" s="3" t="n">
        <v>42676821</v>
      </c>
      <c r="AQ21" s="3" t="n">
        <v>3072785</v>
      </c>
      <c r="AR21" s="3" t="n">
        <v>342393</v>
      </c>
      <c r="AS21" s="3" t="n">
        <v>2265175</v>
      </c>
      <c r="AT21" s="3" t="n">
        <v>648031</v>
      </c>
      <c r="AU21" s="3" t="n">
        <v>38565555</v>
      </c>
      <c r="AV21" s="11" t="n">
        <v>2390430</v>
      </c>
      <c r="AW21" s="3" t="n">
        <v>29465398</v>
      </c>
      <c r="AX21" s="3" t="n">
        <v>732684</v>
      </c>
      <c r="AY21" s="3" t="n">
        <v>748570</v>
      </c>
      <c r="AZ21" s="3" t="n">
        <v>2066366</v>
      </c>
      <c r="BA21" s="3" t="n">
        <v>11842044</v>
      </c>
      <c r="BB21" s="3" t="n">
        <v>5377598</v>
      </c>
      <c r="BC21" s="3" t="n">
        <v>6996579</v>
      </c>
      <c r="BD21" s="3" t="n">
        <v>4918710</v>
      </c>
      <c r="BE21" s="3" t="n">
        <v>758812</v>
      </c>
      <c r="BF21" s="3" t="n">
        <v>374320</v>
      </c>
      <c r="BG21" s="3" t="n">
        <v>5034966</v>
      </c>
      <c r="BH21" s="4" t="n">
        <v>3789774</v>
      </c>
      <c r="BI21" s="4" t="n">
        <v>642000000</v>
      </c>
      <c r="BJ21" s="4" t="n">
        <v>132000000</v>
      </c>
      <c r="BK21" s="3" t="n">
        <v>45255462</v>
      </c>
      <c r="BL21" s="3" t="n">
        <v>3579824</v>
      </c>
      <c r="BM21" s="3" t="n">
        <v>27365236</v>
      </c>
      <c r="BN21" s="3" t="n">
        <v>1408346</v>
      </c>
      <c r="BO21" s="3" t="n">
        <v>9027432</v>
      </c>
      <c r="BP21" s="3" t="n">
        <v>19040171</v>
      </c>
      <c r="BQ21" s="3" t="n">
        <v>3010557</v>
      </c>
      <c r="BR21" s="3" t="n">
        <v>3145643</v>
      </c>
      <c r="BS21" s="3" t="n">
        <v>2305506</v>
      </c>
      <c r="BT21" s="3" t="n">
        <v>997847</v>
      </c>
      <c r="BU21" s="3" t="n">
        <v>1782816</v>
      </c>
      <c r="BV21" s="3" t="n">
        <v>9595301</v>
      </c>
      <c r="BW21" s="3" t="n">
        <v>6403581</v>
      </c>
      <c r="BX21" s="3" t="n">
        <v>15490524</v>
      </c>
      <c r="BY21" s="3" t="n">
        <v>6534190</v>
      </c>
      <c r="BZ21" s="3" t="n">
        <v>1703594</v>
      </c>
      <c r="CA21" s="3" t="n">
        <v>673898</v>
      </c>
      <c r="CB21" s="3" t="n">
        <v>62756184</v>
      </c>
      <c r="CC21" s="3" t="n">
        <v>1618380</v>
      </c>
      <c r="CD21" s="3" t="n">
        <v>17300457</v>
      </c>
      <c r="CE21" s="3" t="n">
        <v>10426863</v>
      </c>
      <c r="CF21" s="3" t="n">
        <v>27710458</v>
      </c>
      <c r="CG21" s="3" t="n">
        <v>1099987</v>
      </c>
      <c r="CH21" s="3" t="n">
        <v>12842762</v>
      </c>
      <c r="CI21" s="3" t="n">
        <v>7783819</v>
      </c>
      <c r="CJ21" s="3" t="n">
        <v>2112531</v>
      </c>
      <c r="CK21" s="3" t="n">
        <v>3037346</v>
      </c>
      <c r="CL21" s="3" t="n">
        <v>6414271</v>
      </c>
      <c r="CM21" s="3" t="n">
        <v>72062736</v>
      </c>
      <c r="CN21" s="3" t="n">
        <v>85007218</v>
      </c>
      <c r="CO21" s="3" t="n">
        <v>1891190</v>
      </c>
      <c r="CP21" s="3" t="n">
        <v>3369755</v>
      </c>
      <c r="CQ21" s="3" t="n">
        <v>3172459</v>
      </c>
      <c r="CR21" s="3" t="n">
        <v>15595274</v>
      </c>
      <c r="CS21" s="3" t="n">
        <v>47722796</v>
      </c>
      <c r="CT21" s="3" t="n">
        <v>1981880</v>
      </c>
      <c r="CU21" s="3" t="n">
        <v>75275402</v>
      </c>
      <c r="CV21" s="3" t="n">
        <v>4881289</v>
      </c>
      <c r="CW21" s="3" t="n">
        <v>95190</v>
      </c>
      <c r="CX21" s="3" t="n">
        <v>79952</v>
      </c>
      <c r="CY21" s="3" t="n">
        <v>5928246</v>
      </c>
      <c r="CZ21" s="3" t="n">
        <v>2644706</v>
      </c>
      <c r="DA21" s="3" t="n">
        <v>4016311</v>
      </c>
      <c r="DB21" s="3" t="n">
        <v>27167430</v>
      </c>
      <c r="DC21" s="3" t="n">
        <v>4458779</v>
      </c>
      <c r="DD21" s="3" t="n">
        <v>23593451</v>
      </c>
      <c r="DE21" s="3" t="n">
        <v>10689807</v>
      </c>
      <c r="DF21" s="3" t="n">
        <v>16845078</v>
      </c>
      <c r="DG21" s="3" t="n">
        <v>274248</v>
      </c>
      <c r="DH21" s="3" t="n">
        <v>591464</v>
      </c>
      <c r="DI21" s="12" t="n">
        <v>4298580</v>
      </c>
      <c r="DJ21" s="3" t="n">
        <v>3800974</v>
      </c>
      <c r="DK21" s="3" t="n">
        <v>3973957</v>
      </c>
      <c r="DL21" s="3" t="n">
        <v>36864707</v>
      </c>
      <c r="DM21" s="3" t="n">
        <v>476350</v>
      </c>
      <c r="DN21" s="3" t="n">
        <v>2977895</v>
      </c>
      <c r="DO21" s="3" t="n">
        <v>737030</v>
      </c>
      <c r="DP21" s="3" t="n">
        <v>5904021</v>
      </c>
      <c r="DQ21" s="3" t="n">
        <v>13911898</v>
      </c>
      <c r="DR21" s="3" t="n">
        <v>23421241</v>
      </c>
      <c r="DS21" s="3" t="n">
        <v>30033337</v>
      </c>
      <c r="DT21" s="4" t="n">
        <v>20193878</v>
      </c>
      <c r="DU21" s="4" t="n">
        <v>149000000</v>
      </c>
      <c r="DV21" s="3" t="n">
        <v>1622186</v>
      </c>
      <c r="DW21" s="3" t="n">
        <v>15644013</v>
      </c>
      <c r="DX21" s="3" t="n">
        <v>15395703</v>
      </c>
      <c r="DY21" s="3" t="n">
        <v>50024379</v>
      </c>
      <c r="DZ21" s="3" t="n">
        <v>10940129</v>
      </c>
      <c r="EA21" s="3" t="n">
        <v>6107955</v>
      </c>
      <c r="EB21" s="3" t="n">
        <v>6876911</v>
      </c>
      <c r="EC21" s="3" t="n">
        <v>3282326610</v>
      </c>
      <c r="ED21" s="3"/>
    </row>
    <row r="22" customFormat="false" ht="15" hidden="false" customHeight="false" outlineLevel="0" collapsed="false">
      <c r="A22" s="141" t="n">
        <v>2010</v>
      </c>
      <c r="B22" s="3" t="n">
        <v>12346619</v>
      </c>
      <c r="C22" s="3" t="n">
        <v>20677764</v>
      </c>
      <c r="D22" s="3" t="n">
        <v>9266517</v>
      </c>
      <c r="E22" s="3" t="n">
        <v>20613211</v>
      </c>
      <c r="F22" s="3" t="n">
        <v>1591306</v>
      </c>
      <c r="G22" s="3" t="n">
        <v>10906712</v>
      </c>
      <c r="H22" s="3" t="n">
        <v>4097762</v>
      </c>
      <c r="I22" s="3" t="n">
        <v>5352459</v>
      </c>
      <c r="J22" s="3" t="n">
        <v>202374</v>
      </c>
      <c r="K22" s="3" t="n">
        <v>83509362</v>
      </c>
      <c r="L22" s="3" t="n">
        <v>138522</v>
      </c>
      <c r="M22" s="3" t="n">
        <v>4887806</v>
      </c>
      <c r="N22" s="3" t="n">
        <v>5080337</v>
      </c>
      <c r="O22" s="3" t="n">
        <v>168675</v>
      </c>
      <c r="P22" s="3" t="n">
        <v>4479685</v>
      </c>
      <c r="Q22" s="3" t="n">
        <v>409651</v>
      </c>
      <c r="R22" s="3" t="n">
        <v>4984388</v>
      </c>
      <c r="S22" s="3" t="n">
        <v>1139037</v>
      </c>
      <c r="T22" s="4" t="n">
        <v>109000000</v>
      </c>
      <c r="U22" s="3" t="n">
        <v>3463751</v>
      </c>
      <c r="V22" s="3" t="n">
        <v>7118499</v>
      </c>
      <c r="W22" s="3" t="n">
        <v>4435899</v>
      </c>
      <c r="X22" s="3" t="n">
        <v>7771755</v>
      </c>
      <c r="Y22" s="3" t="n">
        <v>9698244</v>
      </c>
      <c r="Z22" s="3" t="n">
        <v>16738533</v>
      </c>
      <c r="AA22" s="3" t="n">
        <v>272503</v>
      </c>
      <c r="AB22" s="3" t="n">
        <v>2141539</v>
      </c>
      <c r="AC22" s="3" t="n">
        <v>5123678</v>
      </c>
      <c r="AD22" s="4" t="n">
        <v>9045691</v>
      </c>
      <c r="AE22" s="4" t="n">
        <v>776000000</v>
      </c>
      <c r="AF22" s="3" t="n">
        <v>25383869</v>
      </c>
      <c r="AG22" s="3" t="n">
        <v>1926324</v>
      </c>
      <c r="AH22" s="3" t="n">
        <v>2481662</v>
      </c>
      <c r="AI22" s="3" t="n">
        <v>6050762</v>
      </c>
      <c r="AJ22" s="3" t="n">
        <v>9300000</v>
      </c>
      <c r="AK22" s="3" t="n">
        <v>29172899</v>
      </c>
      <c r="AL22" s="3" t="n">
        <v>2542883</v>
      </c>
      <c r="AM22" s="3" t="n">
        <v>449661</v>
      </c>
      <c r="AN22" s="3" t="n">
        <v>5152255</v>
      </c>
      <c r="AO22" s="3" t="n">
        <v>7853189</v>
      </c>
      <c r="AP22" s="3" t="n">
        <v>43400317</v>
      </c>
      <c r="AQ22" s="3" t="n">
        <v>3102191</v>
      </c>
      <c r="AR22" s="3" t="n">
        <v>351777</v>
      </c>
      <c r="AS22" s="3" t="n">
        <v>2305167</v>
      </c>
      <c r="AT22" s="3" t="n">
        <v>639661</v>
      </c>
      <c r="AU22" s="3" t="n">
        <v>39968940</v>
      </c>
      <c r="AV22" s="11" t="n">
        <v>2386645</v>
      </c>
      <c r="AW22" s="3" t="n">
        <v>29371633</v>
      </c>
      <c r="AX22" s="3" t="n">
        <v>754056</v>
      </c>
      <c r="AY22" s="3" t="n">
        <v>773362</v>
      </c>
      <c r="AZ22" s="3" t="n">
        <v>2027337</v>
      </c>
      <c r="BA22" s="3" t="n">
        <v>12171614</v>
      </c>
      <c r="BB22" s="3" t="n">
        <v>5344198</v>
      </c>
      <c r="BC22" s="3" t="n">
        <v>7207892</v>
      </c>
      <c r="BD22" s="3" t="n">
        <v>5074380</v>
      </c>
      <c r="BE22" s="3" t="n">
        <v>780177</v>
      </c>
      <c r="BF22" s="3" t="n">
        <v>374885</v>
      </c>
      <c r="BG22" s="3" t="n">
        <v>5138388</v>
      </c>
      <c r="BH22" s="4" t="n">
        <v>3892774</v>
      </c>
      <c r="BI22" s="4" t="n">
        <v>652000000</v>
      </c>
      <c r="BJ22" s="4" t="n">
        <v>133000000</v>
      </c>
      <c r="BK22" s="3" t="n">
        <v>45683041</v>
      </c>
      <c r="BL22" s="3" t="n">
        <v>3633988</v>
      </c>
      <c r="BM22" s="3" t="n">
        <v>27182135</v>
      </c>
      <c r="BN22" s="3" t="n">
        <v>1421536</v>
      </c>
      <c r="BO22" s="3" t="n">
        <v>9114532</v>
      </c>
      <c r="BP22" s="3" t="n">
        <v>19541503</v>
      </c>
      <c r="BQ22" s="3" t="n">
        <v>3035111</v>
      </c>
      <c r="BR22" s="3" t="n">
        <v>3232345</v>
      </c>
      <c r="BS22" s="3" t="n">
        <v>2398129</v>
      </c>
      <c r="BT22" s="3" t="n">
        <v>1017966</v>
      </c>
      <c r="BU22" s="3" t="n">
        <v>1849121</v>
      </c>
      <c r="BV22" s="3" t="n">
        <v>9920408</v>
      </c>
      <c r="BW22" s="3" t="n">
        <v>6631579</v>
      </c>
      <c r="BX22" s="3" t="n">
        <v>15817428</v>
      </c>
      <c r="BY22" s="3" t="n">
        <v>6755406</v>
      </c>
      <c r="BZ22" s="3" t="n">
        <v>1749735</v>
      </c>
      <c r="CA22" s="3" t="n">
        <v>671100</v>
      </c>
      <c r="CB22" s="3" t="n">
        <v>63884646</v>
      </c>
      <c r="CC22" s="3" t="n">
        <v>1636150</v>
      </c>
      <c r="CD22" s="3" t="n">
        <v>17467011</v>
      </c>
      <c r="CE22" s="3" t="n">
        <v>10736953</v>
      </c>
      <c r="CF22" s="3" t="n">
        <v>27823186</v>
      </c>
      <c r="CG22" s="3" t="n">
        <v>1124884</v>
      </c>
      <c r="CH22" s="3" t="n">
        <v>13062342</v>
      </c>
      <c r="CI22" s="3" t="n">
        <v>7748194</v>
      </c>
      <c r="CJ22" s="3" t="n">
        <v>2123119</v>
      </c>
      <c r="CK22" s="3" t="n">
        <v>3087029</v>
      </c>
      <c r="CL22" s="3" t="n">
        <v>6642945</v>
      </c>
      <c r="CM22" s="3" t="n">
        <v>74006818</v>
      </c>
      <c r="CN22" s="3" t="n">
        <v>87181814</v>
      </c>
      <c r="CO22" s="3" t="n">
        <v>1920253</v>
      </c>
      <c r="CP22" s="3" t="n">
        <v>3457864</v>
      </c>
      <c r="CQ22" s="3" t="n">
        <v>3230960</v>
      </c>
      <c r="CR22" s="3" t="n">
        <v>15812140</v>
      </c>
      <c r="CS22" s="3" t="n">
        <v>48723679</v>
      </c>
      <c r="CT22" s="3" t="n">
        <v>1968424</v>
      </c>
      <c r="CU22" s="3" t="n">
        <v>74371465</v>
      </c>
      <c r="CV22" s="3" t="n">
        <v>5000771</v>
      </c>
      <c r="CW22" s="3" t="n">
        <v>95662</v>
      </c>
      <c r="CX22" s="3" t="n">
        <v>81681</v>
      </c>
      <c r="CY22" s="3" t="n">
        <v>6111553</v>
      </c>
      <c r="CZ22" s="3" t="n">
        <v>2718543</v>
      </c>
      <c r="DA22" s="3" t="n">
        <v>4129433</v>
      </c>
      <c r="DB22" s="3" t="n">
        <v>27603045</v>
      </c>
      <c r="DC22" s="3" t="n">
        <v>4683228</v>
      </c>
      <c r="DD22" s="3" t="n">
        <v>23464299</v>
      </c>
      <c r="DE22" s="3" t="n">
        <v>10715007</v>
      </c>
      <c r="DF22" s="3" t="n">
        <v>17308963</v>
      </c>
      <c r="DG22" s="3" t="n">
        <v>276204</v>
      </c>
      <c r="DH22" s="3" t="n">
        <v>606850</v>
      </c>
      <c r="DI22" s="12" t="n">
        <v>4335322</v>
      </c>
      <c r="DJ22" s="3" t="n">
        <v>3821574</v>
      </c>
      <c r="DK22" s="3" t="n">
        <v>4071360</v>
      </c>
      <c r="DL22" s="3" t="n">
        <v>36657053</v>
      </c>
      <c r="DM22" s="3" t="n">
        <v>489154</v>
      </c>
      <c r="DN22" s="3" t="n">
        <v>3065780</v>
      </c>
      <c r="DO22" s="3" t="n">
        <v>732442</v>
      </c>
      <c r="DP22" s="3" t="n">
        <v>5939024</v>
      </c>
      <c r="DQ22" s="3" t="n">
        <v>14452717</v>
      </c>
      <c r="DR22" s="3" t="n">
        <v>23222258</v>
      </c>
      <c r="DS22" s="3" t="n">
        <v>30190874</v>
      </c>
      <c r="DT22" s="4" t="n">
        <v>20840193</v>
      </c>
      <c r="DU22" s="4" t="n">
        <v>149000000</v>
      </c>
      <c r="DV22" s="3" t="n">
        <v>1627276</v>
      </c>
      <c r="DW22" s="3" t="n">
        <v>16087687</v>
      </c>
      <c r="DX22" s="3" t="n">
        <v>15606855</v>
      </c>
      <c r="DY22" s="3" t="n">
        <v>50469027</v>
      </c>
      <c r="DZ22" s="3" t="n">
        <v>11378459</v>
      </c>
      <c r="EA22" s="3" t="n">
        <v>6308188</v>
      </c>
      <c r="EB22" s="3" t="n">
        <v>7009478</v>
      </c>
      <c r="EC22" s="3" t="n">
        <v>3314806076</v>
      </c>
      <c r="ED22" s="3"/>
    </row>
    <row r="23" customFormat="false" ht="15" hidden="false" customHeight="false" outlineLevel="0" collapsed="false">
      <c r="A23" s="141" t="n">
        <v>2011</v>
      </c>
      <c r="B23" s="3" t="n">
        <v>12857240</v>
      </c>
      <c r="C23" s="3" t="n">
        <v>20882937</v>
      </c>
      <c r="D23" s="3" t="n">
        <v>9576869</v>
      </c>
      <c r="E23" s="3" t="n">
        <v>20841249</v>
      </c>
      <c r="F23" s="3" t="n">
        <v>1579872</v>
      </c>
      <c r="G23" s="3" t="n">
        <v>10994952</v>
      </c>
      <c r="H23" s="3" t="n">
        <v>4079550</v>
      </c>
      <c r="I23" s="3" t="n">
        <v>5379045</v>
      </c>
      <c r="J23" s="3" t="n">
        <v>204502</v>
      </c>
      <c r="K23" s="3" t="n">
        <v>84902271</v>
      </c>
      <c r="L23" s="3" t="n">
        <v>137513</v>
      </c>
      <c r="M23" s="3" t="n">
        <v>4822617</v>
      </c>
      <c r="N23" s="3" t="n">
        <v>5115583</v>
      </c>
      <c r="O23" s="3" t="n">
        <v>174243</v>
      </c>
      <c r="P23" s="3" t="n">
        <v>4619809</v>
      </c>
      <c r="Q23" s="3" t="n">
        <v>419242</v>
      </c>
      <c r="R23" s="3" t="n">
        <v>5087349</v>
      </c>
      <c r="S23" s="3" t="n">
        <v>1165222</v>
      </c>
      <c r="T23" s="4" t="n">
        <v>110000000</v>
      </c>
      <c r="U23" s="3" t="n">
        <v>3415548</v>
      </c>
      <c r="V23" s="3" t="n">
        <v>7342580</v>
      </c>
      <c r="W23" s="3" t="n">
        <v>4569943</v>
      </c>
      <c r="X23" s="3" t="n">
        <v>7913747</v>
      </c>
      <c r="Y23" s="3" t="n">
        <v>9979804</v>
      </c>
      <c r="Z23" s="3" t="n">
        <v>16714657</v>
      </c>
      <c r="AA23" s="3" t="n">
        <v>276731</v>
      </c>
      <c r="AB23" s="3" t="n">
        <v>2195644</v>
      </c>
      <c r="AC23" s="3" t="n">
        <v>5314550</v>
      </c>
      <c r="AD23" s="4" t="n">
        <v>9111745</v>
      </c>
      <c r="AE23" s="4" t="n">
        <v>775000000</v>
      </c>
      <c r="AF23" s="3" t="n">
        <v>25608432</v>
      </c>
      <c r="AG23" s="3" t="n">
        <v>1970784</v>
      </c>
      <c r="AH23" s="3" t="n">
        <v>2503931</v>
      </c>
      <c r="AI23" s="3" t="n">
        <v>5994445</v>
      </c>
      <c r="AJ23" s="3" t="n">
        <v>9562516</v>
      </c>
      <c r="AK23" s="3" t="n">
        <v>30151289</v>
      </c>
      <c r="AL23" s="3" t="n">
        <v>2544749</v>
      </c>
      <c r="AM23" s="3" t="n">
        <v>456591</v>
      </c>
      <c r="AN23" s="3" t="n">
        <v>5217976</v>
      </c>
      <c r="AO23" s="3" t="n">
        <v>7981785</v>
      </c>
      <c r="AP23" s="3" t="n">
        <v>44181729</v>
      </c>
      <c r="AQ23" s="3" t="n">
        <v>3134446</v>
      </c>
      <c r="AR23" s="3" t="n">
        <v>360627</v>
      </c>
      <c r="AS23" s="3" t="n">
        <v>2346693</v>
      </c>
      <c r="AT23" s="3" t="n">
        <v>630011</v>
      </c>
      <c r="AU23" s="3" t="n">
        <v>41497387</v>
      </c>
      <c r="AV23" s="11" t="n">
        <v>2382726</v>
      </c>
      <c r="AW23" s="3" t="n">
        <v>29263106</v>
      </c>
      <c r="AX23" s="3" t="n">
        <v>774412</v>
      </c>
      <c r="AY23" s="3" t="n">
        <v>797813</v>
      </c>
      <c r="AZ23" s="3" t="n">
        <v>1983188</v>
      </c>
      <c r="BA23" s="3" t="n">
        <v>12492530</v>
      </c>
      <c r="BB23" s="3" t="n">
        <v>5274353</v>
      </c>
      <c r="BC23" s="3" t="n">
        <v>7426926</v>
      </c>
      <c r="BD23" s="3" t="n">
        <v>5227341</v>
      </c>
      <c r="BE23" s="3" t="n">
        <v>800839</v>
      </c>
      <c r="BF23" s="3" t="n">
        <v>379525</v>
      </c>
      <c r="BG23" s="3" t="n">
        <v>5235818</v>
      </c>
      <c r="BH23" s="4" t="n">
        <v>3996347</v>
      </c>
      <c r="BI23" s="4" t="n">
        <v>662000000</v>
      </c>
      <c r="BJ23" s="4" t="n">
        <v>135000000</v>
      </c>
      <c r="BK23" s="3" t="n">
        <v>46046142</v>
      </c>
      <c r="BL23" s="3" t="n">
        <v>3690550</v>
      </c>
      <c r="BM23" s="3" t="n">
        <v>26917713</v>
      </c>
      <c r="BN23" s="3" t="n">
        <v>1431326</v>
      </c>
      <c r="BO23" s="3" t="n">
        <v>9127118</v>
      </c>
      <c r="BP23" s="3" t="n">
        <v>20079548</v>
      </c>
      <c r="BQ23" s="3" t="n">
        <v>3046431</v>
      </c>
      <c r="BR23" s="3" t="n">
        <v>3308680</v>
      </c>
      <c r="BS23" s="3" t="n">
        <v>2433782</v>
      </c>
      <c r="BT23" s="3" t="n">
        <v>1039521</v>
      </c>
      <c r="BU23" s="3" t="n">
        <v>1908859</v>
      </c>
      <c r="BV23" s="3" t="n">
        <v>10253836</v>
      </c>
      <c r="BW23" s="3" t="n">
        <v>6872121</v>
      </c>
      <c r="BX23" s="3" t="n">
        <v>16113220</v>
      </c>
      <c r="BY23" s="3" t="n">
        <v>6945546</v>
      </c>
      <c r="BZ23" s="3" t="n">
        <v>1795778</v>
      </c>
      <c r="CA23" s="3" t="n">
        <v>669736</v>
      </c>
      <c r="CB23" s="3" t="n">
        <v>64987313</v>
      </c>
      <c r="CC23" s="3" t="n">
        <v>1646682</v>
      </c>
      <c r="CD23" s="3" t="n">
        <v>17641561</v>
      </c>
      <c r="CE23" s="3" t="n">
        <v>11054894</v>
      </c>
      <c r="CF23" s="3" t="n">
        <v>28053085</v>
      </c>
      <c r="CG23" s="3" t="n">
        <v>1154431</v>
      </c>
      <c r="CH23" s="3" t="n">
        <v>13373788</v>
      </c>
      <c r="CI23" s="3" t="n">
        <v>7717026</v>
      </c>
      <c r="CJ23" s="3" t="n">
        <v>2113590</v>
      </c>
      <c r="CK23" s="3" t="n">
        <v>3137840</v>
      </c>
      <c r="CL23" s="3" t="n">
        <v>6877572</v>
      </c>
      <c r="CM23" s="3" t="n">
        <v>75913919</v>
      </c>
      <c r="CN23" s="3" t="n">
        <v>89200370</v>
      </c>
      <c r="CO23" s="3" t="n">
        <v>1948378</v>
      </c>
      <c r="CP23" s="3" t="n">
        <v>3545965</v>
      </c>
      <c r="CQ23" s="3" t="n">
        <v>3288651</v>
      </c>
      <c r="CR23" s="3" t="n">
        <v>16021751</v>
      </c>
      <c r="CS23" s="3" t="n">
        <v>49591607</v>
      </c>
      <c r="CT23" s="3" t="n">
        <v>1957301</v>
      </c>
      <c r="CU23" s="3" t="n">
        <v>73362971</v>
      </c>
      <c r="CV23" s="3" t="n">
        <v>5114609</v>
      </c>
      <c r="CW23" s="3" t="n">
        <v>96674</v>
      </c>
      <c r="CX23" s="3" t="n">
        <v>83612</v>
      </c>
      <c r="CY23" s="3" t="n">
        <v>6304795</v>
      </c>
      <c r="CZ23" s="3" t="n">
        <v>2788404</v>
      </c>
      <c r="DA23" s="3" t="n">
        <v>4235186</v>
      </c>
      <c r="DB23" s="3" t="n">
        <v>28020170</v>
      </c>
      <c r="DC23" s="3" t="n">
        <v>4912268</v>
      </c>
      <c r="DD23" s="3" t="n">
        <v>23166783</v>
      </c>
      <c r="DE23" s="3" t="n">
        <v>10738333</v>
      </c>
      <c r="DF23" s="3" t="n">
        <v>17762472</v>
      </c>
      <c r="DG23" s="3" t="n">
        <v>277879</v>
      </c>
      <c r="DH23" s="3" t="n">
        <v>620275</v>
      </c>
      <c r="DI23" s="12" t="n">
        <v>4359700</v>
      </c>
      <c r="DJ23" s="3" t="n">
        <v>3847158</v>
      </c>
      <c r="DK23" s="3" t="n">
        <v>4156230</v>
      </c>
      <c r="DL23" s="3" t="n">
        <v>36445583</v>
      </c>
      <c r="DM23" s="3" t="n">
        <v>515664</v>
      </c>
      <c r="DN23" s="3" t="n">
        <v>3152658</v>
      </c>
      <c r="DO23" s="3" t="n">
        <v>728139</v>
      </c>
      <c r="DP23" s="3" t="n">
        <v>5974942</v>
      </c>
      <c r="DQ23" s="3" t="n">
        <v>15002273</v>
      </c>
      <c r="DR23" s="3" t="n">
        <v>22895831</v>
      </c>
      <c r="DS23" s="3" t="n">
        <v>30191547</v>
      </c>
      <c r="DT23" s="4" t="n">
        <v>21496298</v>
      </c>
      <c r="DU23" s="4" t="n">
        <v>149000000</v>
      </c>
      <c r="DV23" s="3" t="n">
        <v>1632370</v>
      </c>
      <c r="DW23" s="3" t="n">
        <v>16468282</v>
      </c>
      <c r="DX23" s="3" t="n">
        <v>15804424</v>
      </c>
      <c r="DY23" s="3" t="n">
        <v>50786587</v>
      </c>
      <c r="DZ23" s="3" t="n">
        <v>11798305</v>
      </c>
      <c r="EA23" s="3" t="n">
        <v>6524022</v>
      </c>
      <c r="EB23" s="3" t="n">
        <v>7162300</v>
      </c>
      <c r="EC23" s="3" t="n">
        <v>3348185704</v>
      </c>
      <c r="ED23" s="3"/>
    </row>
    <row r="24" customFormat="false" ht="15" hidden="false" customHeight="false" outlineLevel="0" collapsed="false">
      <c r="A24" s="141" t="n">
        <v>2012</v>
      </c>
      <c r="B24" s="3" t="n">
        <v>13449306</v>
      </c>
      <c r="C24" s="3" t="n">
        <v>21084014</v>
      </c>
      <c r="D24" s="3" t="n">
        <v>9912065</v>
      </c>
      <c r="E24" s="3" t="n">
        <v>21056391</v>
      </c>
      <c r="F24" s="3" t="n">
        <v>1566615</v>
      </c>
      <c r="G24" s="3" t="n">
        <v>11124487</v>
      </c>
      <c r="H24" s="3" t="n">
        <v>4061864</v>
      </c>
      <c r="I24" s="3" t="n">
        <v>5375684</v>
      </c>
      <c r="J24" s="3" t="n">
        <v>206567</v>
      </c>
      <c r="K24" s="3" t="n">
        <v>86235003</v>
      </c>
      <c r="L24" s="3" t="n">
        <v>136308</v>
      </c>
      <c r="M24" s="3" t="n">
        <v>4750931</v>
      </c>
      <c r="N24" s="3" t="n">
        <v>5116224</v>
      </c>
      <c r="O24" s="3" t="n">
        <v>179590</v>
      </c>
      <c r="P24" s="3" t="n">
        <v>4763133</v>
      </c>
      <c r="Q24" s="3" t="n">
        <v>429174</v>
      </c>
      <c r="R24" s="3" t="n">
        <v>5193088</v>
      </c>
      <c r="S24" s="3" t="n">
        <v>1191192</v>
      </c>
      <c r="T24" s="4" t="n">
        <v>111000000</v>
      </c>
      <c r="U24" s="3" t="n">
        <v>3373477</v>
      </c>
      <c r="V24" s="3" t="n">
        <v>7579840</v>
      </c>
      <c r="W24" s="3" t="n">
        <v>4707707</v>
      </c>
      <c r="X24" s="3" t="n">
        <v>8055225</v>
      </c>
      <c r="Y24" s="3" t="n">
        <v>10270568</v>
      </c>
      <c r="Z24" s="3" t="n">
        <v>16720869</v>
      </c>
      <c r="AA24" s="3" t="n">
        <v>281180</v>
      </c>
      <c r="AB24" s="3" t="n">
        <v>2251791</v>
      </c>
      <c r="AC24" s="3" t="n">
        <v>5519958</v>
      </c>
      <c r="AD24" s="4" t="n">
        <v>9172793</v>
      </c>
      <c r="AE24" s="4" t="n">
        <v>771000000</v>
      </c>
      <c r="AF24" s="3" t="n">
        <v>25792552</v>
      </c>
      <c r="AG24" s="3" t="n">
        <v>2014903</v>
      </c>
      <c r="AH24" s="3" t="n">
        <v>2525721</v>
      </c>
      <c r="AI24" s="3" t="n">
        <v>5918600</v>
      </c>
      <c r="AJ24" s="3" t="n">
        <v>9842820</v>
      </c>
      <c r="AK24" s="3" t="n">
        <v>31173444</v>
      </c>
      <c r="AL24" s="3" t="n">
        <v>2548696</v>
      </c>
      <c r="AM24" s="3" t="n">
        <v>462831</v>
      </c>
      <c r="AN24" s="3" t="n">
        <v>5277514</v>
      </c>
      <c r="AO24" s="3" t="n">
        <v>8111839</v>
      </c>
      <c r="AP24" s="3" t="n">
        <v>44848062</v>
      </c>
      <c r="AQ24" s="3" t="n">
        <v>3166953</v>
      </c>
      <c r="AR24" s="3" t="n">
        <v>369930</v>
      </c>
      <c r="AS24" s="3" t="n">
        <v>2389482</v>
      </c>
      <c r="AT24" s="3" t="n">
        <v>619653</v>
      </c>
      <c r="AU24" s="3" t="n">
        <v>43095647</v>
      </c>
      <c r="AV24" s="11" t="n">
        <v>2378480</v>
      </c>
      <c r="AW24" s="3" t="n">
        <v>29140420</v>
      </c>
      <c r="AX24" s="3" t="n">
        <v>795229</v>
      </c>
      <c r="AY24" s="3" t="n">
        <v>823759</v>
      </c>
      <c r="AZ24" s="3" t="n">
        <v>1940025</v>
      </c>
      <c r="BA24" s="3" t="n">
        <v>12802837</v>
      </c>
      <c r="BB24" s="3" t="n">
        <v>5181782</v>
      </c>
      <c r="BC24" s="3" t="n">
        <v>7644712</v>
      </c>
      <c r="BD24" s="3" t="n">
        <v>5387209</v>
      </c>
      <c r="BE24" s="3" t="n">
        <v>822665</v>
      </c>
      <c r="BF24" s="3" t="n">
        <v>383416</v>
      </c>
      <c r="BG24" s="3" t="n">
        <v>5334668</v>
      </c>
      <c r="BH24" s="4" t="n">
        <v>4100588</v>
      </c>
      <c r="BI24" s="4" t="n">
        <v>672000000</v>
      </c>
      <c r="BJ24" s="4" t="n">
        <v>136000000</v>
      </c>
      <c r="BK24" s="3" t="n">
        <v>46357323</v>
      </c>
      <c r="BL24" s="3" t="n">
        <v>3747824</v>
      </c>
      <c r="BM24" s="3" t="n">
        <v>26662190</v>
      </c>
      <c r="BN24" s="3" t="n">
        <v>1442296</v>
      </c>
      <c r="BO24" s="3" t="n">
        <v>9111254</v>
      </c>
      <c r="BP24" s="3" t="n">
        <v>20639954</v>
      </c>
      <c r="BQ24" s="3" t="n">
        <v>3061910</v>
      </c>
      <c r="BR24" s="3" t="n">
        <v>3385864</v>
      </c>
      <c r="BS24" s="3" t="n">
        <v>2461419</v>
      </c>
      <c r="BT24" s="3" t="n">
        <v>1062816</v>
      </c>
      <c r="BU24" s="3" t="n">
        <v>1965406</v>
      </c>
      <c r="BV24" s="3" t="n">
        <v>10601323</v>
      </c>
      <c r="BW24" s="3" t="n">
        <v>7130794</v>
      </c>
      <c r="BX24" s="3" t="n">
        <v>16380136</v>
      </c>
      <c r="BY24" s="3" t="n">
        <v>7146117</v>
      </c>
      <c r="BZ24" s="3" t="n">
        <v>1843634</v>
      </c>
      <c r="CA24" s="3" t="n">
        <v>667675</v>
      </c>
      <c r="CB24" s="3" t="n">
        <v>66050945</v>
      </c>
      <c r="CC24" s="3" t="n">
        <v>1655832</v>
      </c>
      <c r="CD24" s="3" t="n">
        <v>17812963</v>
      </c>
      <c r="CE24" s="3" t="n">
        <v>11394894</v>
      </c>
      <c r="CF24" s="3" t="n">
        <v>28296105</v>
      </c>
      <c r="CG24" s="3" t="n">
        <v>1185116</v>
      </c>
      <c r="CH24" s="3" t="n">
        <v>13707716</v>
      </c>
      <c r="CI24" s="3" t="n">
        <v>7670689</v>
      </c>
      <c r="CJ24" s="3" t="n">
        <v>2098879</v>
      </c>
      <c r="CK24" s="3" t="n">
        <v>3188828</v>
      </c>
      <c r="CL24" s="3" t="n">
        <v>7129697</v>
      </c>
      <c r="CM24" s="3" t="n">
        <v>77906749</v>
      </c>
      <c r="CN24" s="3" t="n">
        <v>91329973</v>
      </c>
      <c r="CO24" s="3" t="n">
        <v>1977641</v>
      </c>
      <c r="CP24" s="3" t="n">
        <v>3639143</v>
      </c>
      <c r="CQ24" s="3" t="n">
        <v>3351151</v>
      </c>
      <c r="CR24" s="3" t="n">
        <v>16218642</v>
      </c>
      <c r="CS24" s="3" t="n">
        <v>50485565</v>
      </c>
      <c r="CT24" s="3" t="n">
        <v>1943965</v>
      </c>
      <c r="CU24" s="3" t="n">
        <v>72249012</v>
      </c>
      <c r="CV24" s="3" t="n">
        <v>5242569</v>
      </c>
      <c r="CW24" s="3" t="n">
        <v>97380</v>
      </c>
      <c r="CX24" s="3" t="n">
        <v>85478</v>
      </c>
      <c r="CY24" s="3" t="n">
        <v>6500973</v>
      </c>
      <c r="CZ24" s="3" t="n">
        <v>2863777</v>
      </c>
      <c r="DA24" s="3" t="n">
        <v>4355036</v>
      </c>
      <c r="DB24" s="3" t="n">
        <v>28522314</v>
      </c>
      <c r="DC24" s="3" t="n">
        <v>5155001</v>
      </c>
      <c r="DD24" s="3" t="n">
        <v>22798796</v>
      </c>
      <c r="DE24" s="3" t="n">
        <v>10422969</v>
      </c>
      <c r="DF24" s="3" t="n">
        <v>18214641</v>
      </c>
      <c r="DG24" s="3" t="n">
        <v>279390</v>
      </c>
      <c r="DH24" s="3" t="n">
        <v>633617</v>
      </c>
      <c r="DI24" s="12" t="n">
        <v>4374335</v>
      </c>
      <c r="DJ24" s="3" t="n">
        <v>3866876</v>
      </c>
      <c r="DK24" s="3" t="n">
        <v>4238494</v>
      </c>
      <c r="DL24" s="3" t="n">
        <v>36234303</v>
      </c>
      <c r="DM24" s="3" t="n">
        <v>526388</v>
      </c>
      <c r="DN24" s="3" t="n">
        <v>3242711</v>
      </c>
      <c r="DO24" s="3" t="n">
        <v>722680</v>
      </c>
      <c r="DP24" s="3" t="n">
        <v>5986409</v>
      </c>
      <c r="DQ24" s="3" t="n">
        <v>15576626</v>
      </c>
      <c r="DR24" s="3" t="n">
        <v>22600955</v>
      </c>
      <c r="DS24" s="3" t="n">
        <v>30165877</v>
      </c>
      <c r="DT24" s="4" t="n">
        <v>22166704</v>
      </c>
      <c r="DU24" s="4" t="n">
        <v>149000000</v>
      </c>
      <c r="DV24" s="3" t="n">
        <v>1636946</v>
      </c>
      <c r="DW24" s="3" t="n">
        <v>16639850</v>
      </c>
      <c r="DX24" s="3" t="n">
        <v>15982463</v>
      </c>
      <c r="DY24" s="3" t="n">
        <v>50991981</v>
      </c>
      <c r="DZ24" s="3" t="n">
        <v>12219079</v>
      </c>
      <c r="EA24" s="3" t="n">
        <v>6753384</v>
      </c>
      <c r="EB24" s="3" t="n">
        <v>7323960</v>
      </c>
      <c r="EC24" s="3" t="n">
        <v>3377042883</v>
      </c>
      <c r="ED24" s="3"/>
    </row>
    <row r="25" customFormat="false" ht="15" hidden="false" customHeight="false" outlineLevel="0" collapsed="false">
      <c r="A25" s="141" t="n">
        <v>2013</v>
      </c>
      <c r="B25" s="3" t="n">
        <v>14098935</v>
      </c>
      <c r="C25" s="3" t="n">
        <v>21266205</v>
      </c>
      <c r="D25" s="3" t="n">
        <v>10269668</v>
      </c>
      <c r="E25" s="3" t="n">
        <v>21264296</v>
      </c>
      <c r="F25" s="3" t="n">
        <v>1550829</v>
      </c>
      <c r="G25" s="3" t="n">
        <v>11251733</v>
      </c>
      <c r="H25" s="3" t="n">
        <v>4045377</v>
      </c>
      <c r="I25" s="3" t="n">
        <v>5348669</v>
      </c>
      <c r="J25" s="3" t="n">
        <v>208339</v>
      </c>
      <c r="K25" s="3" t="n">
        <v>87523680</v>
      </c>
      <c r="L25" s="3" t="n">
        <v>135003</v>
      </c>
      <c r="M25" s="3" t="n">
        <v>4676505</v>
      </c>
      <c r="N25" s="3" t="n">
        <v>5102794</v>
      </c>
      <c r="O25" s="3" t="n">
        <v>184846</v>
      </c>
      <c r="P25" s="3" t="n">
        <v>4910250</v>
      </c>
      <c r="Q25" s="3" t="n">
        <v>438953</v>
      </c>
      <c r="R25" s="3" t="n">
        <v>5300551</v>
      </c>
      <c r="S25" s="3" t="n">
        <v>1216715</v>
      </c>
      <c r="T25" s="4" t="n">
        <v>112000000</v>
      </c>
      <c r="U25" s="3" t="n">
        <v>3333965</v>
      </c>
      <c r="V25" s="3" t="n">
        <v>7829244</v>
      </c>
      <c r="W25" s="3" t="n">
        <v>4848628</v>
      </c>
      <c r="X25" s="3" t="n">
        <v>8189852</v>
      </c>
      <c r="Y25" s="3" t="n">
        <v>10571101</v>
      </c>
      <c r="Z25" s="3" t="n">
        <v>16722079</v>
      </c>
      <c r="AA25" s="3" t="n">
        <v>285620</v>
      </c>
      <c r="AB25" s="3" t="n">
        <v>2310204</v>
      </c>
      <c r="AC25" s="3" t="n">
        <v>5738318</v>
      </c>
      <c r="AD25" s="4" t="n">
        <v>9227877</v>
      </c>
      <c r="AE25" s="4" t="n">
        <v>764000000</v>
      </c>
      <c r="AF25" s="3" t="n">
        <v>25944073</v>
      </c>
      <c r="AG25" s="3" t="n">
        <v>2059795</v>
      </c>
      <c r="AH25" s="3" t="n">
        <v>2546054</v>
      </c>
      <c r="AI25" s="3" t="n">
        <v>5828432</v>
      </c>
      <c r="AJ25" s="3" t="n">
        <v>10138371</v>
      </c>
      <c r="AK25" s="3" t="n">
        <v>32242806</v>
      </c>
      <c r="AL25" s="3" t="n">
        <v>2555061</v>
      </c>
      <c r="AM25" s="3" t="n">
        <v>468596</v>
      </c>
      <c r="AN25" s="3" t="n">
        <v>5332592</v>
      </c>
      <c r="AO25" s="3" t="n">
        <v>8240700</v>
      </c>
      <c r="AP25" s="3" t="n">
        <v>45455652</v>
      </c>
      <c r="AQ25" s="3" t="n">
        <v>3198002</v>
      </c>
      <c r="AR25" s="3" t="n">
        <v>379583</v>
      </c>
      <c r="AS25" s="3" t="n">
        <v>2435030</v>
      </c>
      <c r="AT25" s="3" t="n">
        <v>608836</v>
      </c>
      <c r="AU25" s="3" t="n">
        <v>44754867</v>
      </c>
      <c r="AV25" s="11" t="n">
        <v>2372828</v>
      </c>
      <c r="AW25" s="3" t="n">
        <v>29008856</v>
      </c>
      <c r="AX25" s="3" t="n">
        <v>816300</v>
      </c>
      <c r="AY25" s="3" t="n">
        <v>851149</v>
      </c>
      <c r="AZ25" s="3" t="n">
        <v>1898872</v>
      </c>
      <c r="BA25" s="3" t="n">
        <v>13106716</v>
      </c>
      <c r="BB25" s="3" t="n">
        <v>5076634</v>
      </c>
      <c r="BC25" s="3" t="n">
        <v>7862917</v>
      </c>
      <c r="BD25" s="3" t="n">
        <v>5553647</v>
      </c>
      <c r="BE25" s="3" t="n">
        <v>845424</v>
      </c>
      <c r="BF25" s="3" t="n">
        <v>387008</v>
      </c>
      <c r="BG25" s="3" t="n">
        <v>5433616</v>
      </c>
      <c r="BH25" s="4" t="n">
        <v>4204249</v>
      </c>
      <c r="BI25" s="4" t="n">
        <v>682000000</v>
      </c>
      <c r="BJ25" s="4" t="n">
        <v>138000000</v>
      </c>
      <c r="BK25" s="3" t="n">
        <v>46614416</v>
      </c>
      <c r="BL25" s="3" t="n">
        <v>3807092</v>
      </c>
      <c r="BM25" s="3" t="n">
        <v>26623265</v>
      </c>
      <c r="BN25" s="3" t="n">
        <v>1452930</v>
      </c>
      <c r="BO25" s="3" t="n">
        <v>9075477</v>
      </c>
      <c r="BP25" s="3" t="n">
        <v>21224915</v>
      </c>
      <c r="BQ25" s="3" t="n">
        <v>3080844</v>
      </c>
      <c r="BR25" s="3" t="n">
        <v>3462100</v>
      </c>
      <c r="BS25" s="3" t="n">
        <v>2483065</v>
      </c>
      <c r="BT25" s="3" t="n">
        <v>1087156</v>
      </c>
      <c r="BU25" s="3" t="n">
        <v>2021089</v>
      </c>
      <c r="BV25" s="3" t="n">
        <v>10960841</v>
      </c>
      <c r="BW25" s="3" t="n">
        <v>7402850</v>
      </c>
      <c r="BX25" s="3" t="n">
        <v>16717914</v>
      </c>
      <c r="BY25" s="3" t="n">
        <v>7357573</v>
      </c>
      <c r="BZ25" s="3" t="n">
        <v>1893075</v>
      </c>
      <c r="CA25" s="3" t="n">
        <v>664491</v>
      </c>
      <c r="CB25" s="3" t="n">
        <v>67067810</v>
      </c>
      <c r="CC25" s="3" t="n">
        <v>1663040</v>
      </c>
      <c r="CD25" s="3" t="n">
        <v>17975035</v>
      </c>
      <c r="CE25" s="3" t="n">
        <v>11756737</v>
      </c>
      <c r="CF25" s="3" t="n">
        <v>28555267</v>
      </c>
      <c r="CG25" s="3" t="n">
        <v>1216375</v>
      </c>
      <c r="CH25" s="3" t="n">
        <v>14054118</v>
      </c>
      <c r="CI25" s="3" t="n">
        <v>7613270</v>
      </c>
      <c r="CJ25" s="3" t="n">
        <v>2088406</v>
      </c>
      <c r="CK25" s="3" t="n">
        <v>3238944</v>
      </c>
      <c r="CL25" s="3" t="n">
        <v>7398940</v>
      </c>
      <c r="CM25" s="3" t="n">
        <v>79996731</v>
      </c>
      <c r="CN25" s="3" t="n">
        <v>93501866</v>
      </c>
      <c r="CO25" s="3" t="n">
        <v>2007190</v>
      </c>
      <c r="CP25" s="3" t="n">
        <v>3736083</v>
      </c>
      <c r="CQ25" s="3" t="n">
        <v>3415815</v>
      </c>
      <c r="CR25" s="3" t="n">
        <v>16404714</v>
      </c>
      <c r="CS25" s="3" t="n">
        <v>51369374</v>
      </c>
      <c r="CT25" s="3" t="n">
        <v>1927829</v>
      </c>
      <c r="CU25" s="3" t="n">
        <v>71100314</v>
      </c>
      <c r="CV25" s="3" t="n">
        <v>5383326</v>
      </c>
      <c r="CW25" s="3" t="n">
        <v>97885</v>
      </c>
      <c r="CX25" s="3" t="n">
        <v>87359</v>
      </c>
      <c r="CY25" s="3" t="n">
        <v>6701432</v>
      </c>
      <c r="CZ25" s="3" t="n">
        <v>2943727</v>
      </c>
      <c r="DA25" s="3" t="n">
        <v>4486389</v>
      </c>
      <c r="DB25" s="3" t="n">
        <v>29076721</v>
      </c>
      <c r="DC25" s="3" t="n">
        <v>5403380</v>
      </c>
      <c r="DD25" s="3" t="n">
        <v>22343147</v>
      </c>
      <c r="DE25" s="3" t="n">
        <v>10417153</v>
      </c>
      <c r="DF25" s="3" t="n">
        <v>18676342</v>
      </c>
      <c r="DG25" s="3" t="n">
        <v>280792</v>
      </c>
      <c r="DH25" s="3" t="n">
        <v>646640</v>
      </c>
      <c r="DI25" s="12" t="n">
        <v>4386072</v>
      </c>
      <c r="DJ25" s="3" t="n">
        <v>3885181</v>
      </c>
      <c r="DK25" s="3" t="n">
        <v>4317897</v>
      </c>
      <c r="DL25" s="3" t="n">
        <v>36009378</v>
      </c>
      <c r="DM25" s="3" t="n">
        <v>536212</v>
      </c>
      <c r="DN25" s="3" t="n">
        <v>3336090</v>
      </c>
      <c r="DO25" s="3" t="n">
        <v>716681</v>
      </c>
      <c r="DP25" s="3" t="n">
        <v>5991559</v>
      </c>
      <c r="DQ25" s="3" t="n">
        <v>16176686</v>
      </c>
      <c r="DR25" s="3" t="n">
        <v>22306015</v>
      </c>
      <c r="DS25" s="3" t="n">
        <v>30114887</v>
      </c>
      <c r="DT25" s="4" t="n">
        <v>22856780</v>
      </c>
      <c r="DU25" s="4" t="n">
        <v>149000000</v>
      </c>
      <c r="DV25" s="3" t="n">
        <v>1641222</v>
      </c>
      <c r="DW25" s="3" t="n">
        <v>16813247</v>
      </c>
      <c r="DX25" s="3" t="n">
        <v>16146045</v>
      </c>
      <c r="DY25" s="3" t="n">
        <v>51091922</v>
      </c>
      <c r="DZ25" s="3" t="n">
        <v>12639476</v>
      </c>
      <c r="EA25" s="3" t="n">
        <v>6994457</v>
      </c>
      <c r="EB25" s="3" t="n">
        <v>7493276</v>
      </c>
      <c r="EC25" s="3" t="n">
        <v>3404471229</v>
      </c>
      <c r="ED25" s="3"/>
    </row>
    <row r="26" customFormat="false" ht="15" hidden="false" customHeight="false" outlineLevel="0" collapsed="false">
      <c r="A26" s="141" t="n">
        <v>2014</v>
      </c>
      <c r="B26" s="3" t="n">
        <v>14768785</v>
      </c>
      <c r="C26" s="3" t="n">
        <v>21419112</v>
      </c>
      <c r="D26" s="3" t="n">
        <v>10646512</v>
      </c>
      <c r="E26" s="3" t="n">
        <v>21475642</v>
      </c>
      <c r="F26" s="3" t="n">
        <v>1533321</v>
      </c>
      <c r="G26" s="3" t="n">
        <v>11356508</v>
      </c>
      <c r="H26" s="3" t="n">
        <v>4034304</v>
      </c>
      <c r="I26" s="3" t="n">
        <v>5316568</v>
      </c>
      <c r="J26" s="3" t="n">
        <v>209696</v>
      </c>
      <c r="K26" s="3" t="n">
        <v>88788748</v>
      </c>
      <c r="L26" s="3" t="n">
        <v>133737</v>
      </c>
      <c r="M26" s="3" t="n">
        <v>4603227</v>
      </c>
      <c r="N26" s="3" t="n">
        <v>5084694</v>
      </c>
      <c r="O26" s="3" t="n">
        <v>190145</v>
      </c>
      <c r="P26" s="3" t="n">
        <v>5062033</v>
      </c>
      <c r="Q26" s="3" t="n">
        <v>447830</v>
      </c>
      <c r="R26" s="3" t="n">
        <v>5407896</v>
      </c>
      <c r="S26" s="3" t="n">
        <v>1241700</v>
      </c>
      <c r="T26" s="4" t="n">
        <v>112000000</v>
      </c>
      <c r="U26" s="3" t="n">
        <v>3292750</v>
      </c>
      <c r="V26" s="3" t="n">
        <v>8089115</v>
      </c>
      <c r="W26" s="3" t="n">
        <v>4992613</v>
      </c>
      <c r="X26" s="3" t="n">
        <v>8313253</v>
      </c>
      <c r="Y26" s="3" t="n">
        <v>10883516</v>
      </c>
      <c r="Z26" s="3" t="n">
        <v>16721073</v>
      </c>
      <c r="AA26" s="3" t="n">
        <v>289789</v>
      </c>
      <c r="AB26" s="3" t="n">
        <v>2371408</v>
      </c>
      <c r="AC26" s="3" t="n">
        <v>5967752</v>
      </c>
      <c r="AD26" s="4" t="n">
        <v>9276120</v>
      </c>
      <c r="AE26" s="4" t="n">
        <v>757000000</v>
      </c>
      <c r="AF26" s="3" t="n">
        <v>26076693</v>
      </c>
      <c r="AG26" s="3" t="n">
        <v>2107072</v>
      </c>
      <c r="AH26" s="3" t="n">
        <v>2563453</v>
      </c>
      <c r="AI26" s="3" t="n">
        <v>5732178</v>
      </c>
      <c r="AJ26" s="3" t="n">
        <v>10444742</v>
      </c>
      <c r="AK26" s="3" t="n">
        <v>33367274</v>
      </c>
      <c r="AL26" s="3" t="n">
        <v>2560051</v>
      </c>
      <c r="AM26" s="3" t="n">
        <v>474311</v>
      </c>
      <c r="AN26" s="3" t="n">
        <v>5386210</v>
      </c>
      <c r="AO26" s="3" t="n">
        <v>8364497</v>
      </c>
      <c r="AP26" s="3" t="n">
        <v>46099327</v>
      </c>
      <c r="AQ26" s="3" t="n">
        <v>3225147</v>
      </c>
      <c r="AR26" s="3" t="n">
        <v>389487</v>
      </c>
      <c r="AS26" s="3" t="n">
        <v>2485287</v>
      </c>
      <c r="AT26" s="3" t="n">
        <v>598516</v>
      </c>
      <c r="AU26" s="3" t="n">
        <v>46459779</v>
      </c>
      <c r="AV26" s="11" t="n">
        <v>2365005</v>
      </c>
      <c r="AW26" s="3" t="n">
        <v>28883585</v>
      </c>
      <c r="AX26" s="3" t="n">
        <v>837445</v>
      </c>
      <c r="AY26" s="3" t="n">
        <v>879948</v>
      </c>
      <c r="AZ26" s="3" t="n">
        <v>1860033</v>
      </c>
      <c r="BA26" s="3" t="n">
        <v>13413726</v>
      </c>
      <c r="BB26" s="3" t="n">
        <v>4961853</v>
      </c>
      <c r="BC26" s="3" t="n">
        <v>8083893</v>
      </c>
      <c r="BD26" s="3" t="n">
        <v>5727150</v>
      </c>
      <c r="BE26" s="3" t="n">
        <v>868960</v>
      </c>
      <c r="BF26" s="3" t="n">
        <v>390784</v>
      </c>
      <c r="BG26" s="3" t="n">
        <v>5530528</v>
      </c>
      <c r="BH26" s="4" t="n">
        <v>4305261</v>
      </c>
      <c r="BI26" s="4" t="n">
        <v>692000000</v>
      </c>
      <c r="BJ26" s="4" t="n">
        <v>139000000</v>
      </c>
      <c r="BK26" s="3" t="n">
        <v>46822335</v>
      </c>
      <c r="BL26" s="3" t="n">
        <v>3870808</v>
      </c>
      <c r="BM26" s="3" t="n">
        <v>26501783</v>
      </c>
      <c r="BN26" s="3" t="n">
        <v>1460814</v>
      </c>
      <c r="BO26" s="3" t="n">
        <v>9036686</v>
      </c>
      <c r="BP26" s="3" t="n">
        <v>21838266</v>
      </c>
      <c r="BQ26" s="3" t="n">
        <v>3099501</v>
      </c>
      <c r="BR26" s="3" t="n">
        <v>3535421</v>
      </c>
      <c r="BS26" s="3" t="n">
        <v>2505422</v>
      </c>
      <c r="BT26" s="3" t="n">
        <v>1111516</v>
      </c>
      <c r="BU26" s="3" t="n">
        <v>2078712</v>
      </c>
      <c r="BV26" s="3" t="n">
        <v>11328808</v>
      </c>
      <c r="BW26" s="3" t="n">
        <v>7681853</v>
      </c>
      <c r="BX26" s="3" t="n">
        <v>16953684</v>
      </c>
      <c r="BY26" s="3" t="n">
        <v>7580997</v>
      </c>
      <c r="BZ26" s="3" t="n">
        <v>1943795</v>
      </c>
      <c r="CA26" s="3" t="n">
        <v>661558</v>
      </c>
      <c r="CB26" s="3" t="n">
        <v>68030194</v>
      </c>
      <c r="CC26" s="3" t="n">
        <v>1668205</v>
      </c>
      <c r="CD26" s="3" t="n">
        <v>18123668</v>
      </c>
      <c r="CE26" s="3" t="n">
        <v>12140270</v>
      </c>
      <c r="CF26" s="3" t="n">
        <v>28831946</v>
      </c>
      <c r="CG26" s="3" t="n">
        <v>1247724</v>
      </c>
      <c r="CH26" s="3" t="n">
        <v>14395311</v>
      </c>
      <c r="CI26" s="3" t="n">
        <v>7559880</v>
      </c>
      <c r="CJ26" s="3" t="n">
        <v>2093871</v>
      </c>
      <c r="CK26" s="3" t="n">
        <v>3286582</v>
      </c>
      <c r="CL26" s="3" t="n">
        <v>7686379</v>
      </c>
      <c r="CM26" s="3" t="n">
        <v>82203945</v>
      </c>
      <c r="CN26" s="3" t="n">
        <v>95619366</v>
      </c>
      <c r="CO26" s="3" t="n">
        <v>2035612</v>
      </c>
      <c r="CP26" s="3" t="n">
        <v>3834491</v>
      </c>
      <c r="CQ26" s="3" t="n">
        <v>3478090</v>
      </c>
      <c r="CR26" s="3" t="n">
        <v>16584726</v>
      </c>
      <c r="CS26" s="3" t="n">
        <v>52220331</v>
      </c>
      <c r="CT26" s="3" t="n">
        <v>1910615</v>
      </c>
      <c r="CU26" s="3" t="n">
        <v>70066128</v>
      </c>
      <c r="CV26" s="3" t="n">
        <v>5532529</v>
      </c>
      <c r="CW26" s="3" t="n">
        <v>98314</v>
      </c>
      <c r="CX26" s="3" t="n">
        <v>89352</v>
      </c>
      <c r="CY26" s="3" t="n">
        <v>6909799</v>
      </c>
      <c r="CZ26" s="3" t="n">
        <v>3026580</v>
      </c>
      <c r="DA26" s="3" t="n">
        <v>4624313</v>
      </c>
      <c r="DB26" s="3" t="n">
        <v>29629690</v>
      </c>
      <c r="DC26" s="3" t="n">
        <v>5647182</v>
      </c>
      <c r="DD26" s="3" t="n">
        <v>21897856</v>
      </c>
      <c r="DE26" s="3" t="n">
        <v>10431988</v>
      </c>
      <c r="DF26" s="3" t="n">
        <v>19163057</v>
      </c>
      <c r="DG26" s="3" t="n">
        <v>282149</v>
      </c>
      <c r="DH26" s="3" t="n">
        <v>659229</v>
      </c>
      <c r="DI26" s="12" t="n">
        <v>4400019</v>
      </c>
      <c r="DJ26" s="3" t="n">
        <v>3901042</v>
      </c>
      <c r="DK26" s="3" t="n">
        <v>4394586</v>
      </c>
      <c r="DL26" s="3" t="n">
        <v>35751103</v>
      </c>
      <c r="DM26" s="3" t="n">
        <v>547299</v>
      </c>
      <c r="DN26" s="3" t="n">
        <v>3433080</v>
      </c>
      <c r="DO26" s="3" t="n">
        <v>711130</v>
      </c>
      <c r="DP26" s="3" t="n">
        <v>5991725</v>
      </c>
      <c r="DQ26" s="3" t="n">
        <v>16804925</v>
      </c>
      <c r="DR26" s="3" t="n">
        <v>21996211</v>
      </c>
      <c r="DS26" s="3" t="n">
        <v>30029249</v>
      </c>
      <c r="DT26" s="4" t="n">
        <v>23579814</v>
      </c>
      <c r="DU26" s="4" t="n">
        <v>149000000</v>
      </c>
      <c r="DV26" s="3" t="n">
        <v>1645659</v>
      </c>
      <c r="DW26" s="3" t="n">
        <v>16999233</v>
      </c>
      <c r="DX26" s="3" t="n">
        <v>16303225</v>
      </c>
      <c r="DY26" s="3" t="n">
        <v>51148071</v>
      </c>
      <c r="DZ26" s="3" t="n">
        <v>13061351</v>
      </c>
      <c r="EA26" s="3" t="n">
        <v>7244857</v>
      </c>
      <c r="EB26" s="3" t="n">
        <v>7670335</v>
      </c>
      <c r="EC26" s="3" t="n">
        <v>3429994287</v>
      </c>
      <c r="ED26" s="3"/>
    </row>
    <row r="27" customFormat="false" ht="15" hidden="false" customHeight="false" outlineLevel="0" collapsed="false">
      <c r="A27" s="141" t="n">
        <v>2015</v>
      </c>
      <c r="B27" s="3" t="n">
        <v>15432000</v>
      </c>
      <c r="C27" s="3" t="n">
        <v>21543000</v>
      </c>
      <c r="D27" s="3" t="n">
        <v>11040000</v>
      </c>
      <c r="E27" s="3" t="n">
        <v>21695000</v>
      </c>
      <c r="F27" s="3" t="n">
        <v>1517000</v>
      </c>
      <c r="G27" s="3" t="n">
        <v>11448000</v>
      </c>
      <c r="H27" s="3" t="n">
        <v>4000000</v>
      </c>
      <c r="I27" s="3" t="n">
        <v>5293000</v>
      </c>
      <c r="J27" s="3" t="n">
        <v>209000</v>
      </c>
      <c r="K27" s="3" t="n">
        <v>90037000</v>
      </c>
      <c r="L27" s="3" t="n">
        <v>132000</v>
      </c>
      <c r="M27" s="3" t="n">
        <v>4528000</v>
      </c>
      <c r="N27" s="3" t="n">
        <v>5074000</v>
      </c>
      <c r="O27" s="3" t="n">
        <v>195000</v>
      </c>
      <c r="P27" s="3" t="n">
        <v>5220000</v>
      </c>
      <c r="Q27" s="3" t="n">
        <v>455000</v>
      </c>
      <c r="R27" s="3" t="n">
        <v>5514000</v>
      </c>
      <c r="S27" s="3" t="n">
        <v>1267000</v>
      </c>
      <c r="T27" s="4" t="n">
        <v>113000000</v>
      </c>
      <c r="U27" s="3" t="n">
        <v>3243000</v>
      </c>
      <c r="V27" s="3" t="n">
        <v>8358000</v>
      </c>
      <c r="W27" s="3" t="n">
        <v>5143000</v>
      </c>
      <c r="X27" s="3" t="n">
        <v>8425000</v>
      </c>
      <c r="Y27" s="3" t="n">
        <v>11210000</v>
      </c>
      <c r="Z27" s="3" t="n">
        <v>16710000</v>
      </c>
      <c r="AA27" s="3" t="n">
        <v>293000</v>
      </c>
      <c r="AB27" s="3" t="n">
        <v>2434000</v>
      </c>
      <c r="AC27" s="3" t="n">
        <v>6207000</v>
      </c>
      <c r="AD27" s="4" t="n">
        <v>9318000</v>
      </c>
      <c r="AE27" s="4" t="n">
        <v>749000000</v>
      </c>
      <c r="AF27" s="3" t="n">
        <v>26198000</v>
      </c>
      <c r="AG27" s="3" t="n">
        <v>2157000</v>
      </c>
      <c r="AH27" s="3" t="n">
        <v>2577000</v>
      </c>
      <c r="AI27" s="3" t="n">
        <v>5635000</v>
      </c>
      <c r="AJ27" s="3" t="n">
        <v>10756000</v>
      </c>
      <c r="AK27" s="3" t="n">
        <v>34551000</v>
      </c>
      <c r="AL27" s="3" t="n">
        <v>2561000</v>
      </c>
      <c r="AM27" s="3" t="n">
        <v>481000</v>
      </c>
      <c r="AN27" s="3" t="n">
        <v>5441000</v>
      </c>
      <c r="AO27" s="3" t="n">
        <v>8479000</v>
      </c>
      <c r="AP27" s="3" t="n">
        <v>46824000</v>
      </c>
      <c r="AQ27" s="3" t="n">
        <v>3248000</v>
      </c>
      <c r="AR27" s="3" t="n">
        <v>401000</v>
      </c>
      <c r="AS27" s="3" t="n">
        <v>2541000</v>
      </c>
      <c r="AT27" s="3" t="n">
        <v>587000</v>
      </c>
      <c r="AU27" s="3" t="n">
        <v>48198000</v>
      </c>
      <c r="AV27" s="11" t="n">
        <v>2354000</v>
      </c>
      <c r="AW27" s="3" t="n">
        <v>28761000</v>
      </c>
      <c r="AX27" s="3" t="n">
        <v>859000</v>
      </c>
      <c r="AY27" s="3" t="n">
        <v>911000</v>
      </c>
      <c r="AZ27" s="3" t="n">
        <v>1839000</v>
      </c>
      <c r="BA27" s="3" t="n">
        <v>13730000</v>
      </c>
      <c r="BB27" s="3" t="n">
        <v>4875000</v>
      </c>
      <c r="BC27" s="3" t="n">
        <v>8309000</v>
      </c>
      <c r="BD27" s="3" t="n">
        <v>5909000</v>
      </c>
      <c r="BE27" s="3" t="n">
        <v>894000</v>
      </c>
      <c r="BF27" s="3" t="n">
        <v>394000</v>
      </c>
      <c r="BG27" s="3" t="n">
        <v>5626000</v>
      </c>
      <c r="BH27" s="4" t="n">
        <v>4400000</v>
      </c>
      <c r="BI27" s="4" t="n">
        <v>702000000</v>
      </c>
      <c r="BJ27" s="4" t="n">
        <v>140000000</v>
      </c>
      <c r="BK27" s="3" t="n">
        <v>46991000</v>
      </c>
      <c r="BL27" s="3" t="n">
        <v>3926000</v>
      </c>
      <c r="BM27" s="3" t="n">
        <v>26120000</v>
      </c>
      <c r="BN27" s="3" t="n">
        <v>1466000</v>
      </c>
      <c r="BO27" s="3" t="n">
        <v>8987000</v>
      </c>
      <c r="BP27" s="3" t="n">
        <v>22482000</v>
      </c>
      <c r="BQ27" s="3" t="n">
        <v>3108000</v>
      </c>
      <c r="BR27" s="3" t="n">
        <v>3605000</v>
      </c>
      <c r="BS27" s="3" t="n">
        <v>2561000</v>
      </c>
      <c r="BT27" s="3" t="n">
        <v>1136000</v>
      </c>
      <c r="BU27" s="3" t="n">
        <v>2140000</v>
      </c>
      <c r="BV27" s="3" t="n">
        <v>11704000</v>
      </c>
      <c r="BW27" s="3" t="n">
        <v>7965000</v>
      </c>
      <c r="BX27" s="3" t="n">
        <v>17178000</v>
      </c>
      <c r="BY27" s="3" t="n">
        <v>7819000</v>
      </c>
      <c r="BZ27" s="3" t="n">
        <v>1995000</v>
      </c>
      <c r="CA27" s="3" t="n">
        <v>661000</v>
      </c>
      <c r="CB27" s="3" t="n">
        <v>68932000</v>
      </c>
      <c r="CC27" s="3" t="n">
        <v>1673000</v>
      </c>
      <c r="CD27" s="3" t="n">
        <v>18260000</v>
      </c>
      <c r="CE27" s="3" t="n">
        <v>12545000</v>
      </c>
      <c r="CF27" s="3" t="n">
        <v>29120000</v>
      </c>
      <c r="CG27" s="3" t="n">
        <v>1278000</v>
      </c>
      <c r="CH27" s="3" t="n">
        <v>14722000</v>
      </c>
      <c r="CI27" s="3" t="n">
        <v>7505000</v>
      </c>
      <c r="CJ27" s="3" t="n">
        <v>2086000</v>
      </c>
      <c r="CK27" s="3" t="n">
        <v>3331000</v>
      </c>
      <c r="CL27" s="3" t="n">
        <v>7994000</v>
      </c>
      <c r="CM27" s="3" t="n">
        <v>84536000</v>
      </c>
      <c r="CN27" s="3" t="n">
        <v>97643000</v>
      </c>
      <c r="CO27" s="3" t="n">
        <v>2062000</v>
      </c>
      <c r="CP27" s="3" t="n">
        <v>3935000</v>
      </c>
      <c r="CQ27" s="3" t="n">
        <v>3536000</v>
      </c>
      <c r="CR27" s="3" t="n">
        <v>16760000</v>
      </c>
      <c r="CS27" s="3" t="n">
        <v>53037000</v>
      </c>
      <c r="CT27" s="3" t="n">
        <v>1893000</v>
      </c>
      <c r="CU27" s="3" t="n">
        <v>69115000</v>
      </c>
      <c r="CV27" s="3" t="n">
        <v>5690000</v>
      </c>
      <c r="CW27" s="3" t="n">
        <v>98000</v>
      </c>
      <c r="CX27" s="3" t="n">
        <v>90000</v>
      </c>
      <c r="CY27" s="3" t="n">
        <v>7127000</v>
      </c>
      <c r="CZ27" s="3" t="n">
        <v>3113000</v>
      </c>
      <c r="DA27" s="3" t="n">
        <v>4766000</v>
      </c>
      <c r="DB27" s="3" t="n">
        <v>30099000</v>
      </c>
      <c r="DC27" s="3" t="n">
        <v>5882000</v>
      </c>
      <c r="DD27" s="3" t="n">
        <v>21521000</v>
      </c>
      <c r="DE27" s="3" t="n">
        <v>10405000</v>
      </c>
      <c r="DF27" s="3" t="n">
        <v>19683000</v>
      </c>
      <c r="DG27" s="3" t="n">
        <v>283000</v>
      </c>
      <c r="DH27" s="3" t="n">
        <v>670000</v>
      </c>
      <c r="DI27" s="12" t="n">
        <v>4399000</v>
      </c>
      <c r="DJ27" s="3" t="n">
        <v>3900000</v>
      </c>
      <c r="DK27" s="3" t="n">
        <v>4469000</v>
      </c>
      <c r="DL27" s="3" t="n">
        <v>35449000</v>
      </c>
      <c r="DM27" s="3" t="n">
        <v>559000</v>
      </c>
      <c r="DN27" s="3" t="n">
        <v>3533000</v>
      </c>
      <c r="DO27" s="3" t="n">
        <v>708000</v>
      </c>
      <c r="DP27" s="3" t="n">
        <v>5994000</v>
      </c>
      <c r="DQ27" s="3" t="n">
        <v>17463000</v>
      </c>
      <c r="DR27" s="3" t="n">
        <v>21658000</v>
      </c>
      <c r="DS27" s="3" t="n">
        <v>29893000</v>
      </c>
      <c r="DT27" s="4" t="n">
        <v>24345000</v>
      </c>
      <c r="DU27" s="4" t="n">
        <v>149000000</v>
      </c>
      <c r="DV27" s="3" t="n">
        <v>1650000</v>
      </c>
      <c r="DW27" s="3" t="n">
        <v>17136000</v>
      </c>
      <c r="DX27" s="3" t="n">
        <v>16459000</v>
      </c>
      <c r="DY27" s="3" t="n">
        <v>51194000</v>
      </c>
      <c r="DZ27" s="3" t="n">
        <v>13486000</v>
      </c>
      <c r="EA27" s="3" t="n">
        <v>7503000</v>
      </c>
      <c r="EB27" s="3" t="n">
        <v>7856000</v>
      </c>
      <c r="EC27" s="3" t="n">
        <v>3455324000</v>
      </c>
      <c r="ED27" s="3"/>
    </row>
    <row r="28" customFormat="false" ht="15" hidden="false" customHeight="false" outlineLevel="0" collapsed="false">
      <c r="A28" s="142"/>
      <c r="AV28" s="91"/>
      <c r="CJ28" s="7"/>
    </row>
    <row r="29" customFormat="false" ht="15" hidden="false" customHeight="false" outlineLevel="0" collapsed="false">
      <c r="A29" s="13"/>
      <c r="CO29" s="7" t="s">
        <v>135</v>
      </c>
    </row>
    <row r="30" customFormat="false" ht="15" hidden="false" customHeight="false" outlineLevel="0" collapsed="false">
      <c r="A30" s="13"/>
      <c r="B30" s="6" t="s">
        <v>563</v>
      </c>
      <c r="AE30" s="9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row>
    <row r="31" customFormat="false" ht="15" hidden="false" customHeight="false" outlineLevel="0" collapsed="false">
      <c r="A31" s="13"/>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row>
    <row r="32" customFormat="false" ht="15" hidden="false" customHeight="false" outlineLevel="0" collapsed="false">
      <c r="A32" s="13"/>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row>
    <row r="33" customFormat="false" ht="15" hidden="false" customHeight="false" outlineLevel="0" collapsed="false">
      <c r="A33" s="13"/>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row>
    <row r="34" customFormat="false" ht="15" hidden="false" customHeight="false" outlineLevel="0" collapsed="false">
      <c r="A34" s="13"/>
      <c r="B34" s="10"/>
      <c r="C34" s="3" t="n">
        <v>21543000</v>
      </c>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row>
    <row r="35" customFormat="false" ht="15" hidden="false" customHeight="false" outlineLevel="0" collapsed="false">
      <c r="A35" s="13"/>
      <c r="B35" s="10"/>
      <c r="C35" s="3" t="n">
        <v>11040000</v>
      </c>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row>
    <row r="36" customFormat="false" ht="15" hidden="false" customHeight="false" outlineLevel="0" collapsed="false">
      <c r="A36" s="13"/>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row>
    <row r="37" customFormat="false" ht="15" hidden="false" customHeight="false" outlineLevel="0" collapsed="false">
      <c r="A37" s="13"/>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row>
    <row r="38" customFormat="false" ht="15" hidden="false" customHeight="false" outlineLevel="0" collapsed="false">
      <c r="A38" s="13"/>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row>
    <row r="39" customFormat="false" ht="15" hidden="false" customHeight="false" outlineLevel="0" collapsed="false">
      <c r="A39" s="13"/>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row>
    <row r="40" customFormat="false" ht="15" hidden="false" customHeight="false" outlineLevel="0" collapsed="false">
      <c r="A40" s="13"/>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row>
    <row r="41" customFormat="false" ht="15" hidden="false" customHeight="false" outlineLevel="0" collapsed="false">
      <c r="A41" s="13"/>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row>
    <row r="42" customFormat="false" ht="15" hidden="false" customHeight="false" outlineLevel="0" collapsed="false">
      <c r="A42" s="13"/>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row>
    <row r="43" customFormat="false" ht="15" hidden="false" customHeight="false" outlineLevel="0" collapsed="false">
      <c r="A43" s="13"/>
      <c r="B43" s="135" t="s">
        <v>641</v>
      </c>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row>
    <row r="44" customFormat="false" ht="15" hidden="false" customHeight="false" outlineLevel="0" collapsed="false">
      <c r="A44" s="13"/>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row>
    <row r="45" customFormat="false" ht="15" hidden="false" customHeight="false" outlineLevel="0" collapsed="false">
      <c r="A45" s="13"/>
      <c r="B45" s="143" t="s">
        <v>627</v>
      </c>
      <c r="C45" s="90" t="n">
        <v>591701851</v>
      </c>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row>
    <row r="46" customFormat="false" ht="15" hidden="false" customHeight="false" outlineLevel="0" collapsed="false">
      <c r="A46" s="13"/>
      <c r="C46" s="90" t="n">
        <v>592333887</v>
      </c>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row>
    <row r="47" customFormat="false" ht="15" hidden="false" customHeight="false" outlineLevel="0" collapsed="false">
      <c r="A47" s="13"/>
      <c r="B47" s="10"/>
      <c r="C47" s="90" t="n">
        <v>593945015</v>
      </c>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row>
    <row r="48" customFormat="false" ht="15" hidden="false" customHeight="false" outlineLevel="0" collapsed="false">
      <c r="A48" s="13"/>
      <c r="B48" s="10"/>
      <c r="C48" s="90" t="n">
        <v>542357812</v>
      </c>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row>
    <row r="49" customFormat="false" ht="15" hidden="false" customHeight="false" outlineLevel="0" collapsed="false">
      <c r="A49" s="13"/>
      <c r="B49" s="10"/>
      <c r="C49" s="90" t="n">
        <v>497139130</v>
      </c>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row>
    <row r="50" customFormat="false" ht="15" hidden="false" customHeight="false" outlineLevel="0" collapsed="false">
      <c r="A50" s="13"/>
      <c r="B50" s="10"/>
      <c r="C50" s="90" t="n">
        <v>484109015</v>
      </c>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row>
    <row r="51" customFormat="false" ht="15" hidden="false" customHeight="false" outlineLevel="0" collapsed="false">
      <c r="A51" s="13"/>
      <c r="B51" s="143" t="s">
        <v>634</v>
      </c>
      <c r="C51" s="90" t="n">
        <v>452850949</v>
      </c>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row>
    <row r="52" customFormat="false" ht="15" hidden="false" customHeight="false" outlineLevel="0" collapsed="false">
      <c r="A52" s="13"/>
      <c r="C52" s="144" t="n">
        <f aca="false">SUM(C45:C51)</f>
        <v>3754437659</v>
      </c>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row>
  </sheetData>
  <hyperlinks>
    <hyperlink ref="B30" r:id="rId1" display="http://databank.worldbank.org/data/reports.aspx?source=Health%20Nutrition%20and%20Population%20Statistics:%20Population%20estimates%20and%20projections#"/>
    <hyperlink ref="B43" r:id="rId2" display="http://www.census.gov/cgi-bin/broker"/>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V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 activeCellId="0" sqref="M2"/>
    </sheetView>
  </sheetViews>
  <sheetFormatPr defaultRowHeight="15"/>
  <cols>
    <col collapsed="false" hidden="false" max="1" min="1" style="0" width="57.9132653061224"/>
    <col collapsed="false" hidden="false" max="5" min="2" style="0" width="13.9030612244898"/>
    <col collapsed="false" hidden="false" max="48" min="6" style="0" width="8.36734693877551"/>
    <col collapsed="false" hidden="false" max="1025" min="49" style="0" width="8.50510204081633"/>
  </cols>
  <sheetData>
    <row r="1" customFormat="false" ht="15.75" hidden="false" customHeight="true" outlineLevel="0" collapsed="false">
      <c r="A1" s="81" t="s">
        <v>642</v>
      </c>
      <c r="B1" s="81" t="s">
        <v>259</v>
      </c>
      <c r="C1" s="145" t="s">
        <v>2</v>
      </c>
      <c r="D1" s="145" t="s">
        <v>14</v>
      </c>
      <c r="E1" s="145" t="s">
        <v>17</v>
      </c>
      <c r="F1" s="145" t="s">
        <v>20</v>
      </c>
      <c r="G1" s="146" t="s">
        <v>21</v>
      </c>
      <c r="H1" s="146" t="s">
        <v>23</v>
      </c>
      <c r="I1" s="145" t="s">
        <v>25</v>
      </c>
      <c r="J1" s="145" t="s">
        <v>26</v>
      </c>
      <c r="K1" s="145" t="s">
        <v>27</v>
      </c>
      <c r="L1" s="145" t="s">
        <v>643</v>
      </c>
      <c r="M1" s="146" t="s">
        <v>35</v>
      </c>
      <c r="N1" s="145" t="s">
        <v>644</v>
      </c>
      <c r="O1" s="145" t="s">
        <v>384</v>
      </c>
      <c r="P1" s="145" t="s">
        <v>43</v>
      </c>
      <c r="Q1" s="146" t="s">
        <v>45</v>
      </c>
      <c r="R1" s="146" t="s">
        <v>47</v>
      </c>
      <c r="S1" s="146" t="s">
        <v>48</v>
      </c>
      <c r="T1" s="145" t="s">
        <v>50</v>
      </c>
      <c r="U1" s="147" t="s">
        <v>53</v>
      </c>
      <c r="V1" s="145" t="s">
        <v>640</v>
      </c>
      <c r="W1" s="145" t="s">
        <v>64</v>
      </c>
      <c r="X1" s="146" t="s">
        <v>68</v>
      </c>
      <c r="Y1" s="148" t="s">
        <v>69</v>
      </c>
      <c r="Z1" s="145" t="s">
        <v>70</v>
      </c>
      <c r="AA1" s="146" t="s">
        <v>71</v>
      </c>
      <c r="AB1" s="145" t="s">
        <v>73</v>
      </c>
      <c r="AC1" s="145" t="s">
        <v>74</v>
      </c>
      <c r="AD1" s="145" t="s">
        <v>75</v>
      </c>
      <c r="AE1" s="145" t="s">
        <v>79</v>
      </c>
      <c r="AF1" s="146" t="s">
        <v>81</v>
      </c>
      <c r="AG1" s="145" t="s">
        <v>86</v>
      </c>
      <c r="AH1" s="145" t="s">
        <v>87</v>
      </c>
      <c r="AI1" s="145" t="s">
        <v>96</v>
      </c>
      <c r="AJ1" s="145" t="s">
        <v>98</v>
      </c>
      <c r="AK1" s="145" t="s">
        <v>99</v>
      </c>
      <c r="AL1" s="147" t="s">
        <v>100</v>
      </c>
      <c r="AM1" s="145" t="s">
        <v>101</v>
      </c>
      <c r="AN1" s="145" t="s">
        <v>102</v>
      </c>
      <c r="AO1" s="145" t="s">
        <v>103</v>
      </c>
      <c r="AP1" s="145" t="s">
        <v>106</v>
      </c>
      <c r="AQ1" s="145" t="s">
        <v>108</v>
      </c>
      <c r="AR1" s="145" t="s">
        <v>242</v>
      </c>
      <c r="AS1" s="146" t="s">
        <v>114</v>
      </c>
      <c r="AT1" s="146" t="s">
        <v>117</v>
      </c>
      <c r="AU1" s="145" t="s">
        <v>127</v>
      </c>
      <c r="AV1" s="145" t="s">
        <v>128</v>
      </c>
    </row>
    <row r="2" customFormat="false" ht="15.75" hidden="false" customHeight="true" outlineLevel="0" collapsed="false">
      <c r="A2" s="5" t="s">
        <v>645</v>
      </c>
      <c r="B2" s="5" t="n">
        <v>0.0355</v>
      </c>
      <c r="C2" s="3" t="n">
        <f aca="false">(3.269552406/100)+C3</f>
        <v>0.06119552406</v>
      </c>
      <c r="D2" s="3" t="n">
        <f aca="false">(2.641076758/100)+D3</f>
        <v>0.05491076758</v>
      </c>
      <c r="E2" s="8" t="n">
        <f aca="false">(1.975614057/100)+E3</f>
        <v>0.04825614057</v>
      </c>
      <c r="F2" s="8" t="n">
        <f aca="false">(2.91101831662217/100)+F3</f>
        <v>0.05761018317</v>
      </c>
      <c r="G2" s="8" t="n">
        <f aca="false">(3.297803748/100)+G3</f>
        <v>0.06147803748</v>
      </c>
      <c r="H2" s="8" t="n">
        <f aca="false">(2.498110306/100)+H3</f>
        <v>0.05348110306</v>
      </c>
      <c r="I2" s="8" t="n">
        <f aca="false">(1.302061946/100)+I3</f>
        <v>0.04152061946</v>
      </c>
      <c r="J2" s="8" t="n">
        <f aca="false">(1.968283386/100)+J3</f>
        <v>0.04818283386</v>
      </c>
      <c r="K2" s="8" t="n">
        <f aca="false">(3.301595089/100)+K3</f>
        <v>0.06151595089</v>
      </c>
      <c r="L2" s="8" t="n">
        <f aca="false">(2.404550925/100)+L3</f>
        <v>0.05254550925</v>
      </c>
      <c r="M2" s="8" t="n">
        <f aca="false">(3.15317545/100)+M3</f>
        <v>0.0600317545</v>
      </c>
      <c r="N2" s="8" t="n">
        <f aca="false">(2.486347213 /100)+N3</f>
        <v>0.05336347213</v>
      </c>
      <c r="O2" s="8" t="n">
        <f aca="false">(2.44243261 /100)+O3</f>
        <v>0.0529243261</v>
      </c>
      <c r="P2" s="8" t="n">
        <f aca="false">(2.208360412 /100)+P3</f>
        <v>0.05058360412</v>
      </c>
      <c r="Q2" s="8" t="n">
        <f aca="false">(2.50680866/100)+Q3</f>
        <v>0.0535680866</v>
      </c>
      <c r="R2" s="8" t="n">
        <f aca="false">(2.236266447/100)+R3</f>
        <v>0.05086266447</v>
      </c>
      <c r="S2" s="8" t="n">
        <f aca="false">(3.231992692/100)+S3</f>
        <v>0.06081992692</v>
      </c>
      <c r="T2" s="8" t="n">
        <f aca="false">(2.350075661/100)+T3</f>
        <v>0.05200075661</v>
      </c>
      <c r="U2" s="8" t="n">
        <f aca="false">(2.698294373/100)+U3</f>
        <v>0.05548294373</v>
      </c>
      <c r="V2" s="8" t="n">
        <f aca="false">(2.438527521/100)+V3</f>
        <v>0.05288527521</v>
      </c>
      <c r="W2" s="8" t="n">
        <f aca="false">(2.644121396 /100)+W3</f>
        <v>0.05494121396</v>
      </c>
      <c r="X2" s="8" t="n">
        <f aca="false">(1.24688598/100)+X3</f>
        <v>0.0409688598</v>
      </c>
      <c r="Y2" s="8" t="n">
        <f aca="false">(2.367408337/100)+Y3</f>
        <v>0.05217408337</v>
      </c>
      <c r="Z2" s="8" t="n">
        <f aca="false">(2.783869737/100)+Z3</f>
        <v>0.05633869737</v>
      </c>
      <c r="AA2" s="8" t="n">
        <f aca="false">(3.072287728/100)+AA3</f>
        <v>0.05922287728</v>
      </c>
      <c r="AB2" s="8" t="n">
        <f aca="false">(2.933420467/100)+AB3</f>
        <v>0.05783420467</v>
      </c>
      <c r="AC2" s="8" t="n">
        <f aca="false">(2.472382509/100)+AC3</f>
        <v>0.05322382509</v>
      </c>
      <c r="AD2" s="8" t="n">
        <f aca="false">(0.181061469/100)/AD3</f>
        <v>0.06353034</v>
      </c>
      <c r="AE2" s="8" t="n">
        <f aca="false">(2.790970183/100)+AE3</f>
        <v>0.05640970183</v>
      </c>
      <c r="AF2" s="8" t="n">
        <f aca="false">(2.369479939/100)+AF3</f>
        <v>0.05219479939</v>
      </c>
      <c r="AG2" s="8" t="n">
        <f aca="false">(4.029436517/100)+AG3</f>
        <v>0.06879436517</v>
      </c>
      <c r="AH2" s="8" t="n">
        <f aca="false">(2.660487333/100)+AH3</f>
        <v>0.05510487333</v>
      </c>
      <c r="AI2" s="8" t="n">
        <f aca="false">(2.35027091/100)+AI3</f>
        <v>0.0520027091</v>
      </c>
      <c r="AJ2" s="8" t="n">
        <f aca="false">(2.145837472/100)+AJ3</f>
        <v>0.04995837472</v>
      </c>
      <c r="AK2" s="8" t="n">
        <f aca="false">(3.125624981/100)+AK3</f>
        <v>0.05975624981</v>
      </c>
      <c r="AL2" s="8" t="n">
        <f aca="false">(2.189341169/100)+AL3</f>
        <v>0.05039341169</v>
      </c>
      <c r="AM2" s="8" t="n">
        <f aca="false">(2.399954384/100)+AM3</f>
        <v>0.05249954384</v>
      </c>
      <c r="AN2" s="8" t="n">
        <f aca="false">(1.57611958/100)+AN3</f>
        <v>0.0442611958</v>
      </c>
      <c r="AO2" s="8" t="n">
        <f aca="false">(3.915536494/100)+AO3</f>
        <v>0.06765536494</v>
      </c>
      <c r="AP2" s="8" t="n">
        <f aca="false">(2.145269562/100)+AP3</f>
        <v>0.04995269562</v>
      </c>
      <c r="AQ2" s="8" t="n">
        <f aca="false">(1.466122343/100)+AQ3</f>
        <v>0.04316122343</v>
      </c>
      <c r="AR2" s="8" t="n">
        <f aca="false">(3.154369428/100)+AR3</f>
        <v>0.06004369428</v>
      </c>
      <c r="AS2" s="8" t="n">
        <f aca="false">(2.6553193/100)+AS3</f>
        <v>0.055053193</v>
      </c>
      <c r="AT2" s="8" t="n">
        <f aca="false">(3.25376537/100)+AT3</f>
        <v>0.0610376537</v>
      </c>
      <c r="AU2" s="8" t="n">
        <f aca="false">(3.069640155/100)+AU3</f>
        <v>0.05919640155</v>
      </c>
      <c r="AV2" s="8" t="n">
        <f aca="false">(2.307451177/100)+AV3</f>
        <v>0.05157451177</v>
      </c>
    </row>
    <row r="3" customFormat="false" ht="15.75" hidden="false" customHeight="true" outlineLevel="0" collapsed="false">
      <c r="A3" s="5" t="s">
        <v>646</v>
      </c>
      <c r="B3" s="5" t="n">
        <v>0.0285</v>
      </c>
      <c r="C3" s="5" t="n">
        <v>0.0285</v>
      </c>
      <c r="D3" s="5" t="n">
        <v>0.0285</v>
      </c>
      <c r="E3" s="5" t="n">
        <v>0.0285</v>
      </c>
      <c r="F3" s="5" t="n">
        <v>0.0285</v>
      </c>
      <c r="G3" s="5" t="n">
        <v>0.0285</v>
      </c>
      <c r="H3" s="5" t="n">
        <v>0.0285</v>
      </c>
      <c r="I3" s="5" t="n">
        <v>0.0285</v>
      </c>
      <c r="J3" s="5" t="n">
        <v>0.0285</v>
      </c>
      <c r="K3" s="5" t="n">
        <v>0.0285</v>
      </c>
      <c r="L3" s="5" t="n">
        <v>0.0285</v>
      </c>
      <c r="M3" s="5" t="n">
        <v>0.0285</v>
      </c>
      <c r="N3" s="5" t="n">
        <v>0.0285</v>
      </c>
      <c r="O3" s="5" t="n">
        <v>0.0285</v>
      </c>
      <c r="P3" s="5" t="n">
        <v>0.0285</v>
      </c>
      <c r="Q3" s="5" t="n">
        <v>0.0285</v>
      </c>
      <c r="R3" s="5" t="n">
        <v>0.0285</v>
      </c>
      <c r="S3" s="5" t="n">
        <v>0.0285</v>
      </c>
      <c r="T3" s="5" t="n">
        <v>0.0285</v>
      </c>
      <c r="U3" s="5" t="n">
        <v>0.0285</v>
      </c>
      <c r="V3" s="5" t="n">
        <v>0.0285</v>
      </c>
      <c r="W3" s="5" t="n">
        <v>0.0285</v>
      </c>
      <c r="X3" s="5" t="n">
        <v>0.0285</v>
      </c>
      <c r="Y3" s="5" t="n">
        <v>0.0285</v>
      </c>
      <c r="Z3" s="5" t="n">
        <v>0.0285</v>
      </c>
      <c r="AA3" s="5" t="n">
        <v>0.0285</v>
      </c>
      <c r="AB3" s="5" t="n">
        <v>0.0285</v>
      </c>
      <c r="AC3" s="5" t="n">
        <v>0.0285</v>
      </c>
      <c r="AD3" s="5" t="n">
        <v>0.0285</v>
      </c>
      <c r="AE3" s="5" t="n">
        <v>0.0285</v>
      </c>
      <c r="AF3" s="5" t="n">
        <v>0.0285</v>
      </c>
      <c r="AG3" s="5" t="n">
        <v>0.0285</v>
      </c>
      <c r="AH3" s="5" t="n">
        <v>0.0285</v>
      </c>
      <c r="AI3" s="5" t="n">
        <v>0.0285</v>
      </c>
      <c r="AJ3" s="5" t="n">
        <v>0.0285</v>
      </c>
      <c r="AK3" s="5" t="n">
        <v>0.0285</v>
      </c>
      <c r="AL3" s="5" t="n">
        <v>0.0285</v>
      </c>
      <c r="AM3" s="5" t="n">
        <v>0.0285</v>
      </c>
      <c r="AN3" s="5" t="n">
        <v>0.0285</v>
      </c>
      <c r="AO3" s="5" t="n">
        <v>0.0285</v>
      </c>
      <c r="AP3" s="5" t="n">
        <v>0.0285</v>
      </c>
      <c r="AQ3" s="5" t="n">
        <v>0.0285</v>
      </c>
      <c r="AR3" s="5" t="n">
        <v>0.0285</v>
      </c>
      <c r="AS3" s="5" t="n">
        <v>0.0285</v>
      </c>
      <c r="AT3" s="5" t="n">
        <v>0.0285</v>
      </c>
      <c r="AU3" s="5" t="n">
        <v>0.0285</v>
      </c>
      <c r="AV3" s="5" t="n">
        <v>0.0285</v>
      </c>
    </row>
    <row r="4" customFormat="false" ht="15.75" hidden="false" customHeight="true" outlineLevel="0" collapsed="false">
      <c r="A4" s="5" t="s">
        <v>647</v>
      </c>
      <c r="B4" s="8" t="n">
        <v>4</v>
      </c>
      <c r="C4" s="8" t="n">
        <v>4</v>
      </c>
      <c r="D4" s="8" t="n">
        <v>4</v>
      </c>
      <c r="E4" s="8" t="n">
        <v>4</v>
      </c>
      <c r="F4" s="8" t="n">
        <v>4</v>
      </c>
      <c r="G4" s="8" t="n">
        <v>4</v>
      </c>
      <c r="H4" s="8" t="n">
        <v>4</v>
      </c>
      <c r="I4" s="8" t="n">
        <v>4</v>
      </c>
      <c r="J4" s="8" t="n">
        <v>4</v>
      </c>
      <c r="K4" s="8" t="n">
        <v>4</v>
      </c>
      <c r="L4" s="8" t="n">
        <v>4</v>
      </c>
      <c r="M4" s="8" t="n">
        <v>4</v>
      </c>
      <c r="N4" s="8" t="n">
        <v>4</v>
      </c>
      <c r="O4" s="8" t="n">
        <v>4</v>
      </c>
      <c r="P4" s="8" t="n">
        <v>4</v>
      </c>
      <c r="Q4" s="8" t="n">
        <v>4</v>
      </c>
      <c r="R4" s="8" t="n">
        <v>4</v>
      </c>
      <c r="S4" s="8" t="n">
        <v>4</v>
      </c>
      <c r="T4" s="8" t="n">
        <v>4</v>
      </c>
      <c r="U4" s="8" t="n">
        <v>4</v>
      </c>
      <c r="V4" s="8" t="n">
        <v>4</v>
      </c>
      <c r="W4" s="8" t="n">
        <v>4</v>
      </c>
      <c r="X4" s="8" t="n">
        <v>4</v>
      </c>
      <c r="Y4" s="8" t="n">
        <v>4</v>
      </c>
      <c r="Z4" s="8" t="n">
        <v>4</v>
      </c>
      <c r="AA4" s="8" t="n">
        <v>4</v>
      </c>
      <c r="AB4" s="8" t="n">
        <v>4</v>
      </c>
      <c r="AC4" s="8" t="n">
        <v>4</v>
      </c>
      <c r="AD4" s="8" t="n">
        <v>4</v>
      </c>
      <c r="AE4" s="8" t="n">
        <v>4</v>
      </c>
      <c r="AF4" s="8" t="n">
        <v>4</v>
      </c>
      <c r="AG4" s="8" t="n">
        <v>4</v>
      </c>
      <c r="AH4" s="8" t="n">
        <v>4</v>
      </c>
      <c r="AI4" s="8" t="n">
        <v>4</v>
      </c>
      <c r="AJ4" s="8" t="n">
        <v>4</v>
      </c>
      <c r="AK4" s="8" t="n">
        <v>4</v>
      </c>
      <c r="AL4" s="8" t="n">
        <v>4</v>
      </c>
      <c r="AM4" s="8" t="n">
        <v>4</v>
      </c>
      <c r="AN4" s="8" t="n">
        <v>4</v>
      </c>
      <c r="AO4" s="8" t="n">
        <v>4</v>
      </c>
      <c r="AP4" s="8" t="n">
        <v>4</v>
      </c>
      <c r="AQ4" s="8" t="n">
        <v>4</v>
      </c>
      <c r="AR4" s="8" t="n">
        <v>4</v>
      </c>
      <c r="AS4" s="8" t="n">
        <v>4</v>
      </c>
      <c r="AT4" s="8" t="n">
        <v>4</v>
      </c>
      <c r="AU4" s="8" t="n">
        <v>4</v>
      </c>
      <c r="AV4" s="8" t="n">
        <v>4</v>
      </c>
    </row>
    <row r="5" customFormat="false" ht="15.75" hidden="false" customHeight="true" outlineLevel="0" collapsed="false">
      <c r="A5" s="5" t="s">
        <v>648</v>
      </c>
      <c r="B5" s="5" t="n">
        <v>0.1</v>
      </c>
      <c r="C5" s="5" t="n">
        <v>0.1</v>
      </c>
      <c r="D5" s="5" t="n">
        <v>0.1</v>
      </c>
      <c r="E5" s="5" t="n">
        <v>0.1</v>
      </c>
      <c r="F5" s="5" t="n">
        <v>0.1</v>
      </c>
      <c r="G5" s="5" t="n">
        <v>0.1</v>
      </c>
      <c r="H5" s="5" t="n">
        <v>0.1</v>
      </c>
      <c r="I5" s="5" t="n">
        <v>0.1</v>
      </c>
      <c r="J5" s="5" t="n">
        <v>0.1</v>
      </c>
      <c r="K5" s="5" t="n">
        <v>0.1</v>
      </c>
      <c r="L5" s="5" t="n">
        <v>0.1</v>
      </c>
      <c r="M5" s="5" t="n">
        <v>0.1</v>
      </c>
      <c r="N5" s="5" t="n">
        <v>0.1</v>
      </c>
      <c r="O5" s="5" t="n">
        <v>0.1</v>
      </c>
      <c r="P5" s="5" t="n">
        <v>0.1</v>
      </c>
      <c r="Q5" s="5" t="n">
        <v>0.1</v>
      </c>
      <c r="R5" s="5" t="n">
        <v>0.1</v>
      </c>
      <c r="S5" s="5" t="n">
        <v>0.1</v>
      </c>
      <c r="T5" s="5" t="n">
        <v>0.1</v>
      </c>
      <c r="U5" s="5" t="n">
        <v>0.1</v>
      </c>
      <c r="V5" s="5" t="n">
        <v>0.1</v>
      </c>
      <c r="W5" s="5" t="n">
        <v>0.1</v>
      </c>
      <c r="X5" s="5" t="n">
        <v>0.1</v>
      </c>
      <c r="Y5" s="5" t="n">
        <v>0.1</v>
      </c>
      <c r="Z5" s="5" t="n">
        <v>0.1</v>
      </c>
      <c r="AA5" s="5" t="n">
        <v>0.1</v>
      </c>
      <c r="AB5" s="5" t="n">
        <v>0.1</v>
      </c>
      <c r="AC5" s="5" t="n">
        <v>0.1</v>
      </c>
      <c r="AD5" s="5" t="n">
        <v>0.1</v>
      </c>
      <c r="AE5" s="5" t="n">
        <v>0.1</v>
      </c>
      <c r="AF5" s="5" t="n">
        <v>0.1</v>
      </c>
      <c r="AG5" s="5" t="n">
        <v>0.1</v>
      </c>
      <c r="AH5" s="5" t="n">
        <v>0.1</v>
      </c>
      <c r="AI5" s="5" t="n">
        <v>0.1</v>
      </c>
      <c r="AJ5" s="5" t="n">
        <v>0.1</v>
      </c>
      <c r="AK5" s="5" t="n">
        <v>0.1</v>
      </c>
      <c r="AL5" s="5" t="n">
        <v>0.1</v>
      </c>
      <c r="AM5" s="5" t="n">
        <v>0.1</v>
      </c>
      <c r="AN5" s="5" t="n">
        <v>0.1</v>
      </c>
      <c r="AO5" s="5" t="n">
        <v>0.1</v>
      </c>
      <c r="AP5" s="5" t="n">
        <v>0.1</v>
      </c>
      <c r="AQ5" s="5" t="n">
        <v>0.1</v>
      </c>
      <c r="AR5" s="5" t="n">
        <v>0.1</v>
      </c>
      <c r="AS5" s="5" t="n">
        <v>0.1</v>
      </c>
      <c r="AT5" s="5" t="n">
        <v>0.1</v>
      </c>
      <c r="AU5" s="5" t="n">
        <v>0.1</v>
      </c>
      <c r="AV5" s="5" t="n">
        <v>0.1</v>
      </c>
    </row>
    <row r="6" customFormat="false" ht="15.75" hidden="false" customHeight="true" outlineLevel="0" collapsed="false">
      <c r="A6" s="5" t="s">
        <v>649</v>
      </c>
      <c r="B6" s="5" t="n">
        <v>1</v>
      </c>
      <c r="C6" s="5" t="n">
        <v>1</v>
      </c>
      <c r="D6" s="5" t="n">
        <v>1</v>
      </c>
      <c r="E6" s="5" t="n">
        <v>1</v>
      </c>
      <c r="F6" s="5" t="n">
        <v>1</v>
      </c>
      <c r="G6" s="5" t="n">
        <v>1</v>
      </c>
      <c r="H6" s="5" t="n">
        <v>1</v>
      </c>
      <c r="I6" s="5" t="n">
        <v>1</v>
      </c>
      <c r="J6" s="5" t="n">
        <v>1</v>
      </c>
      <c r="K6" s="5" t="n">
        <v>1</v>
      </c>
      <c r="L6" s="5" t="n">
        <v>1</v>
      </c>
      <c r="M6" s="5" t="n">
        <v>1</v>
      </c>
      <c r="N6" s="5" t="n">
        <v>1</v>
      </c>
      <c r="O6" s="5" t="n">
        <v>1</v>
      </c>
      <c r="P6" s="5" t="n">
        <v>1</v>
      </c>
      <c r="Q6" s="5" t="n">
        <v>1</v>
      </c>
      <c r="R6" s="5" t="n">
        <v>1</v>
      </c>
      <c r="S6" s="5" t="n">
        <v>1</v>
      </c>
      <c r="T6" s="5" t="n">
        <v>1</v>
      </c>
      <c r="U6" s="5" t="n">
        <v>1</v>
      </c>
      <c r="V6" s="5" t="n">
        <v>1</v>
      </c>
      <c r="W6" s="5" t="n">
        <v>1</v>
      </c>
      <c r="X6" s="5" t="n">
        <v>1</v>
      </c>
      <c r="Y6" s="5" t="n">
        <v>1</v>
      </c>
      <c r="Z6" s="5" t="n">
        <v>1</v>
      </c>
      <c r="AA6" s="5" t="n">
        <v>1</v>
      </c>
      <c r="AB6" s="5" t="n">
        <v>1</v>
      </c>
      <c r="AC6" s="5" t="n">
        <v>1</v>
      </c>
      <c r="AD6" s="5" t="n">
        <v>1</v>
      </c>
      <c r="AE6" s="5" t="n">
        <v>1</v>
      </c>
      <c r="AF6" s="5" t="n">
        <v>1</v>
      </c>
      <c r="AG6" s="5" t="n">
        <v>1</v>
      </c>
      <c r="AH6" s="5" t="n">
        <v>1</v>
      </c>
      <c r="AI6" s="5" t="n">
        <v>1</v>
      </c>
      <c r="AJ6" s="5" t="n">
        <v>1</v>
      </c>
      <c r="AK6" s="5" t="n">
        <v>1</v>
      </c>
      <c r="AL6" s="5" t="n">
        <v>1</v>
      </c>
      <c r="AM6" s="5" t="n">
        <v>1</v>
      </c>
      <c r="AN6" s="5" t="n">
        <v>1</v>
      </c>
      <c r="AO6" s="5" t="n">
        <v>1</v>
      </c>
      <c r="AP6" s="5" t="n">
        <v>1</v>
      </c>
      <c r="AQ6" s="5" t="n">
        <v>1</v>
      </c>
      <c r="AR6" s="5" t="n">
        <v>1</v>
      </c>
      <c r="AS6" s="5" t="n">
        <v>1</v>
      </c>
      <c r="AT6" s="5" t="n">
        <v>1</v>
      </c>
      <c r="AU6" s="5" t="n">
        <v>1</v>
      </c>
      <c r="AV6" s="5" t="n">
        <v>1</v>
      </c>
    </row>
    <row r="7" customFormat="false" ht="15.75" hidden="false" customHeight="true" outlineLevel="0" collapsed="false">
      <c r="A7" s="5" t="s">
        <v>650</v>
      </c>
      <c r="B7" s="8" t="n">
        <v>8</v>
      </c>
      <c r="C7" s="8" t="n">
        <v>8</v>
      </c>
      <c r="D7" s="8" t="n">
        <v>8</v>
      </c>
      <c r="E7" s="8" t="n">
        <v>8</v>
      </c>
      <c r="F7" s="8" t="n">
        <v>8</v>
      </c>
      <c r="G7" s="8" t="n">
        <v>8</v>
      </c>
      <c r="H7" s="8" t="n">
        <v>8</v>
      </c>
      <c r="I7" s="8" t="n">
        <v>8</v>
      </c>
      <c r="J7" s="8" t="n">
        <v>8</v>
      </c>
      <c r="K7" s="8" t="n">
        <v>8</v>
      </c>
      <c r="L7" s="8" t="n">
        <v>8</v>
      </c>
      <c r="M7" s="8" t="n">
        <v>8</v>
      </c>
      <c r="N7" s="8" t="n">
        <v>8</v>
      </c>
      <c r="O7" s="8" t="n">
        <v>8</v>
      </c>
      <c r="P7" s="8" t="n">
        <v>8</v>
      </c>
      <c r="Q7" s="8" t="n">
        <v>8</v>
      </c>
      <c r="R7" s="8" t="n">
        <v>8</v>
      </c>
      <c r="S7" s="8" t="n">
        <v>8</v>
      </c>
      <c r="T7" s="8" t="n">
        <v>8</v>
      </c>
      <c r="U7" s="8" t="n">
        <v>8</v>
      </c>
      <c r="V7" s="8" t="n">
        <v>8</v>
      </c>
      <c r="W7" s="8" t="n">
        <v>8</v>
      </c>
      <c r="X7" s="8" t="n">
        <v>8</v>
      </c>
      <c r="Y7" s="8" t="n">
        <v>8</v>
      </c>
      <c r="Z7" s="8" t="n">
        <v>8</v>
      </c>
      <c r="AA7" s="8" t="n">
        <v>8</v>
      </c>
      <c r="AB7" s="8" t="n">
        <v>8</v>
      </c>
      <c r="AC7" s="8" t="n">
        <v>8</v>
      </c>
      <c r="AD7" s="8" t="n">
        <v>8</v>
      </c>
      <c r="AE7" s="8" t="n">
        <v>8</v>
      </c>
      <c r="AF7" s="8" t="n">
        <v>8</v>
      </c>
      <c r="AG7" s="8" t="n">
        <v>8</v>
      </c>
      <c r="AH7" s="8" t="n">
        <v>8</v>
      </c>
      <c r="AI7" s="8" t="n">
        <v>8</v>
      </c>
      <c r="AJ7" s="8" t="n">
        <v>8</v>
      </c>
      <c r="AK7" s="8" t="n">
        <v>8</v>
      </c>
      <c r="AL7" s="8" t="n">
        <v>8</v>
      </c>
      <c r="AM7" s="8" t="n">
        <v>8</v>
      </c>
      <c r="AN7" s="8" t="n">
        <v>8</v>
      </c>
      <c r="AO7" s="8" t="n">
        <v>8</v>
      </c>
      <c r="AP7" s="8" t="n">
        <v>8</v>
      </c>
      <c r="AQ7" s="8" t="n">
        <v>8</v>
      </c>
      <c r="AR7" s="8" t="n">
        <v>8</v>
      </c>
      <c r="AS7" s="8" t="n">
        <v>8</v>
      </c>
      <c r="AT7" s="8" t="n">
        <v>8</v>
      </c>
      <c r="AU7" s="8" t="n">
        <v>8</v>
      </c>
      <c r="AV7" s="8" t="n">
        <v>8</v>
      </c>
    </row>
    <row r="8" customFormat="false" ht="15.75" hidden="false" customHeight="true" outlineLevel="0" collapsed="false">
      <c r="A8" s="5" t="s">
        <v>651</v>
      </c>
      <c r="B8" s="5" t="n">
        <v>0.0008</v>
      </c>
      <c r="C8" s="5" t="n">
        <v>0.0008</v>
      </c>
      <c r="D8" s="5" t="n">
        <v>0.0008</v>
      </c>
      <c r="E8" s="5" t="n">
        <v>0.0008</v>
      </c>
      <c r="F8" s="5" t="n">
        <v>0.0008</v>
      </c>
      <c r="G8" s="5" t="n">
        <v>0.0008</v>
      </c>
      <c r="H8" s="5" t="n">
        <v>0.0008</v>
      </c>
      <c r="I8" s="5" t="n">
        <v>0.0008</v>
      </c>
      <c r="J8" s="5" t="n">
        <v>0.0008</v>
      </c>
      <c r="K8" s="5" t="n">
        <v>0.0008</v>
      </c>
      <c r="L8" s="5" t="n">
        <v>0.0008</v>
      </c>
      <c r="M8" s="5" t="n">
        <v>0.0008</v>
      </c>
      <c r="N8" s="5" t="n">
        <v>0.0008</v>
      </c>
      <c r="O8" s="5" t="n">
        <v>0.0008</v>
      </c>
      <c r="P8" s="5" t="n">
        <v>0.0008</v>
      </c>
      <c r="Q8" s="5" t="n">
        <v>0.0008</v>
      </c>
      <c r="R8" s="5" t="n">
        <v>0.0008</v>
      </c>
      <c r="S8" s="5" t="n">
        <v>0.0008</v>
      </c>
      <c r="T8" s="5" t="n">
        <v>0.0008</v>
      </c>
      <c r="U8" s="5" t="n">
        <v>0.0008</v>
      </c>
      <c r="V8" s="5" t="n">
        <v>0.0008</v>
      </c>
      <c r="W8" s="5" t="n">
        <v>0.0008</v>
      </c>
      <c r="X8" s="5" t="n">
        <v>0.0008</v>
      </c>
      <c r="Y8" s="5" t="n">
        <v>0.0008</v>
      </c>
      <c r="Z8" s="5" t="n">
        <v>0.0008</v>
      </c>
      <c r="AA8" s="5" t="n">
        <v>0.0008</v>
      </c>
      <c r="AB8" s="5" t="n">
        <v>0.0008</v>
      </c>
      <c r="AC8" s="5" t="n">
        <v>0.0008</v>
      </c>
      <c r="AD8" s="5" t="n">
        <v>0.0008</v>
      </c>
      <c r="AE8" s="5" t="n">
        <v>0.0008</v>
      </c>
      <c r="AF8" s="5" t="n">
        <v>0.0008</v>
      </c>
      <c r="AG8" s="5" t="n">
        <v>0.0008</v>
      </c>
      <c r="AH8" s="5" t="n">
        <v>0.0008</v>
      </c>
      <c r="AI8" s="5" t="n">
        <v>0.0008</v>
      </c>
      <c r="AJ8" s="5" t="n">
        <v>0.0008</v>
      </c>
      <c r="AK8" s="5" t="n">
        <v>0.0008</v>
      </c>
      <c r="AL8" s="5" t="n">
        <v>0.0008</v>
      </c>
      <c r="AM8" s="5" t="n">
        <v>0.0008</v>
      </c>
      <c r="AN8" s="5" t="n">
        <v>0.0008</v>
      </c>
      <c r="AO8" s="5" t="n">
        <v>0.0008</v>
      </c>
      <c r="AP8" s="5" t="n">
        <v>0.0008</v>
      </c>
      <c r="AQ8" s="5" t="n">
        <v>0.0008</v>
      </c>
      <c r="AR8" s="5" t="n">
        <v>0.0008</v>
      </c>
      <c r="AS8" s="5" t="n">
        <v>0.0008</v>
      </c>
      <c r="AT8" s="5" t="n">
        <v>0.0008</v>
      </c>
      <c r="AU8" s="5" t="n">
        <v>0.0008</v>
      </c>
      <c r="AV8" s="5" t="n">
        <v>0.0008</v>
      </c>
    </row>
    <row r="9" customFormat="false" ht="15.75" hidden="false" customHeight="true" outlineLevel="0" collapsed="false">
      <c r="A9" s="5" t="s">
        <v>652</v>
      </c>
      <c r="B9" s="5" t="n">
        <v>0.0004</v>
      </c>
      <c r="C9" s="5" t="n">
        <v>0.0004</v>
      </c>
      <c r="D9" s="5" t="n">
        <v>0.0004</v>
      </c>
      <c r="E9" s="5" t="n">
        <v>0.0004</v>
      </c>
      <c r="F9" s="5" t="n">
        <v>0.0004</v>
      </c>
      <c r="G9" s="5" t="n">
        <v>0.0004</v>
      </c>
      <c r="H9" s="5" t="n">
        <v>0.0004</v>
      </c>
      <c r="I9" s="5" t="n">
        <v>0.0004</v>
      </c>
      <c r="J9" s="5" t="n">
        <v>0.0004</v>
      </c>
      <c r="K9" s="5" t="n">
        <v>0.0004</v>
      </c>
      <c r="L9" s="5" t="n">
        <v>0.0004</v>
      </c>
      <c r="M9" s="5" t="n">
        <v>0.0004</v>
      </c>
      <c r="N9" s="5" t="n">
        <v>0.0004</v>
      </c>
      <c r="O9" s="5" t="n">
        <v>0.0004</v>
      </c>
      <c r="P9" s="5" t="n">
        <v>0.0004</v>
      </c>
      <c r="Q9" s="5" t="n">
        <v>0.0004</v>
      </c>
      <c r="R9" s="5" t="n">
        <v>0.0004</v>
      </c>
      <c r="S9" s="5" t="n">
        <v>0.0004</v>
      </c>
      <c r="T9" s="5" t="n">
        <v>0.0004</v>
      </c>
      <c r="U9" s="5" t="n">
        <v>0.0004</v>
      </c>
      <c r="V9" s="5" t="n">
        <v>0.0004</v>
      </c>
      <c r="W9" s="5" t="n">
        <v>0.0004</v>
      </c>
      <c r="X9" s="5" t="n">
        <v>0.0004</v>
      </c>
      <c r="Y9" s="5" t="n">
        <v>0.0004</v>
      </c>
      <c r="Z9" s="5" t="n">
        <v>0.0004</v>
      </c>
      <c r="AA9" s="5" t="n">
        <v>0.0004</v>
      </c>
      <c r="AB9" s="5" t="n">
        <v>0.0004</v>
      </c>
      <c r="AC9" s="5" t="n">
        <v>0.0004</v>
      </c>
      <c r="AD9" s="5" t="n">
        <v>0.0004</v>
      </c>
      <c r="AE9" s="5" t="n">
        <v>0.0004</v>
      </c>
      <c r="AF9" s="5" t="n">
        <v>0.0004</v>
      </c>
      <c r="AG9" s="5" t="n">
        <v>0.0004</v>
      </c>
      <c r="AH9" s="5" t="n">
        <v>0.0004</v>
      </c>
      <c r="AI9" s="5" t="n">
        <v>0.0004</v>
      </c>
      <c r="AJ9" s="5" t="n">
        <v>0.0004</v>
      </c>
      <c r="AK9" s="5" t="n">
        <v>0.0004</v>
      </c>
      <c r="AL9" s="5" t="n">
        <v>0.0004</v>
      </c>
      <c r="AM9" s="5" t="n">
        <v>0.0004</v>
      </c>
      <c r="AN9" s="5" t="n">
        <v>0.0004</v>
      </c>
      <c r="AO9" s="5" t="n">
        <v>0.0004</v>
      </c>
      <c r="AP9" s="5" t="n">
        <v>0.0004</v>
      </c>
      <c r="AQ9" s="5" t="n">
        <v>0.0004</v>
      </c>
      <c r="AR9" s="5" t="n">
        <v>0.0004</v>
      </c>
      <c r="AS9" s="5" t="n">
        <v>0.0004</v>
      </c>
      <c r="AT9" s="5" t="n">
        <v>0.0004</v>
      </c>
      <c r="AU9" s="5" t="n">
        <v>0.0004</v>
      </c>
      <c r="AV9" s="5" t="n">
        <v>0.0004</v>
      </c>
    </row>
    <row r="10" customFormat="false" ht="15.75" hidden="false" customHeight="true" outlineLevel="0" collapsed="false">
      <c r="A10" s="5" t="s">
        <v>653</v>
      </c>
      <c r="B10" s="91" t="n">
        <v>0.1</v>
      </c>
      <c r="C10" s="91" t="n">
        <v>0.1</v>
      </c>
      <c r="D10" s="91" t="n">
        <v>0.1</v>
      </c>
      <c r="E10" s="91" t="n">
        <v>0.1</v>
      </c>
      <c r="F10" s="91" t="n">
        <v>0.1</v>
      </c>
      <c r="G10" s="91" t="n">
        <v>0.1</v>
      </c>
      <c r="H10" s="91" t="n">
        <v>0.1</v>
      </c>
      <c r="I10" s="91" t="n">
        <v>0.1</v>
      </c>
      <c r="J10" s="91" t="n">
        <v>0.1</v>
      </c>
      <c r="K10" s="91" t="n">
        <v>0.1</v>
      </c>
      <c r="L10" s="91" t="n">
        <v>0.1</v>
      </c>
      <c r="M10" s="91" t="n">
        <v>0.1</v>
      </c>
      <c r="N10" s="91" t="n">
        <v>0.1</v>
      </c>
      <c r="O10" s="91" t="n">
        <v>0.1</v>
      </c>
      <c r="P10" s="91" t="n">
        <v>0.1</v>
      </c>
      <c r="Q10" s="91" t="n">
        <v>0.1</v>
      </c>
      <c r="R10" s="91" t="n">
        <v>0.1</v>
      </c>
      <c r="S10" s="91" t="n">
        <v>0.1</v>
      </c>
      <c r="T10" s="91" t="n">
        <v>0.1</v>
      </c>
      <c r="U10" s="91" t="n">
        <v>0.1</v>
      </c>
      <c r="V10" s="91" t="n">
        <v>0.1</v>
      </c>
      <c r="W10" s="91" t="n">
        <v>0.1</v>
      </c>
      <c r="X10" s="91" t="n">
        <v>0.1</v>
      </c>
      <c r="Y10" s="91" t="n">
        <v>0.1</v>
      </c>
      <c r="Z10" s="91" t="n">
        <v>0.1</v>
      </c>
      <c r="AA10" s="91" t="n">
        <v>0.1</v>
      </c>
      <c r="AB10" s="91" t="n">
        <v>0.1</v>
      </c>
      <c r="AC10" s="91" t="n">
        <v>0.1</v>
      </c>
      <c r="AD10" s="91" t="n">
        <v>0.1</v>
      </c>
      <c r="AE10" s="91" t="n">
        <v>0.1</v>
      </c>
      <c r="AF10" s="91" t="n">
        <v>0.1</v>
      </c>
      <c r="AG10" s="91" t="n">
        <v>0.1</v>
      </c>
      <c r="AH10" s="91" t="n">
        <v>0.1</v>
      </c>
      <c r="AI10" s="91" t="n">
        <v>0.1</v>
      </c>
      <c r="AJ10" s="91" t="n">
        <v>0.1</v>
      </c>
      <c r="AK10" s="91" t="n">
        <v>0.1</v>
      </c>
      <c r="AL10" s="91" t="n">
        <v>0.1</v>
      </c>
      <c r="AM10" s="91" t="n">
        <v>0.1</v>
      </c>
      <c r="AN10" s="91" t="n">
        <v>0.1</v>
      </c>
      <c r="AO10" s="91" t="n">
        <v>0.1</v>
      </c>
      <c r="AP10" s="91" t="n">
        <v>0.1</v>
      </c>
      <c r="AQ10" s="91" t="n">
        <v>0.1</v>
      </c>
      <c r="AR10" s="91" t="n">
        <v>0.1</v>
      </c>
      <c r="AS10" s="91" t="n">
        <v>0.1</v>
      </c>
      <c r="AT10" s="91" t="n">
        <v>0.1</v>
      </c>
      <c r="AU10" s="91" t="n">
        <v>0.1</v>
      </c>
      <c r="AV10" s="91" t="n">
        <v>0.1</v>
      </c>
    </row>
    <row r="11" customFormat="false" ht="15.75" hidden="false" customHeight="true" outlineLevel="0" collapsed="false">
      <c r="A11" s="5" t="s">
        <v>654</v>
      </c>
      <c r="B11" s="8" t="n">
        <v>3</v>
      </c>
      <c r="C11" s="8" t="n">
        <v>3</v>
      </c>
      <c r="D11" s="8" t="n">
        <v>3</v>
      </c>
      <c r="E11" s="8" t="n">
        <v>3</v>
      </c>
      <c r="F11" s="8" t="n">
        <v>3</v>
      </c>
      <c r="G11" s="8" t="n">
        <v>3</v>
      </c>
      <c r="H11" s="8" t="n">
        <v>3</v>
      </c>
      <c r="I11" s="8" t="n">
        <v>3</v>
      </c>
      <c r="J11" s="8" t="n">
        <v>3</v>
      </c>
      <c r="K11" s="8" t="n">
        <v>3</v>
      </c>
      <c r="L11" s="8" t="n">
        <v>3</v>
      </c>
      <c r="M11" s="8" t="n">
        <v>3</v>
      </c>
      <c r="N11" s="8" t="n">
        <v>3</v>
      </c>
      <c r="O11" s="8" t="n">
        <v>3</v>
      </c>
      <c r="P11" s="8" t="n">
        <v>3</v>
      </c>
      <c r="Q11" s="8" t="n">
        <v>3</v>
      </c>
      <c r="R11" s="8" t="n">
        <v>3</v>
      </c>
      <c r="S11" s="8" t="n">
        <v>3</v>
      </c>
      <c r="T11" s="8" t="n">
        <v>3</v>
      </c>
      <c r="U11" s="8" t="n">
        <v>3</v>
      </c>
      <c r="V11" s="8" t="n">
        <v>3</v>
      </c>
      <c r="W11" s="8" t="n">
        <v>3</v>
      </c>
      <c r="X11" s="8" t="n">
        <v>3</v>
      </c>
      <c r="Y11" s="8" t="n">
        <v>3</v>
      </c>
      <c r="Z11" s="8" t="n">
        <v>3</v>
      </c>
      <c r="AA11" s="8" t="n">
        <v>3</v>
      </c>
      <c r="AB11" s="8" t="n">
        <v>3</v>
      </c>
      <c r="AC11" s="8" t="n">
        <v>3</v>
      </c>
      <c r="AD11" s="8" t="n">
        <v>3</v>
      </c>
      <c r="AE11" s="8" t="n">
        <v>3</v>
      </c>
      <c r="AF11" s="8" t="n">
        <v>3</v>
      </c>
      <c r="AG11" s="8" t="n">
        <v>3</v>
      </c>
      <c r="AH11" s="8" t="n">
        <v>3</v>
      </c>
      <c r="AI11" s="8" t="n">
        <v>3</v>
      </c>
      <c r="AJ11" s="8" t="n">
        <v>3</v>
      </c>
      <c r="AK11" s="8" t="n">
        <v>3</v>
      </c>
      <c r="AL11" s="8" t="n">
        <v>3</v>
      </c>
      <c r="AM11" s="8" t="n">
        <v>3</v>
      </c>
      <c r="AN11" s="8" t="n">
        <v>3</v>
      </c>
      <c r="AO11" s="8" t="n">
        <v>3</v>
      </c>
      <c r="AP11" s="8" t="n">
        <v>3</v>
      </c>
      <c r="AQ11" s="8" t="n">
        <v>3</v>
      </c>
      <c r="AR11" s="8" t="n">
        <v>3</v>
      </c>
      <c r="AS11" s="8" t="n">
        <v>3</v>
      </c>
      <c r="AT11" s="8" t="n">
        <v>3</v>
      </c>
      <c r="AU11" s="8" t="n">
        <v>3</v>
      </c>
      <c r="AV11" s="8" t="n">
        <v>3</v>
      </c>
    </row>
    <row r="12" customFormat="false" ht="15.75" hidden="false" customHeight="true" outlineLevel="0" collapsed="false">
      <c r="A12" s="5" t="s">
        <v>655</v>
      </c>
      <c r="B12" s="5" t="n">
        <v>106</v>
      </c>
      <c r="C12" s="5" t="n">
        <v>106</v>
      </c>
      <c r="D12" s="5" t="n">
        <v>106</v>
      </c>
      <c r="E12" s="5" t="n">
        <v>106</v>
      </c>
      <c r="F12" s="5" t="n">
        <v>106</v>
      </c>
      <c r="G12" s="5" t="n">
        <v>106</v>
      </c>
      <c r="H12" s="5" t="n">
        <v>106</v>
      </c>
      <c r="I12" s="5" t="n">
        <v>106</v>
      </c>
      <c r="J12" s="5" t="n">
        <v>106</v>
      </c>
      <c r="K12" s="5" t="n">
        <v>106</v>
      </c>
      <c r="L12" s="5" t="n">
        <v>106</v>
      </c>
      <c r="M12" s="5" t="n">
        <v>106</v>
      </c>
      <c r="N12" s="5" t="n">
        <v>106</v>
      </c>
      <c r="O12" s="5" t="n">
        <v>106</v>
      </c>
      <c r="P12" s="5" t="n">
        <v>106</v>
      </c>
      <c r="Q12" s="5" t="n">
        <v>106</v>
      </c>
      <c r="R12" s="5" t="n">
        <v>106</v>
      </c>
      <c r="S12" s="5" t="n">
        <v>106</v>
      </c>
      <c r="T12" s="5" t="n">
        <v>106</v>
      </c>
      <c r="U12" s="5" t="n">
        <v>106</v>
      </c>
      <c r="V12" s="5" t="n">
        <v>106</v>
      </c>
      <c r="W12" s="5" t="n">
        <v>106</v>
      </c>
      <c r="X12" s="5" t="n">
        <v>106</v>
      </c>
      <c r="Y12" s="5" t="n">
        <v>106</v>
      </c>
      <c r="Z12" s="5" t="n">
        <v>106</v>
      </c>
      <c r="AA12" s="5" t="n">
        <v>106</v>
      </c>
      <c r="AB12" s="5" t="n">
        <v>106</v>
      </c>
      <c r="AC12" s="5" t="n">
        <v>106</v>
      </c>
      <c r="AD12" s="5" t="n">
        <v>106</v>
      </c>
      <c r="AE12" s="5" t="n">
        <v>106</v>
      </c>
      <c r="AF12" s="5" t="n">
        <v>106</v>
      </c>
      <c r="AG12" s="5" t="n">
        <v>106</v>
      </c>
      <c r="AH12" s="5" t="n">
        <v>106</v>
      </c>
      <c r="AI12" s="5" t="n">
        <v>106</v>
      </c>
      <c r="AJ12" s="5" t="n">
        <v>106</v>
      </c>
      <c r="AK12" s="5" t="n">
        <v>106</v>
      </c>
      <c r="AL12" s="5" t="n">
        <v>106</v>
      </c>
      <c r="AM12" s="5" t="n">
        <v>106</v>
      </c>
      <c r="AN12" s="5" t="n">
        <v>106</v>
      </c>
      <c r="AO12" s="5" t="n">
        <v>106</v>
      </c>
      <c r="AP12" s="5" t="n">
        <v>106</v>
      </c>
      <c r="AQ12" s="5" t="n">
        <v>106</v>
      </c>
      <c r="AR12" s="5" t="n">
        <v>106</v>
      </c>
      <c r="AS12" s="5" t="n">
        <v>106</v>
      </c>
      <c r="AT12" s="5" t="n">
        <v>106</v>
      </c>
      <c r="AU12" s="5" t="n">
        <v>106</v>
      </c>
      <c r="AV12" s="5" t="n">
        <v>106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V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F1" activePane="topRight" state="frozen"/>
      <selection pane="topLeft" activeCell="A1" activeCellId="0" sqref="A1"/>
      <selection pane="topRight" activeCell="BT1" activeCellId="0" sqref="BT1"/>
    </sheetView>
  </sheetViews>
  <sheetFormatPr defaultRowHeight="15"/>
  <cols>
    <col collapsed="false" hidden="false" max="1" min="1" style="0" width="29.8316326530612"/>
    <col collapsed="false" hidden="false" max="2" min="2" style="0" width="16.1989795918367"/>
    <col collapsed="false" hidden="false" max="3" min="3" style="0" width="16.469387755102"/>
    <col collapsed="false" hidden="false" max="1025" min="4" style="0" width="8.50510204081633"/>
  </cols>
  <sheetData>
    <row r="1" customFormat="false" ht="15" hidden="false" customHeight="false" outlineLevel="0" collapsed="false">
      <c r="A1" s="13" t="s">
        <v>138</v>
      </c>
      <c r="B1" s="14" t="s">
        <v>0</v>
      </c>
      <c r="C1" s="14" t="s">
        <v>3</v>
      </c>
      <c r="D1" s="14" t="s">
        <v>5</v>
      </c>
      <c r="E1" s="14" t="s">
        <v>8</v>
      </c>
      <c r="F1" s="14" t="s">
        <v>9</v>
      </c>
      <c r="G1" s="14" t="s">
        <v>12</v>
      </c>
      <c r="H1" s="14" t="s">
        <v>14</v>
      </c>
      <c r="I1" s="14" t="s">
        <v>15</v>
      </c>
      <c r="J1" s="14" t="s">
        <v>17</v>
      </c>
      <c r="K1" s="14" t="s">
        <v>18</v>
      </c>
      <c r="L1" s="14" t="s">
        <v>21</v>
      </c>
      <c r="M1" s="14" t="s">
        <v>22</v>
      </c>
      <c r="N1" s="14" t="s">
        <v>23</v>
      </c>
      <c r="O1" s="14" t="s">
        <v>24</v>
      </c>
      <c r="P1" s="14" t="s">
        <v>27</v>
      </c>
      <c r="Q1" s="14" t="s">
        <v>29</v>
      </c>
      <c r="R1" s="14" t="s">
        <v>31</v>
      </c>
      <c r="S1" s="14" t="s">
        <v>34</v>
      </c>
      <c r="T1" s="14" t="s">
        <v>35</v>
      </c>
      <c r="U1" s="14" t="s">
        <v>36</v>
      </c>
      <c r="V1" s="14" t="s">
        <v>40</v>
      </c>
      <c r="W1" s="14" t="s">
        <v>44</v>
      </c>
      <c r="X1" s="14" t="s">
        <v>45</v>
      </c>
      <c r="Y1" s="14" t="s">
        <v>46</v>
      </c>
      <c r="Z1" s="14" t="s">
        <v>48</v>
      </c>
      <c r="AA1" s="14" t="s">
        <v>49</v>
      </c>
      <c r="AB1" s="14" t="s">
        <v>50</v>
      </c>
      <c r="AC1" s="14" t="s">
        <v>53</v>
      </c>
      <c r="AD1" s="14" t="s">
        <v>54</v>
      </c>
      <c r="AE1" s="14" t="s">
        <v>55</v>
      </c>
      <c r="AF1" s="14" t="s">
        <v>57</v>
      </c>
      <c r="AG1" s="14" t="s">
        <v>59</v>
      </c>
      <c r="AH1" s="14" t="s">
        <v>63</v>
      </c>
      <c r="AI1" s="14" t="s">
        <v>64</v>
      </c>
      <c r="AJ1" s="14" t="s">
        <v>66</v>
      </c>
      <c r="AK1" s="14" t="s">
        <v>68</v>
      </c>
      <c r="AL1" s="14" t="s">
        <v>69</v>
      </c>
      <c r="AM1" s="14" t="s">
        <v>71</v>
      </c>
      <c r="AN1" s="14" t="s">
        <v>72</v>
      </c>
      <c r="AO1" s="14" t="s">
        <v>74</v>
      </c>
      <c r="AP1" s="14" t="s">
        <v>75</v>
      </c>
      <c r="AQ1" s="14" t="s">
        <v>76</v>
      </c>
      <c r="AR1" s="14" t="s">
        <v>77</v>
      </c>
      <c r="AS1" s="14" t="s">
        <v>78</v>
      </c>
      <c r="AT1" s="14" t="s">
        <v>80</v>
      </c>
      <c r="AU1" s="14" t="s">
        <v>81</v>
      </c>
      <c r="AV1" s="14" t="s">
        <v>82</v>
      </c>
      <c r="AW1" s="14" t="s">
        <v>83</v>
      </c>
      <c r="AX1" s="14" t="s">
        <v>84</v>
      </c>
      <c r="AY1" s="14" t="s">
        <v>85</v>
      </c>
      <c r="AZ1" s="14" t="s">
        <v>86</v>
      </c>
      <c r="BA1" s="14" t="s">
        <v>87</v>
      </c>
      <c r="BB1" s="14" t="s">
        <v>91</v>
      </c>
      <c r="BC1" s="14" t="s">
        <v>93</v>
      </c>
      <c r="BD1" s="14" t="s">
        <v>94</v>
      </c>
      <c r="BE1" s="14" t="s">
        <v>96</v>
      </c>
      <c r="BF1" s="14" t="s">
        <v>97</v>
      </c>
      <c r="BG1" s="14" t="s">
        <v>99</v>
      </c>
      <c r="BH1" s="14" t="s">
        <v>100</v>
      </c>
      <c r="BI1" s="14" t="s">
        <v>102</v>
      </c>
      <c r="BJ1" s="14" t="s">
        <v>103</v>
      </c>
      <c r="BK1" s="14" t="s">
        <v>105</v>
      </c>
      <c r="BL1" s="14" t="s">
        <v>107</v>
      </c>
      <c r="BM1" s="14" t="s">
        <v>112</v>
      </c>
      <c r="BN1" s="14" t="s">
        <v>113</v>
      </c>
      <c r="BO1" s="14" t="s">
        <v>114</v>
      </c>
      <c r="BP1" s="14" t="s">
        <v>117</v>
      </c>
      <c r="BQ1" s="14" t="s">
        <v>118</v>
      </c>
      <c r="BR1" s="14" t="s">
        <v>119</v>
      </c>
      <c r="BS1" s="14" t="s">
        <v>121</v>
      </c>
      <c r="BT1" s="14" t="s">
        <v>125</v>
      </c>
      <c r="BU1" s="14" t="s">
        <v>127</v>
      </c>
      <c r="BV1" s="14" t="s">
        <v>128</v>
      </c>
    </row>
    <row r="2" customFormat="false" ht="15" hidden="false" customHeight="false" outlineLevel="0" collapsed="false">
      <c r="A2" s="13" t="n">
        <v>1997</v>
      </c>
      <c r="B2" s="15"/>
      <c r="C2" s="16"/>
      <c r="D2" s="15"/>
      <c r="E2" s="15"/>
      <c r="F2" s="15"/>
      <c r="G2" s="15"/>
      <c r="H2" s="15"/>
      <c r="I2" s="15"/>
      <c r="J2" s="15"/>
      <c r="K2" s="16" t="n">
        <v>35900</v>
      </c>
      <c r="L2" s="15"/>
      <c r="M2" s="16"/>
      <c r="N2" s="16"/>
      <c r="O2" s="15"/>
      <c r="P2" s="16"/>
      <c r="Q2" s="15"/>
      <c r="R2" s="16"/>
      <c r="S2" s="16"/>
      <c r="T2" s="16"/>
      <c r="U2" s="15"/>
      <c r="V2" s="16"/>
      <c r="W2" s="16"/>
      <c r="X2" s="16"/>
      <c r="Y2" s="15"/>
      <c r="Z2" s="16"/>
      <c r="AA2" s="16"/>
      <c r="AB2" s="16"/>
      <c r="AC2" s="16"/>
      <c r="AD2" s="16"/>
      <c r="AE2" s="16"/>
      <c r="AF2" s="15"/>
      <c r="AG2" s="16"/>
      <c r="AH2" s="16"/>
      <c r="AI2" s="16"/>
      <c r="AJ2" s="16"/>
      <c r="AK2" s="16"/>
      <c r="AL2" s="16"/>
      <c r="AM2" s="16"/>
      <c r="AN2" s="16"/>
      <c r="AO2" s="16"/>
      <c r="AP2" s="16"/>
      <c r="AQ2" s="16"/>
      <c r="AR2" s="15"/>
      <c r="AS2" s="16"/>
      <c r="AT2" s="16"/>
      <c r="AU2" s="16"/>
      <c r="AV2" s="16"/>
      <c r="AW2" s="15"/>
      <c r="AX2" s="15"/>
      <c r="AY2" s="16"/>
      <c r="AZ2" s="16"/>
      <c r="BA2" s="16"/>
      <c r="BB2" s="15"/>
      <c r="BC2" s="16"/>
      <c r="BD2" s="16"/>
      <c r="BE2" s="16"/>
      <c r="BF2" s="15"/>
      <c r="BG2" s="16"/>
      <c r="BH2" s="16"/>
      <c r="BI2" s="16"/>
      <c r="BJ2" s="16"/>
      <c r="BK2" s="16"/>
      <c r="BL2" s="16"/>
      <c r="BM2" s="16"/>
      <c r="BN2" s="15"/>
      <c r="BO2" s="16"/>
      <c r="BP2" s="16"/>
      <c r="BQ2" s="16"/>
      <c r="BR2" s="15"/>
      <c r="BS2" s="15"/>
      <c r="BT2" s="16"/>
      <c r="BU2" s="16"/>
      <c r="BV2" s="16"/>
    </row>
    <row r="3" customFormat="false" ht="15" hidden="false" customHeight="false" outlineLevel="0" collapsed="false">
      <c r="A3" s="13" t="n">
        <v>1998</v>
      </c>
      <c r="B3" s="15"/>
      <c r="C3" s="16"/>
      <c r="D3" s="15"/>
      <c r="E3" s="15"/>
      <c r="F3" s="15"/>
      <c r="G3" s="15"/>
      <c r="H3" s="15"/>
      <c r="I3" s="15"/>
      <c r="J3" s="15"/>
      <c r="K3" s="16" t="n">
        <v>55600</v>
      </c>
      <c r="L3" s="15"/>
      <c r="M3" s="16"/>
      <c r="N3" s="16"/>
      <c r="O3" s="15"/>
      <c r="P3" s="16"/>
      <c r="Q3" s="15"/>
      <c r="R3" s="16"/>
      <c r="S3" s="16"/>
      <c r="T3" s="16"/>
      <c r="U3" s="15"/>
      <c r="V3" s="16"/>
      <c r="W3" s="16"/>
      <c r="X3" s="16"/>
      <c r="Y3" s="15"/>
      <c r="Z3" s="16"/>
      <c r="AA3" s="16"/>
      <c r="AB3" s="16"/>
      <c r="AC3" s="16"/>
      <c r="AD3" s="16"/>
      <c r="AE3" s="16"/>
      <c r="AF3" s="15"/>
      <c r="AG3" s="16"/>
      <c r="AH3" s="16"/>
      <c r="AI3" s="16"/>
      <c r="AJ3" s="16"/>
      <c r="AK3" s="16"/>
      <c r="AL3" s="16"/>
      <c r="AM3" s="16"/>
      <c r="AN3" s="16"/>
      <c r="AO3" s="16"/>
      <c r="AP3" s="16"/>
      <c r="AQ3" s="16"/>
      <c r="AR3" s="15"/>
      <c r="AS3" s="16"/>
      <c r="AT3" s="16"/>
      <c r="AU3" s="16"/>
      <c r="AV3" s="16"/>
      <c r="AW3" s="15"/>
      <c r="AX3" s="15"/>
      <c r="AY3" s="16"/>
      <c r="AZ3" s="16"/>
      <c r="BA3" s="16"/>
      <c r="BB3" s="15"/>
      <c r="BC3" s="16"/>
      <c r="BD3" s="16"/>
      <c r="BE3" s="16"/>
      <c r="BF3" s="15"/>
      <c r="BG3" s="16"/>
      <c r="BH3" s="16"/>
      <c r="BI3" s="16"/>
      <c r="BJ3" s="16"/>
      <c r="BK3" s="16"/>
      <c r="BL3" s="16"/>
      <c r="BM3" s="16"/>
      <c r="BN3" s="15"/>
      <c r="BO3" s="16"/>
      <c r="BP3" s="16"/>
      <c r="BQ3" s="16"/>
      <c r="BR3" s="15"/>
      <c r="BS3" s="15"/>
      <c r="BT3" s="16"/>
      <c r="BU3" s="16"/>
      <c r="BV3" s="16"/>
    </row>
    <row r="4" customFormat="false" ht="15" hidden="false" customHeight="false" outlineLevel="0" collapsed="false">
      <c r="A4" s="13" t="n">
        <v>1999</v>
      </c>
      <c r="B4" s="15"/>
      <c r="C4" s="16"/>
      <c r="D4" s="15"/>
      <c r="E4" s="15"/>
      <c r="F4" s="15"/>
      <c r="G4" s="15"/>
      <c r="H4" s="15"/>
      <c r="I4" s="15"/>
      <c r="J4" s="15"/>
      <c r="K4" s="16" t="n">
        <v>7300</v>
      </c>
      <c r="L4" s="15"/>
      <c r="M4" s="16"/>
      <c r="N4" s="16"/>
      <c r="O4" s="15"/>
      <c r="P4" s="16"/>
      <c r="Q4" s="15"/>
      <c r="R4" s="16"/>
      <c r="S4" s="16"/>
      <c r="T4" s="16"/>
      <c r="U4" s="15"/>
      <c r="V4" s="16"/>
      <c r="W4" s="16"/>
      <c r="X4" s="16"/>
      <c r="Y4" s="15"/>
      <c r="Z4" s="16"/>
      <c r="AA4" s="16"/>
      <c r="AB4" s="16"/>
      <c r="AC4" s="16"/>
      <c r="AD4" s="16"/>
      <c r="AE4" s="16"/>
      <c r="AF4" s="15"/>
      <c r="AG4" s="16"/>
      <c r="AH4" s="16"/>
      <c r="AI4" s="16"/>
      <c r="AJ4" s="16"/>
      <c r="AK4" s="16"/>
      <c r="AL4" s="16"/>
      <c r="AM4" s="16"/>
      <c r="AN4" s="16"/>
      <c r="AO4" s="16"/>
      <c r="AP4" s="16"/>
      <c r="AQ4" s="16"/>
      <c r="AR4" s="15"/>
      <c r="AS4" s="16"/>
      <c r="AT4" s="16"/>
      <c r="AU4" s="16"/>
      <c r="AV4" s="16"/>
      <c r="AW4" s="15"/>
      <c r="AX4" s="15"/>
      <c r="AY4" s="16"/>
      <c r="AZ4" s="16"/>
      <c r="BA4" s="16"/>
      <c r="BB4" s="15"/>
      <c r="BC4" s="16"/>
      <c r="BD4" s="16"/>
      <c r="BE4" s="16"/>
      <c r="BF4" s="15"/>
      <c r="BG4" s="16"/>
      <c r="BH4" s="16"/>
      <c r="BI4" s="16"/>
      <c r="BJ4" s="16"/>
      <c r="BK4" s="16"/>
      <c r="BL4" s="16"/>
      <c r="BM4" s="16"/>
      <c r="BN4" s="15"/>
      <c r="BO4" s="16"/>
      <c r="BP4" s="16"/>
      <c r="BQ4" s="16"/>
      <c r="BR4" s="15"/>
      <c r="BS4" s="15"/>
      <c r="BT4" s="16"/>
      <c r="BU4" s="16"/>
      <c r="BV4" s="16"/>
    </row>
    <row r="5" customFormat="false" ht="15" hidden="false" customHeight="false" outlineLevel="0" collapsed="false">
      <c r="A5" s="13" t="n">
        <v>2000</v>
      </c>
      <c r="B5" s="15"/>
      <c r="C5" s="16" t="n">
        <v>15180</v>
      </c>
      <c r="D5" s="15"/>
      <c r="E5" s="15"/>
      <c r="F5" s="15" t="n">
        <v>0</v>
      </c>
      <c r="G5" s="15"/>
      <c r="H5" s="15"/>
      <c r="I5" s="15"/>
      <c r="J5" s="15" t="n">
        <v>0</v>
      </c>
      <c r="K5" s="16" t="n">
        <v>87500</v>
      </c>
      <c r="L5" s="15"/>
      <c r="M5" s="16" t="n">
        <v>0</v>
      </c>
      <c r="N5" s="16" t="n">
        <v>0</v>
      </c>
      <c r="O5" s="15"/>
      <c r="P5" s="16" t="n">
        <v>0</v>
      </c>
      <c r="Q5" s="15"/>
      <c r="R5" s="16" t="n">
        <v>0</v>
      </c>
      <c r="S5" s="16" t="n">
        <v>0</v>
      </c>
      <c r="T5" s="16" t="n">
        <v>0</v>
      </c>
      <c r="U5" s="15"/>
      <c r="V5" s="16" t="n">
        <v>0</v>
      </c>
      <c r="W5" s="16" t="n">
        <v>20</v>
      </c>
      <c r="X5" s="16" t="n">
        <v>0</v>
      </c>
      <c r="Y5" s="15"/>
      <c r="Z5" s="16" t="n">
        <v>0</v>
      </c>
      <c r="AA5" s="16" t="n">
        <v>0</v>
      </c>
      <c r="AB5" s="16" t="n">
        <v>0</v>
      </c>
      <c r="AC5" s="16" t="n">
        <v>0</v>
      </c>
      <c r="AD5" s="16" t="n">
        <v>0</v>
      </c>
      <c r="AE5" s="16" t="n">
        <v>0</v>
      </c>
      <c r="AF5" s="15"/>
      <c r="AG5" s="16" t="n">
        <v>240</v>
      </c>
      <c r="AH5" s="16" t="n">
        <v>0</v>
      </c>
      <c r="AI5" s="16" t="n">
        <v>0</v>
      </c>
      <c r="AJ5" s="16" t="n">
        <v>0</v>
      </c>
      <c r="AK5" s="16" t="n">
        <v>0</v>
      </c>
      <c r="AL5" s="16" t="n">
        <v>0</v>
      </c>
      <c r="AM5" s="16" t="n">
        <v>0</v>
      </c>
      <c r="AN5" s="16" t="n">
        <v>0</v>
      </c>
      <c r="AO5" s="16" t="n">
        <v>0</v>
      </c>
      <c r="AP5" s="16" t="n">
        <v>0</v>
      </c>
      <c r="AQ5" s="16" t="n">
        <v>4500</v>
      </c>
      <c r="AR5" s="15"/>
      <c r="AS5" s="16" t="n">
        <v>0</v>
      </c>
      <c r="AT5" s="16" t="n">
        <v>0</v>
      </c>
      <c r="AU5" s="16" t="n">
        <v>0</v>
      </c>
      <c r="AV5" s="16" t="n">
        <v>0</v>
      </c>
      <c r="AW5" s="15"/>
      <c r="AX5" s="15"/>
      <c r="AY5" s="16" t="n">
        <v>0</v>
      </c>
      <c r="AZ5" s="16" t="n">
        <v>0</v>
      </c>
      <c r="BA5" s="16" t="n">
        <v>0</v>
      </c>
      <c r="BB5" s="16" t="n">
        <v>0</v>
      </c>
      <c r="BC5" s="16" t="n">
        <v>0</v>
      </c>
      <c r="BD5" s="16" t="n">
        <v>0</v>
      </c>
      <c r="BE5" s="16" t="n">
        <v>0</v>
      </c>
      <c r="BF5" s="15"/>
      <c r="BG5" s="16" t="n">
        <v>0</v>
      </c>
      <c r="BH5" s="16" t="n">
        <v>0</v>
      </c>
      <c r="BI5" s="16" t="n">
        <v>0</v>
      </c>
      <c r="BJ5" s="16" t="n">
        <v>0</v>
      </c>
      <c r="BK5" s="16" t="n">
        <v>0</v>
      </c>
      <c r="BL5" s="16" t="n">
        <v>0</v>
      </c>
      <c r="BM5" s="16" t="n">
        <v>0</v>
      </c>
      <c r="BN5" s="15"/>
      <c r="BO5" s="16" t="n">
        <v>0</v>
      </c>
      <c r="BP5" s="16" t="n">
        <v>0</v>
      </c>
      <c r="BQ5" s="16" t="n">
        <v>0</v>
      </c>
      <c r="BR5" s="15"/>
      <c r="BS5" s="15"/>
      <c r="BT5" s="16" t="n">
        <v>0</v>
      </c>
      <c r="BU5" s="16" t="n">
        <v>0</v>
      </c>
      <c r="BV5" s="16" t="n">
        <v>0</v>
      </c>
    </row>
    <row r="6" customFormat="false" ht="15" hidden="false" customHeight="false" outlineLevel="0" collapsed="false">
      <c r="A6" s="13" t="n">
        <v>2001</v>
      </c>
      <c r="B6" s="15"/>
      <c r="C6" s="16" t="n">
        <v>17500</v>
      </c>
      <c r="D6" s="15"/>
      <c r="E6" s="15"/>
      <c r="F6" s="15" t="n">
        <v>0</v>
      </c>
      <c r="G6" s="15"/>
      <c r="H6" s="15"/>
      <c r="I6" s="15"/>
      <c r="J6" s="16" t="n">
        <v>2700</v>
      </c>
      <c r="K6" s="16" t="n">
        <v>105000</v>
      </c>
      <c r="L6" s="15"/>
      <c r="M6" s="16" t="n">
        <v>0</v>
      </c>
      <c r="N6" s="16" t="n">
        <v>0</v>
      </c>
      <c r="O6" s="15"/>
      <c r="P6" s="16" t="n">
        <v>0</v>
      </c>
      <c r="Q6" s="15"/>
      <c r="R6" s="16" t="n">
        <v>0</v>
      </c>
      <c r="S6" s="16" t="n">
        <v>0</v>
      </c>
      <c r="T6" s="16" t="n">
        <v>0</v>
      </c>
      <c r="U6" s="15"/>
      <c r="V6" s="16" t="n">
        <v>0</v>
      </c>
      <c r="W6" s="16" t="n">
        <v>30</v>
      </c>
      <c r="X6" s="16" t="n">
        <v>0</v>
      </c>
      <c r="Y6" s="15"/>
      <c r="Z6" s="16" t="n">
        <v>0</v>
      </c>
      <c r="AA6" s="16" t="n">
        <v>0</v>
      </c>
      <c r="AB6" s="16" t="n">
        <v>0</v>
      </c>
      <c r="AC6" s="16" t="n">
        <v>0</v>
      </c>
      <c r="AD6" s="16" t="n">
        <v>0</v>
      </c>
      <c r="AE6" s="16" t="n">
        <v>0</v>
      </c>
      <c r="AF6" s="15"/>
      <c r="AG6" s="16" t="n">
        <v>290</v>
      </c>
      <c r="AH6" s="16" t="n">
        <v>0</v>
      </c>
      <c r="AI6" s="16" t="n">
        <v>0</v>
      </c>
      <c r="AJ6" s="16" t="n">
        <v>0</v>
      </c>
      <c r="AK6" s="16" t="n">
        <v>0</v>
      </c>
      <c r="AL6" s="16" t="n">
        <v>0</v>
      </c>
      <c r="AM6" s="16" t="n">
        <v>0</v>
      </c>
      <c r="AN6" s="16" t="n">
        <v>1000</v>
      </c>
      <c r="AO6" s="16" t="n">
        <v>0</v>
      </c>
      <c r="AP6" s="16" t="n">
        <v>0</v>
      </c>
      <c r="AQ6" s="16" t="n">
        <v>7500</v>
      </c>
      <c r="AR6" s="15"/>
      <c r="AS6" s="16" t="n">
        <v>0</v>
      </c>
      <c r="AT6" s="16" t="n">
        <v>0</v>
      </c>
      <c r="AU6" s="16" t="n">
        <v>0</v>
      </c>
      <c r="AV6" s="16" t="n">
        <v>0</v>
      </c>
      <c r="AW6" s="15"/>
      <c r="AX6" s="15"/>
      <c r="AY6" s="16" t="n">
        <v>0</v>
      </c>
      <c r="AZ6" s="16" t="n">
        <v>0</v>
      </c>
      <c r="BA6" s="16" t="n">
        <v>0</v>
      </c>
      <c r="BB6" s="16" t="n">
        <v>0</v>
      </c>
      <c r="BC6" s="16" t="n">
        <v>0</v>
      </c>
      <c r="BD6" s="16" t="n">
        <v>0</v>
      </c>
      <c r="BE6" s="16" t="n">
        <v>0</v>
      </c>
      <c r="BF6" s="15"/>
      <c r="BG6" s="16" t="n">
        <v>410</v>
      </c>
      <c r="BH6" s="16" t="n">
        <v>0</v>
      </c>
      <c r="BI6" s="16" t="n">
        <v>0</v>
      </c>
      <c r="BJ6" s="16" t="n">
        <v>0</v>
      </c>
      <c r="BK6" s="16" t="n">
        <v>0</v>
      </c>
      <c r="BL6" s="16" t="n">
        <v>0</v>
      </c>
      <c r="BM6" s="16" t="n">
        <v>6100</v>
      </c>
      <c r="BN6" s="15"/>
      <c r="BO6" s="16" t="n">
        <v>0</v>
      </c>
      <c r="BP6" s="16" t="n">
        <v>9400</v>
      </c>
      <c r="BQ6" s="16" t="n">
        <v>0</v>
      </c>
      <c r="BR6" s="15"/>
      <c r="BS6" s="15"/>
      <c r="BT6" s="16" t="n">
        <v>0</v>
      </c>
      <c r="BU6" s="16" t="n">
        <v>0</v>
      </c>
      <c r="BV6" s="16" t="n">
        <v>0</v>
      </c>
    </row>
    <row r="7" customFormat="false" ht="15" hidden="false" customHeight="false" outlineLevel="0" collapsed="false">
      <c r="A7" s="13" t="n">
        <v>2002</v>
      </c>
      <c r="B7" s="15"/>
      <c r="C7" s="16" t="n">
        <v>19710</v>
      </c>
      <c r="D7" s="15"/>
      <c r="E7" s="15"/>
      <c r="F7" s="15" t="n">
        <v>0</v>
      </c>
      <c r="G7" s="15"/>
      <c r="H7" s="15"/>
      <c r="I7" s="15"/>
      <c r="J7" s="16" t="n">
        <v>5600</v>
      </c>
      <c r="K7" s="16"/>
      <c r="L7" s="15"/>
      <c r="M7" s="16" t="n">
        <v>0</v>
      </c>
      <c r="N7" s="16" t="n">
        <v>0</v>
      </c>
      <c r="O7" s="15"/>
      <c r="P7" s="16" t="n">
        <v>0</v>
      </c>
      <c r="Q7" s="15"/>
      <c r="R7" s="16" t="n">
        <v>0</v>
      </c>
      <c r="S7" s="16" t="n">
        <v>5400</v>
      </c>
      <c r="T7" s="16" t="n">
        <v>0</v>
      </c>
      <c r="U7" s="16"/>
      <c r="V7" s="16" t="n">
        <v>0</v>
      </c>
      <c r="W7" s="16" t="n">
        <v>40</v>
      </c>
      <c r="X7" s="16" t="n">
        <v>0</v>
      </c>
      <c r="Y7" s="15"/>
      <c r="Z7" s="16" t="n">
        <v>0</v>
      </c>
      <c r="AA7" s="16" t="n">
        <v>0</v>
      </c>
      <c r="AB7" s="16" t="n">
        <v>0</v>
      </c>
      <c r="AC7" s="16" t="n">
        <v>0</v>
      </c>
      <c r="AD7" s="16" t="n">
        <v>0</v>
      </c>
      <c r="AE7" s="16" t="n">
        <v>2700</v>
      </c>
      <c r="AF7" s="15"/>
      <c r="AG7" s="16" t="n">
        <v>330</v>
      </c>
      <c r="AH7" s="16" t="n">
        <v>0</v>
      </c>
      <c r="AI7" s="16" t="n">
        <v>0</v>
      </c>
      <c r="AJ7" s="16" t="n">
        <v>0</v>
      </c>
      <c r="AK7" s="16" t="n">
        <v>0</v>
      </c>
      <c r="AL7" s="16" t="n">
        <v>0</v>
      </c>
      <c r="AM7" s="16" t="n">
        <v>0</v>
      </c>
      <c r="AN7" s="16" t="n">
        <v>2000</v>
      </c>
      <c r="AO7" s="16" t="n">
        <v>0</v>
      </c>
      <c r="AP7" s="16" t="n">
        <v>0</v>
      </c>
      <c r="AQ7" s="16" t="n">
        <v>10500</v>
      </c>
      <c r="AR7" s="15"/>
      <c r="AS7" s="16" t="n">
        <v>0</v>
      </c>
      <c r="AT7" s="16" t="n">
        <v>0</v>
      </c>
      <c r="AU7" s="16" t="n">
        <v>1800</v>
      </c>
      <c r="AV7" s="16" t="n">
        <v>0</v>
      </c>
      <c r="AW7" s="15"/>
      <c r="AX7" s="15"/>
      <c r="AY7" s="16" t="n">
        <v>0</v>
      </c>
      <c r="AZ7" s="16" t="n">
        <v>0</v>
      </c>
      <c r="BA7" s="16" t="n">
        <v>0</v>
      </c>
      <c r="BB7" s="16" t="n">
        <v>0</v>
      </c>
      <c r="BC7" s="16" t="n">
        <v>0</v>
      </c>
      <c r="BD7" s="16" t="n">
        <v>0</v>
      </c>
      <c r="BE7" s="16" t="n">
        <v>0</v>
      </c>
      <c r="BF7" s="15"/>
      <c r="BG7" s="16" t="n">
        <v>450</v>
      </c>
      <c r="BH7" s="16" t="n">
        <v>0</v>
      </c>
      <c r="BI7" s="16" t="n">
        <v>0</v>
      </c>
      <c r="BJ7" s="16" t="n">
        <v>0</v>
      </c>
      <c r="BK7" s="16" t="n">
        <v>0</v>
      </c>
      <c r="BL7" s="16" t="n">
        <v>35</v>
      </c>
      <c r="BM7" s="16" t="n">
        <v>11600</v>
      </c>
      <c r="BN7" s="15"/>
      <c r="BO7" s="16" t="n">
        <v>0</v>
      </c>
      <c r="BP7" s="16" t="n">
        <v>9300</v>
      </c>
      <c r="BQ7" s="16" t="n">
        <v>0</v>
      </c>
      <c r="BR7" s="15"/>
      <c r="BS7" s="15"/>
      <c r="BT7" s="16" t="n">
        <v>0</v>
      </c>
      <c r="BU7" s="16" t="n">
        <v>0</v>
      </c>
      <c r="BV7" s="16" t="n">
        <v>0</v>
      </c>
    </row>
    <row r="8" customFormat="false" ht="15" hidden="false" customHeight="false" outlineLevel="0" collapsed="false">
      <c r="A8" s="13" t="n">
        <v>2003</v>
      </c>
      <c r="B8" s="15"/>
      <c r="C8" s="16" t="n">
        <v>22330</v>
      </c>
      <c r="D8" s="15"/>
      <c r="E8" s="15"/>
      <c r="F8" s="15" t="n">
        <v>0</v>
      </c>
      <c r="G8" s="17" t="n">
        <v>0.94</v>
      </c>
      <c r="H8" s="15"/>
      <c r="I8" s="15"/>
      <c r="J8" s="16" t="n">
        <v>14000</v>
      </c>
      <c r="K8" s="16"/>
      <c r="L8" s="15"/>
      <c r="M8" s="16" t="n">
        <v>2200</v>
      </c>
      <c r="N8" s="16" t="n">
        <v>0</v>
      </c>
      <c r="O8" s="15" t="n">
        <v>20000</v>
      </c>
      <c r="P8" s="16" t="n">
        <v>0</v>
      </c>
      <c r="Q8" s="15"/>
      <c r="R8" s="16" t="n">
        <v>0</v>
      </c>
      <c r="S8" s="16" t="n">
        <v>5300</v>
      </c>
      <c r="T8" s="16" t="n">
        <v>0</v>
      </c>
      <c r="U8" s="16"/>
      <c r="V8" s="16" t="n">
        <v>0</v>
      </c>
      <c r="W8" s="16" t="n">
        <v>55</v>
      </c>
      <c r="X8" s="16" t="n">
        <v>0</v>
      </c>
      <c r="Y8" s="15"/>
      <c r="Z8" s="16" t="n">
        <v>0</v>
      </c>
      <c r="AA8" s="16" t="n">
        <v>0</v>
      </c>
      <c r="AB8" s="16" t="n">
        <v>0</v>
      </c>
      <c r="AC8" s="16" t="n">
        <v>900</v>
      </c>
      <c r="AD8" s="16" t="n">
        <v>144</v>
      </c>
      <c r="AE8" s="16" t="n">
        <v>2700</v>
      </c>
      <c r="AF8" s="15"/>
      <c r="AG8" s="16" t="n">
        <v>380</v>
      </c>
      <c r="AH8" s="16" t="n">
        <v>0</v>
      </c>
      <c r="AI8" s="16" t="n">
        <v>0</v>
      </c>
      <c r="AJ8" s="16" t="n">
        <v>27</v>
      </c>
      <c r="AK8" s="16" t="n">
        <v>0</v>
      </c>
      <c r="AL8" s="16" t="n">
        <v>0</v>
      </c>
      <c r="AM8" s="16" t="n">
        <v>0</v>
      </c>
      <c r="AN8" s="16" t="n">
        <v>3300</v>
      </c>
      <c r="AO8" s="16" t="n">
        <v>0</v>
      </c>
      <c r="AP8" s="16" t="n">
        <v>90</v>
      </c>
      <c r="AQ8" s="16" t="n">
        <v>13500</v>
      </c>
      <c r="AR8" s="15"/>
      <c r="AS8" s="16" t="n">
        <v>480</v>
      </c>
      <c r="AT8" s="16" t="n">
        <v>0</v>
      </c>
      <c r="AU8" s="16" t="n">
        <v>1900</v>
      </c>
      <c r="AV8" s="16" t="n">
        <v>0</v>
      </c>
      <c r="AW8" s="15"/>
      <c r="AX8" s="15"/>
      <c r="AY8" s="16" t="n">
        <v>0</v>
      </c>
      <c r="AZ8" s="16" t="n">
        <v>0</v>
      </c>
      <c r="BA8" s="16" t="n">
        <v>29000</v>
      </c>
      <c r="BB8" s="16" t="n">
        <v>0</v>
      </c>
      <c r="BC8" s="16" t="n">
        <v>0</v>
      </c>
      <c r="BD8" s="16" t="n">
        <v>0</v>
      </c>
      <c r="BE8" s="16" t="n">
        <v>0</v>
      </c>
      <c r="BF8" s="15"/>
      <c r="BG8" s="16" t="n">
        <v>480</v>
      </c>
      <c r="BH8" s="16" t="n">
        <v>0</v>
      </c>
      <c r="BI8" s="16" t="n">
        <v>0</v>
      </c>
      <c r="BJ8" s="16" t="n">
        <v>0</v>
      </c>
      <c r="BK8" s="16" t="n">
        <v>0</v>
      </c>
      <c r="BL8" s="16" t="n">
        <v>148</v>
      </c>
      <c r="BM8" s="16" t="n">
        <v>22400</v>
      </c>
      <c r="BN8" s="15"/>
      <c r="BO8" s="16" t="n">
        <v>1400</v>
      </c>
      <c r="BP8" s="16" t="n">
        <v>18400</v>
      </c>
      <c r="BQ8" s="16" t="n">
        <v>0</v>
      </c>
      <c r="BR8" s="15"/>
      <c r="BS8" s="15"/>
      <c r="BT8" s="16" t="n">
        <v>0</v>
      </c>
      <c r="BU8" s="16" t="n">
        <v>18600</v>
      </c>
      <c r="BV8" s="16" t="n">
        <v>0</v>
      </c>
    </row>
    <row r="9" customFormat="false" ht="15" hidden="false" customHeight="false" outlineLevel="0" collapsed="false">
      <c r="A9" s="13" t="n">
        <v>2004</v>
      </c>
      <c r="B9" s="15"/>
      <c r="C9" s="16" t="n">
        <v>28000</v>
      </c>
      <c r="D9" s="15"/>
      <c r="E9" s="15"/>
      <c r="F9" s="15" t="n">
        <v>0</v>
      </c>
      <c r="G9" s="15"/>
      <c r="H9" s="15"/>
      <c r="I9" s="15"/>
      <c r="J9" s="16" t="n">
        <v>30800</v>
      </c>
      <c r="K9" s="16" t="n">
        <v>160000</v>
      </c>
      <c r="L9" s="15"/>
      <c r="M9" s="16" t="n">
        <v>6000</v>
      </c>
      <c r="N9" s="16" t="n">
        <v>15300</v>
      </c>
      <c r="O9" s="15"/>
      <c r="P9" s="16" t="n">
        <v>0</v>
      </c>
      <c r="Q9" s="15"/>
      <c r="R9" s="16" t="n">
        <v>0</v>
      </c>
      <c r="S9" s="16" t="n">
        <v>5100</v>
      </c>
      <c r="T9" s="16" t="n">
        <v>5100</v>
      </c>
      <c r="U9" s="16"/>
      <c r="V9" s="16" t="n">
        <v>0</v>
      </c>
      <c r="W9" s="16" t="n">
        <v>100</v>
      </c>
      <c r="X9" s="16" t="n">
        <v>7862</v>
      </c>
      <c r="Y9" s="15"/>
      <c r="Z9" s="16" t="n">
        <v>0</v>
      </c>
      <c r="AA9" s="16" t="n">
        <v>62</v>
      </c>
      <c r="AB9" s="16" t="n">
        <v>3100</v>
      </c>
      <c r="AC9" s="16" t="n">
        <v>910</v>
      </c>
      <c r="AD9" s="16" t="n">
        <v>510</v>
      </c>
      <c r="AE9" s="16" t="n">
        <v>2600</v>
      </c>
      <c r="AF9" s="15"/>
      <c r="AG9" s="16" t="n">
        <v>410</v>
      </c>
      <c r="AH9" s="16" t="n">
        <v>0</v>
      </c>
      <c r="AI9" s="16" t="n">
        <v>28000</v>
      </c>
      <c r="AJ9" s="16" t="n">
        <v>218</v>
      </c>
      <c r="AK9" s="16" t="n">
        <v>2400</v>
      </c>
      <c r="AL9" s="16" t="n">
        <v>0</v>
      </c>
      <c r="AM9" s="16" t="n">
        <v>9900</v>
      </c>
      <c r="AN9" s="16" t="n">
        <v>4400</v>
      </c>
      <c r="AO9" s="16" t="n">
        <v>0</v>
      </c>
      <c r="AP9" s="16" t="n">
        <v>93</v>
      </c>
      <c r="AQ9" s="16" t="n">
        <v>16500</v>
      </c>
      <c r="AR9" s="15"/>
      <c r="AS9" s="16" t="n">
        <v>850</v>
      </c>
      <c r="AT9" s="16" t="n">
        <v>0</v>
      </c>
      <c r="AU9" s="16" t="n">
        <v>5400</v>
      </c>
      <c r="AV9" s="16" t="n">
        <v>0</v>
      </c>
      <c r="AW9" s="15"/>
      <c r="AX9" s="15"/>
      <c r="AY9" s="16" t="n">
        <v>96</v>
      </c>
      <c r="AZ9" s="16" t="n">
        <v>0</v>
      </c>
      <c r="BA9" s="16" t="n">
        <v>60000</v>
      </c>
      <c r="BB9" s="16" t="n">
        <v>0</v>
      </c>
      <c r="BC9" s="16" t="n">
        <v>0</v>
      </c>
      <c r="BD9" s="16" t="n">
        <v>110</v>
      </c>
      <c r="BE9" s="16" t="n">
        <v>5700</v>
      </c>
      <c r="BF9" s="15"/>
      <c r="BG9" s="16" t="n">
        <v>510</v>
      </c>
      <c r="BH9" s="16" t="n">
        <v>0</v>
      </c>
      <c r="BI9" s="16" t="n">
        <v>65000</v>
      </c>
      <c r="BJ9" s="16" t="n">
        <v>0</v>
      </c>
      <c r="BK9" s="16" t="n">
        <v>11</v>
      </c>
      <c r="BL9" s="16" t="n">
        <v>222</v>
      </c>
      <c r="BM9" s="16" t="n">
        <v>47700</v>
      </c>
      <c r="BN9" s="15"/>
      <c r="BO9" s="16" t="n">
        <v>2800</v>
      </c>
      <c r="BP9" s="16" t="n">
        <v>46500</v>
      </c>
      <c r="BQ9" s="16" t="n">
        <v>0</v>
      </c>
      <c r="BR9" s="15" t="n">
        <v>28244</v>
      </c>
      <c r="BS9" s="15"/>
      <c r="BT9" s="16" t="n">
        <v>0</v>
      </c>
      <c r="BU9" s="16" t="n">
        <v>27900</v>
      </c>
      <c r="BV9" s="16" t="n">
        <v>14000</v>
      </c>
    </row>
    <row r="10" customFormat="false" ht="15" hidden="false" customHeight="false" outlineLevel="0" collapsed="false">
      <c r="A10" s="13" t="n">
        <v>2005</v>
      </c>
      <c r="B10" s="15"/>
      <c r="C10" s="16" t="n">
        <v>25200</v>
      </c>
      <c r="D10" s="15"/>
      <c r="E10" s="15"/>
      <c r="F10" s="15" t="n">
        <v>0</v>
      </c>
      <c r="G10" s="15"/>
      <c r="H10" s="15"/>
      <c r="I10" s="15"/>
      <c r="J10" s="16" t="n">
        <v>49300</v>
      </c>
      <c r="K10" s="16" t="n">
        <v>170000</v>
      </c>
      <c r="L10" s="15"/>
      <c r="M10" s="16" t="n">
        <v>12480</v>
      </c>
      <c r="N10" s="16" t="n">
        <v>20800</v>
      </c>
      <c r="O10" s="15"/>
      <c r="P10" s="16" t="n">
        <v>1700</v>
      </c>
      <c r="Q10" s="15"/>
      <c r="R10" s="16" t="n">
        <v>2043</v>
      </c>
      <c r="S10" s="16" t="n">
        <v>20000</v>
      </c>
      <c r="T10" s="16" t="n">
        <v>10200</v>
      </c>
      <c r="U10" s="16"/>
      <c r="V10" s="16" t="n">
        <v>0</v>
      </c>
      <c r="W10" s="16" t="n">
        <v>250</v>
      </c>
      <c r="X10" s="16" t="n">
        <v>14201</v>
      </c>
      <c r="Y10" s="15"/>
      <c r="Z10" s="16" t="n">
        <v>340</v>
      </c>
      <c r="AA10" s="16" t="n">
        <v>210</v>
      </c>
      <c r="AB10" s="16" t="n">
        <v>3100</v>
      </c>
      <c r="AC10" s="16" t="n">
        <v>1840</v>
      </c>
      <c r="AD10" s="16" t="n">
        <v>1188</v>
      </c>
      <c r="AE10" s="16" t="n">
        <v>7500</v>
      </c>
      <c r="AF10" s="15" t="n">
        <v>6845</v>
      </c>
      <c r="AG10" s="16" t="n">
        <v>450</v>
      </c>
      <c r="AH10" s="16" t="n">
        <v>156</v>
      </c>
      <c r="AI10" s="16" t="n">
        <v>56000</v>
      </c>
      <c r="AJ10" s="16" t="n">
        <v>336</v>
      </c>
      <c r="AK10" s="16" t="n">
        <v>7200</v>
      </c>
      <c r="AL10" s="16" t="n">
        <v>0</v>
      </c>
      <c r="AM10" s="16" t="n">
        <v>29400</v>
      </c>
      <c r="AN10" s="16" t="n">
        <v>5500</v>
      </c>
      <c r="AO10" s="16" t="n">
        <v>300</v>
      </c>
      <c r="AP10" s="16" t="n">
        <v>190</v>
      </c>
      <c r="AQ10" s="16" t="n">
        <v>19500</v>
      </c>
      <c r="AR10" s="16"/>
      <c r="AS10" s="16" t="n">
        <v>1080</v>
      </c>
      <c r="AT10" s="16" t="n">
        <v>2500</v>
      </c>
      <c r="AU10" s="16" t="n">
        <v>14400</v>
      </c>
      <c r="AV10" s="16" t="n">
        <v>0</v>
      </c>
      <c r="AW10" s="15"/>
      <c r="AX10" s="18" t="n">
        <v>863</v>
      </c>
      <c r="AY10" s="16" t="n">
        <v>186</v>
      </c>
      <c r="AZ10" s="16" t="n">
        <v>720</v>
      </c>
      <c r="BA10" s="16" t="n">
        <v>60000</v>
      </c>
      <c r="BB10" s="16" t="n">
        <v>980</v>
      </c>
      <c r="BC10" s="16" t="n">
        <v>58</v>
      </c>
      <c r="BD10" s="16" t="n">
        <v>120</v>
      </c>
      <c r="BE10" s="16" t="n">
        <v>16200</v>
      </c>
      <c r="BF10" s="15" t="n">
        <v>31</v>
      </c>
      <c r="BG10" s="16" t="n">
        <v>520</v>
      </c>
      <c r="BH10" s="16" t="n">
        <v>450</v>
      </c>
      <c r="BI10" s="16" t="n">
        <v>195000</v>
      </c>
      <c r="BJ10" s="16" t="n">
        <v>0</v>
      </c>
      <c r="BK10" s="16" t="n">
        <v>52</v>
      </c>
      <c r="BL10" s="16" t="n">
        <v>342</v>
      </c>
      <c r="BM10" s="16" t="n">
        <v>93600</v>
      </c>
      <c r="BN10" s="15"/>
      <c r="BO10" s="16" t="n">
        <v>5600</v>
      </c>
      <c r="BP10" s="16" t="n">
        <v>86400</v>
      </c>
      <c r="BQ10" s="16" t="n">
        <v>2500</v>
      </c>
      <c r="BR10" s="15" t="n">
        <v>33131</v>
      </c>
      <c r="BS10" s="15"/>
      <c r="BT10" s="16" t="n">
        <v>1900</v>
      </c>
      <c r="BU10" s="16" t="n">
        <v>56400</v>
      </c>
      <c r="BV10" s="16" t="n">
        <v>26000</v>
      </c>
    </row>
    <row r="11" customFormat="false" ht="15" hidden="false" customHeight="false" outlineLevel="0" collapsed="false">
      <c r="A11" s="13" t="n">
        <v>2006</v>
      </c>
      <c r="B11" s="15"/>
      <c r="C11" s="16" t="n">
        <v>29580</v>
      </c>
      <c r="D11" s="15"/>
      <c r="E11" s="19"/>
      <c r="F11" s="16" t="n">
        <v>51</v>
      </c>
      <c r="G11" s="15" t="n">
        <v>6450</v>
      </c>
      <c r="H11" s="15"/>
      <c r="I11" s="15"/>
      <c r="J11" s="16" t="n">
        <v>63800</v>
      </c>
      <c r="K11" s="16"/>
      <c r="L11" s="15"/>
      <c r="M11" s="16" t="n">
        <v>22080</v>
      </c>
      <c r="N11" s="16" t="n">
        <v>26500</v>
      </c>
      <c r="O11" s="15"/>
      <c r="P11" s="16" t="n">
        <v>5400</v>
      </c>
      <c r="Q11" s="15"/>
      <c r="R11" s="16" t="n">
        <v>2666</v>
      </c>
      <c r="S11" s="16" t="n">
        <v>29400</v>
      </c>
      <c r="T11" s="16" t="n">
        <v>20000</v>
      </c>
      <c r="U11" s="16"/>
      <c r="V11" s="16" t="n">
        <v>200</v>
      </c>
      <c r="W11" s="16" t="n">
        <v>460</v>
      </c>
      <c r="X11" s="16" t="n">
        <v>39783</v>
      </c>
      <c r="Y11" s="15"/>
      <c r="Z11" s="16" t="n">
        <v>360</v>
      </c>
      <c r="AA11" s="16" t="n">
        <v>360</v>
      </c>
      <c r="AB11" s="16" t="n">
        <v>9000</v>
      </c>
      <c r="AC11" s="16" t="n">
        <v>4700</v>
      </c>
      <c r="AD11" s="16" t="n">
        <v>1566</v>
      </c>
      <c r="AE11" s="16" t="n">
        <v>16100</v>
      </c>
      <c r="AF11" s="15" t="n">
        <v>37368</v>
      </c>
      <c r="AG11" s="16" t="n">
        <v>960</v>
      </c>
      <c r="AH11" s="16" t="n">
        <v>172</v>
      </c>
      <c r="AI11" s="16" t="n">
        <v>130000</v>
      </c>
      <c r="AJ11" s="16" t="n">
        <v>461</v>
      </c>
      <c r="AK11" s="16" t="n">
        <v>15000</v>
      </c>
      <c r="AL11" s="16" t="n">
        <v>760</v>
      </c>
      <c r="AM11" s="16" t="n">
        <v>58200</v>
      </c>
      <c r="AN11" s="16" t="n">
        <v>7700</v>
      </c>
      <c r="AO11" s="16" t="n">
        <v>450</v>
      </c>
      <c r="AP11" s="16" t="n">
        <v>288</v>
      </c>
      <c r="AQ11" s="16" t="n">
        <v>25500</v>
      </c>
      <c r="AR11" s="20" t="n">
        <v>0.125</v>
      </c>
      <c r="AS11" s="16" t="n">
        <v>1200</v>
      </c>
      <c r="AT11" s="16" t="n">
        <v>5000</v>
      </c>
      <c r="AU11" s="16" t="n">
        <v>28800</v>
      </c>
      <c r="AV11" s="16" t="n">
        <v>470</v>
      </c>
      <c r="AW11" s="15"/>
      <c r="AX11" s="18" t="n">
        <v>917</v>
      </c>
      <c r="AY11" s="16" t="n">
        <v>364</v>
      </c>
      <c r="AZ11" s="16" t="n">
        <v>1400</v>
      </c>
      <c r="BA11" s="16" t="n">
        <v>120000</v>
      </c>
      <c r="BB11" s="16" t="n">
        <v>1400</v>
      </c>
      <c r="BC11" s="16" t="n">
        <v>204</v>
      </c>
      <c r="BD11" s="16" t="n">
        <v>240</v>
      </c>
      <c r="BE11" s="16" t="n">
        <v>28800</v>
      </c>
      <c r="BF11" s="15" t="n">
        <v>50</v>
      </c>
      <c r="BG11" s="16" t="n">
        <v>520</v>
      </c>
      <c r="BH11" s="16" t="n">
        <v>480</v>
      </c>
      <c r="BI11" s="16" t="n">
        <v>325000</v>
      </c>
      <c r="BJ11" s="16" t="n">
        <v>0</v>
      </c>
      <c r="BK11" s="16" t="n">
        <v>75</v>
      </c>
      <c r="BL11" s="16" t="n">
        <v>494</v>
      </c>
      <c r="BM11" s="16" t="n">
        <v>117300</v>
      </c>
      <c r="BN11" s="15"/>
      <c r="BO11" s="16" t="n">
        <v>7000</v>
      </c>
      <c r="BP11" s="16" t="n">
        <v>90000</v>
      </c>
      <c r="BQ11" s="16" t="n">
        <v>5000</v>
      </c>
      <c r="BR11" s="15" t="n">
        <v>38331</v>
      </c>
      <c r="BS11" s="15"/>
      <c r="BT11" s="16" t="n">
        <v>8000</v>
      </c>
      <c r="BU11" s="16" t="n">
        <v>85500</v>
      </c>
      <c r="BV11" s="16" t="n">
        <v>52000</v>
      </c>
    </row>
    <row r="12" customFormat="false" ht="15" hidden="false" customHeight="false" outlineLevel="0" collapsed="false">
      <c r="A12" s="13" t="n">
        <v>2007</v>
      </c>
      <c r="B12" s="15"/>
      <c r="C12" s="16" t="n">
        <v>31500</v>
      </c>
      <c r="D12" s="15"/>
      <c r="E12" s="19"/>
      <c r="F12" s="16" t="n">
        <v>59</v>
      </c>
      <c r="G12" s="15"/>
      <c r="H12" s="15"/>
      <c r="I12" s="15"/>
      <c r="J12" s="16" t="n">
        <v>78000</v>
      </c>
      <c r="K12" s="21"/>
      <c r="L12" s="15"/>
      <c r="M12" s="16" t="n">
        <v>27000</v>
      </c>
      <c r="N12" s="16" t="n">
        <v>43200</v>
      </c>
      <c r="O12" s="15"/>
      <c r="P12" s="16" t="n">
        <v>7200</v>
      </c>
      <c r="Q12" s="15"/>
      <c r="R12" s="16" t="n">
        <v>3258</v>
      </c>
      <c r="S12" s="16" t="n">
        <v>38400</v>
      </c>
      <c r="T12" s="16" t="n">
        <v>24500</v>
      </c>
      <c r="U12" s="16"/>
      <c r="V12" s="16" t="n">
        <v>230</v>
      </c>
      <c r="W12" s="16" t="n">
        <v>720</v>
      </c>
      <c r="X12" s="16" t="n">
        <v>67394</v>
      </c>
      <c r="Y12" s="15"/>
      <c r="Z12" s="16" t="n">
        <v>540</v>
      </c>
      <c r="AA12" s="16" t="n">
        <v>450</v>
      </c>
      <c r="AB12" s="16" t="n">
        <v>15000</v>
      </c>
      <c r="AC12" s="16" t="n">
        <v>4800</v>
      </c>
      <c r="AD12" s="16" t="n">
        <v>1860</v>
      </c>
      <c r="AE12" s="16" t="n">
        <v>22000</v>
      </c>
      <c r="AF12" s="15" t="n">
        <v>69016</v>
      </c>
      <c r="AG12" s="16" t="n">
        <v>1020</v>
      </c>
      <c r="AH12" s="16" t="n">
        <v>285</v>
      </c>
      <c r="AI12" s="16" t="n">
        <v>182000</v>
      </c>
      <c r="AJ12" s="16" t="n">
        <v>593</v>
      </c>
      <c r="AK12" s="16" t="n">
        <v>33800</v>
      </c>
      <c r="AL12" s="16" t="n">
        <v>1480</v>
      </c>
      <c r="AM12" s="16" t="n">
        <v>97000</v>
      </c>
      <c r="AN12" s="16" t="n">
        <v>8800</v>
      </c>
      <c r="AO12" s="16" t="n">
        <v>750</v>
      </c>
      <c r="AP12" s="16" t="n">
        <v>384</v>
      </c>
      <c r="AQ12" s="16" t="n">
        <v>33600</v>
      </c>
      <c r="AR12" s="20" t="n">
        <v>0.115</v>
      </c>
      <c r="AS12" s="16" t="n">
        <v>1470</v>
      </c>
      <c r="AT12" s="16" t="n">
        <v>12500</v>
      </c>
      <c r="AU12" s="16" t="n">
        <v>41400</v>
      </c>
      <c r="AV12" s="16" t="n">
        <v>1440</v>
      </c>
      <c r="AW12" s="15"/>
      <c r="AX12" s="18" t="n">
        <v>1010</v>
      </c>
      <c r="AY12" s="16" t="n">
        <v>540</v>
      </c>
      <c r="AZ12" s="16" t="n">
        <v>2010</v>
      </c>
      <c r="BA12" s="16" t="n">
        <v>120000</v>
      </c>
      <c r="BB12" s="16" t="n">
        <v>1950</v>
      </c>
      <c r="BC12" s="16" t="n">
        <v>328</v>
      </c>
      <c r="BD12" s="16" t="n">
        <v>520</v>
      </c>
      <c r="BE12" s="16" t="n">
        <v>39600</v>
      </c>
      <c r="BF12" s="15" t="n">
        <v>78</v>
      </c>
      <c r="BG12" s="16" t="n">
        <v>7650</v>
      </c>
      <c r="BH12" s="16" t="n">
        <v>1000</v>
      </c>
      <c r="BI12" s="16" t="n">
        <v>455000</v>
      </c>
      <c r="BJ12" s="16" t="n">
        <v>0</v>
      </c>
      <c r="BK12" s="16" t="n">
        <v>102</v>
      </c>
      <c r="BL12" s="16" t="n">
        <v>684</v>
      </c>
      <c r="BM12" s="16" t="n">
        <v>140000</v>
      </c>
      <c r="BN12" s="15"/>
      <c r="BO12" s="16" t="n">
        <v>9100</v>
      </c>
      <c r="BP12" s="16" t="n">
        <v>110000</v>
      </c>
      <c r="BQ12" s="16" t="n">
        <v>5000</v>
      </c>
      <c r="BR12" s="15" t="n">
        <v>42042</v>
      </c>
      <c r="BS12" s="15"/>
      <c r="BT12" s="16" t="n">
        <v>16800</v>
      </c>
      <c r="BU12" s="16" t="n">
        <v>163200</v>
      </c>
      <c r="BV12" s="16" t="n">
        <v>84000</v>
      </c>
    </row>
    <row r="13" customFormat="false" ht="15" hidden="false" customHeight="false" outlineLevel="0" collapsed="false">
      <c r="A13" s="13" t="n">
        <v>2008</v>
      </c>
      <c r="B13" s="15"/>
      <c r="C13" s="16" t="n">
        <v>36270</v>
      </c>
      <c r="D13" s="15"/>
      <c r="E13" s="19"/>
      <c r="F13" s="16" t="n">
        <v>268</v>
      </c>
      <c r="G13" s="15"/>
      <c r="H13" s="15"/>
      <c r="I13" s="15"/>
      <c r="J13" s="16" t="n">
        <v>102300</v>
      </c>
      <c r="K13" s="16"/>
      <c r="L13" s="15"/>
      <c r="M13" s="16" t="n">
        <v>32560</v>
      </c>
      <c r="N13" s="16" t="n">
        <v>55000</v>
      </c>
      <c r="O13" s="15"/>
      <c r="P13" s="16" t="n">
        <v>16200</v>
      </c>
      <c r="Q13" s="15"/>
      <c r="R13" s="16" t="n">
        <v>6992</v>
      </c>
      <c r="S13" s="16" t="n">
        <v>56400</v>
      </c>
      <c r="T13" s="16" t="n">
        <v>24000</v>
      </c>
      <c r="U13" s="16"/>
      <c r="V13" s="16" t="n">
        <v>318</v>
      </c>
      <c r="W13" s="16" t="n">
        <v>1000</v>
      </c>
      <c r="X13" s="16" t="n">
        <v>101337</v>
      </c>
      <c r="Y13" s="15"/>
      <c r="Z13" s="16" t="n">
        <v>950</v>
      </c>
      <c r="AA13" s="16" t="n">
        <v>650</v>
      </c>
      <c r="AB13" s="16" t="n">
        <v>23200</v>
      </c>
      <c r="AC13" s="16" t="n">
        <v>8820</v>
      </c>
      <c r="AD13" s="16" t="n">
        <v>2394</v>
      </c>
      <c r="AE13" s="16" t="n">
        <v>31500</v>
      </c>
      <c r="AF13" s="15" t="n">
        <v>140654</v>
      </c>
      <c r="AG13" s="16" t="n">
        <v>1100</v>
      </c>
      <c r="AH13" s="16" t="n">
        <v>440</v>
      </c>
      <c r="AI13" s="16" t="n">
        <v>247000</v>
      </c>
      <c r="AJ13" s="16" t="n">
        <v>856</v>
      </c>
      <c r="AK13" s="16" t="n">
        <v>45900</v>
      </c>
      <c r="AL13" s="16" t="n">
        <v>1800</v>
      </c>
      <c r="AM13" s="16" t="n">
        <v>134400</v>
      </c>
      <c r="AN13" s="16" t="n">
        <v>9900</v>
      </c>
      <c r="AO13" s="16" t="n">
        <v>1050</v>
      </c>
      <c r="AP13" s="16" t="n">
        <v>475</v>
      </c>
      <c r="AQ13" s="16" t="n">
        <v>40000</v>
      </c>
      <c r="AR13" s="20" t="n">
        <v>0.114</v>
      </c>
      <c r="AS13" s="16" t="n">
        <v>1890</v>
      </c>
      <c r="AT13" s="16" t="n">
        <v>16800</v>
      </c>
      <c r="AU13" s="16" t="n">
        <v>58900</v>
      </c>
      <c r="AV13" s="16" t="n">
        <v>2350</v>
      </c>
      <c r="AW13" s="15"/>
      <c r="AX13" s="18" t="n">
        <v>1090</v>
      </c>
      <c r="AY13" s="16" t="n">
        <v>801</v>
      </c>
      <c r="AZ13" s="16" t="n">
        <v>2560</v>
      </c>
      <c r="BA13" s="16" t="n">
        <v>217000</v>
      </c>
      <c r="BB13" s="16" t="n">
        <v>2550</v>
      </c>
      <c r="BC13" s="16" t="n">
        <v>600</v>
      </c>
      <c r="BD13" s="16" t="n">
        <v>700</v>
      </c>
      <c r="BE13" s="16" t="n">
        <v>55800</v>
      </c>
      <c r="BF13" s="15" t="n">
        <v>102</v>
      </c>
      <c r="BG13" s="16" t="n">
        <v>9180</v>
      </c>
      <c r="BH13" s="16" t="n">
        <v>2040</v>
      </c>
      <c r="BI13" s="16" t="n">
        <v>512000</v>
      </c>
      <c r="BJ13" s="16" t="n">
        <v>0</v>
      </c>
      <c r="BK13" s="16" t="n">
        <v>140</v>
      </c>
      <c r="BL13" s="16" t="n">
        <v>874</v>
      </c>
      <c r="BM13" s="16" t="n">
        <v>165000</v>
      </c>
      <c r="BN13" s="15" t="n">
        <v>29</v>
      </c>
      <c r="BO13" s="16" t="n">
        <v>11700</v>
      </c>
      <c r="BP13" s="16" t="n">
        <v>165000</v>
      </c>
      <c r="BQ13" s="16" t="n">
        <v>9600</v>
      </c>
      <c r="BR13" s="15" t="n">
        <v>48065</v>
      </c>
      <c r="BS13" s="15"/>
      <c r="BT13" s="16" t="n">
        <v>28600</v>
      </c>
      <c r="BU13" s="16" t="n">
        <v>227700</v>
      </c>
      <c r="BV13" s="16" t="n">
        <v>132000</v>
      </c>
    </row>
    <row r="14" customFormat="false" ht="15" hidden="false" customHeight="false" outlineLevel="0" collapsed="false">
      <c r="A14" s="13" t="n">
        <v>2009</v>
      </c>
      <c r="B14" s="15"/>
      <c r="C14" s="16" t="n">
        <v>36480</v>
      </c>
      <c r="D14" s="22"/>
      <c r="E14" s="19"/>
      <c r="F14" s="16" t="n">
        <v>370</v>
      </c>
      <c r="G14" s="15" t="n">
        <v>8690</v>
      </c>
      <c r="H14" s="15"/>
      <c r="I14" s="15"/>
      <c r="J14" s="16" t="n">
        <v>120900</v>
      </c>
      <c r="K14" s="16" t="n">
        <v>185000</v>
      </c>
      <c r="L14" s="15"/>
      <c r="M14" s="16" t="n">
        <v>37840</v>
      </c>
      <c r="N14" s="16" t="n">
        <v>74100</v>
      </c>
      <c r="O14" s="15"/>
      <c r="P14" s="16" t="n">
        <v>21600</v>
      </c>
      <c r="Q14" s="15"/>
      <c r="R14" s="16" t="n">
        <v>8646</v>
      </c>
      <c r="S14" s="16" t="n">
        <v>75200</v>
      </c>
      <c r="T14" s="16" t="n">
        <v>36800</v>
      </c>
      <c r="U14" s="16" t="n">
        <v>3000</v>
      </c>
      <c r="V14" s="16" t="n">
        <v>420</v>
      </c>
      <c r="W14" s="16" t="n">
        <v>1321</v>
      </c>
      <c r="X14" s="23" t="n">
        <v>133051</v>
      </c>
      <c r="Y14" s="15"/>
      <c r="Z14" s="16" t="n">
        <v>1140</v>
      </c>
      <c r="AA14" s="23" t="n">
        <v>896</v>
      </c>
      <c r="AB14" s="16" t="n">
        <v>34800</v>
      </c>
      <c r="AC14" s="16" t="n">
        <v>15000</v>
      </c>
      <c r="AD14" s="16" t="n">
        <v>2706</v>
      </c>
      <c r="AE14" s="23" t="n">
        <v>38000</v>
      </c>
      <c r="AF14" s="15" t="n">
        <v>223223</v>
      </c>
      <c r="AG14" s="16" t="n">
        <v>1710</v>
      </c>
      <c r="AH14" s="16" t="n">
        <v>840</v>
      </c>
      <c r="AI14" s="16" t="n">
        <v>351000</v>
      </c>
      <c r="AJ14" s="16" t="n">
        <v>1007</v>
      </c>
      <c r="AK14" s="16" t="n">
        <v>62100</v>
      </c>
      <c r="AL14" s="16" t="n">
        <v>2800</v>
      </c>
      <c r="AM14" s="16" t="n">
        <v>182400</v>
      </c>
      <c r="AN14" s="16" t="n">
        <v>12100</v>
      </c>
      <c r="AO14" s="16" t="n">
        <v>1350</v>
      </c>
      <c r="AP14" s="16" t="n">
        <v>564</v>
      </c>
      <c r="AQ14" s="16" t="n">
        <v>49300</v>
      </c>
      <c r="AR14" s="16" t="s">
        <v>139</v>
      </c>
      <c r="AS14" s="16" t="n">
        <v>2200</v>
      </c>
      <c r="AT14" s="16" t="n">
        <v>21600</v>
      </c>
      <c r="AU14" s="16" t="n">
        <v>66500</v>
      </c>
      <c r="AV14" s="16" t="n">
        <v>3760</v>
      </c>
      <c r="AW14" s="15"/>
      <c r="AX14" s="18" t="n">
        <v>1204</v>
      </c>
      <c r="AY14" s="16" t="n">
        <v>1068</v>
      </c>
      <c r="AZ14" s="16" t="n">
        <v>6100</v>
      </c>
      <c r="BA14" s="16" t="n">
        <v>279000</v>
      </c>
      <c r="BB14" s="23" t="n">
        <v>3360</v>
      </c>
      <c r="BC14" s="16" t="n">
        <v>910</v>
      </c>
      <c r="BD14" s="16" t="n">
        <v>1050</v>
      </c>
      <c r="BE14" s="16" t="n">
        <v>72200</v>
      </c>
      <c r="BF14" s="15" t="n">
        <v>124</v>
      </c>
      <c r="BG14" s="16" t="n">
        <v>11220</v>
      </c>
      <c r="BH14" s="16" t="n">
        <v>3640</v>
      </c>
      <c r="BI14" s="16" t="n">
        <v>640000</v>
      </c>
      <c r="BJ14" s="16" t="n">
        <v>1500</v>
      </c>
      <c r="BK14" s="16" t="n">
        <v>198</v>
      </c>
      <c r="BL14" s="16" t="n">
        <v>988</v>
      </c>
      <c r="BM14" s="16" t="n">
        <v>181300</v>
      </c>
      <c r="BN14" s="15" t="n">
        <v>31</v>
      </c>
      <c r="BO14" s="16" t="n">
        <v>16800</v>
      </c>
      <c r="BP14" s="16" t="n">
        <v>198000</v>
      </c>
      <c r="BQ14" s="16" t="n">
        <v>11500</v>
      </c>
      <c r="BR14" s="15" t="n">
        <v>53108</v>
      </c>
      <c r="BS14" s="15"/>
      <c r="BT14" s="16" t="n">
        <v>41400</v>
      </c>
      <c r="BU14" s="16" t="n">
        <v>280000</v>
      </c>
      <c r="BV14" s="16" t="n">
        <v>192000</v>
      </c>
    </row>
    <row r="15" customFormat="false" ht="15" hidden="false" customHeight="false" outlineLevel="0" collapsed="false">
      <c r="A15" s="13" t="n">
        <v>2010</v>
      </c>
      <c r="B15" s="16" t="n">
        <v>60</v>
      </c>
      <c r="C15" s="16" t="n">
        <v>46015</v>
      </c>
      <c r="D15" s="16" t="n">
        <v>10740.7</v>
      </c>
      <c r="E15" s="16" t="n">
        <v>1362</v>
      </c>
      <c r="F15" s="16" t="n">
        <v>454</v>
      </c>
      <c r="G15" s="15"/>
      <c r="H15" s="16" t="n">
        <v>20110</v>
      </c>
      <c r="I15" s="15" t="n">
        <v>56</v>
      </c>
      <c r="J15" s="16" t="n">
        <v>159350</v>
      </c>
      <c r="K15" s="16" t="n">
        <v>239159</v>
      </c>
      <c r="L15" s="16" t="n">
        <v>22735</v>
      </c>
      <c r="M15" s="16" t="n">
        <v>42799</v>
      </c>
      <c r="N15" s="16" t="n">
        <v>89455</v>
      </c>
      <c r="O15" s="15"/>
      <c r="P15" s="16" t="n">
        <v>31919</v>
      </c>
      <c r="Q15" s="16" t="n">
        <v>86100</v>
      </c>
      <c r="R15" s="16" t="n">
        <v>14870</v>
      </c>
      <c r="S15" s="16" t="n">
        <v>80998</v>
      </c>
      <c r="T15" s="16" t="n">
        <v>43790</v>
      </c>
      <c r="U15" s="15"/>
      <c r="V15" s="16" t="n">
        <v>525</v>
      </c>
      <c r="W15" s="16" t="n">
        <v>1793</v>
      </c>
      <c r="X15" s="23" t="n">
        <v>222360</v>
      </c>
      <c r="Y15" s="15" t="n">
        <v>93090</v>
      </c>
      <c r="Z15" s="16" t="n">
        <v>2030</v>
      </c>
      <c r="AA15" s="23" t="n">
        <v>830</v>
      </c>
      <c r="AB15" s="16" t="n">
        <v>40575</v>
      </c>
      <c r="AC15" s="16" t="n">
        <v>19883</v>
      </c>
      <c r="AD15" s="16" t="n">
        <v>3059</v>
      </c>
      <c r="AE15" s="23" t="n">
        <v>29194</v>
      </c>
      <c r="AF15" s="16" t="n">
        <v>409382</v>
      </c>
      <c r="AG15" s="16" t="n">
        <v>1902</v>
      </c>
      <c r="AH15" s="16" t="n">
        <v>1199</v>
      </c>
      <c r="AI15" s="16" t="n">
        <v>432622</v>
      </c>
      <c r="AJ15" s="16" t="n">
        <v>1807</v>
      </c>
      <c r="AK15" s="16" t="n">
        <v>79375</v>
      </c>
      <c r="AL15" s="16" t="n">
        <v>4412</v>
      </c>
      <c r="AM15" s="16" t="n">
        <v>250956</v>
      </c>
      <c r="AN15" s="16" t="n">
        <v>13147</v>
      </c>
      <c r="AO15" s="16" t="n">
        <v>1619</v>
      </c>
      <c r="AP15" s="16" t="n">
        <v>654</v>
      </c>
      <c r="AQ15" s="16" t="n">
        <v>64987</v>
      </c>
      <c r="AR15" s="16" t="s">
        <v>140</v>
      </c>
      <c r="AS15" s="16" t="n">
        <v>3081</v>
      </c>
      <c r="AT15" s="16" t="n">
        <v>29825</v>
      </c>
      <c r="AU15" s="16" t="n">
        <v>85957</v>
      </c>
      <c r="AV15" s="16" t="n">
        <v>4867</v>
      </c>
      <c r="AW15" s="15"/>
      <c r="AX15" s="18" t="n">
        <v>1348</v>
      </c>
      <c r="AY15" s="16" t="n">
        <v>1376</v>
      </c>
      <c r="AZ15" s="16" t="n">
        <v>7296</v>
      </c>
      <c r="BA15" s="16" t="n">
        <v>392804</v>
      </c>
      <c r="BB15" s="23" t="n">
        <v>2955</v>
      </c>
      <c r="BC15" s="16" t="n">
        <v>1294</v>
      </c>
      <c r="BD15" s="16" t="n">
        <v>1237</v>
      </c>
      <c r="BE15" s="16" t="n">
        <v>89283</v>
      </c>
      <c r="BF15" s="15"/>
      <c r="BG15" s="16" t="n">
        <v>12617</v>
      </c>
      <c r="BH15" s="16" t="n">
        <v>5978</v>
      </c>
      <c r="BI15" s="16" t="n">
        <v>1237630</v>
      </c>
      <c r="BJ15" s="16" t="n">
        <v>2247</v>
      </c>
      <c r="BK15" s="16" t="n">
        <v>265</v>
      </c>
      <c r="BL15" s="16" t="n">
        <v>1121</v>
      </c>
      <c r="BM15" s="16" t="n">
        <v>207707</v>
      </c>
      <c r="BN15" s="15" t="n">
        <v>39</v>
      </c>
      <c r="BO15" s="16" t="n">
        <v>24635</v>
      </c>
      <c r="BP15" s="16" t="n">
        <v>260866</v>
      </c>
      <c r="BQ15" s="16" t="n">
        <v>22697</v>
      </c>
      <c r="BR15" s="16" t="n">
        <v>58414</v>
      </c>
      <c r="BS15" s="15" t="n">
        <v>426590</v>
      </c>
      <c r="BT15" s="16" t="n">
        <v>50042</v>
      </c>
      <c r="BU15" s="16" t="n">
        <v>344426</v>
      </c>
      <c r="BV15" s="16" t="n">
        <v>363261</v>
      </c>
    </row>
    <row r="16" customFormat="false" ht="15" hidden="false" customHeight="false" outlineLevel="0" collapsed="false">
      <c r="A16" s="13" t="n">
        <v>2011</v>
      </c>
      <c r="B16" s="16" t="n">
        <v>114</v>
      </c>
      <c r="C16" s="16" t="n">
        <v>50480</v>
      </c>
      <c r="D16" s="16" t="n">
        <v>11777</v>
      </c>
      <c r="E16" s="16" t="n">
        <v>1349</v>
      </c>
      <c r="F16" s="16" t="n">
        <v>664</v>
      </c>
      <c r="G16" s="24" t="n">
        <v>0.833</v>
      </c>
      <c r="H16" s="16" t="n">
        <v>25535</v>
      </c>
      <c r="I16" s="15" t="n">
        <v>64</v>
      </c>
      <c r="J16" s="16" t="n">
        <v>177776</v>
      </c>
      <c r="K16" s="16" t="n">
        <v>265213</v>
      </c>
      <c r="L16" s="16" t="n">
        <v>26402</v>
      </c>
      <c r="M16" s="16" t="n">
        <v>46473</v>
      </c>
      <c r="N16" s="16" t="n">
        <v>105653</v>
      </c>
      <c r="O16" s="15"/>
      <c r="P16" s="16" t="n">
        <v>32832</v>
      </c>
      <c r="Q16" s="16" t="n">
        <v>126400</v>
      </c>
      <c r="R16" s="16" t="n">
        <v>16866</v>
      </c>
      <c r="S16" s="16" t="n">
        <v>98464</v>
      </c>
      <c r="T16" s="16" t="n">
        <v>53393</v>
      </c>
      <c r="U16" s="15"/>
      <c r="V16" s="16" t="n">
        <v>760</v>
      </c>
      <c r="W16" s="16" t="n">
        <v>2156</v>
      </c>
      <c r="X16" s="16" t="n">
        <v>265174</v>
      </c>
      <c r="Y16" s="15"/>
      <c r="Z16" s="16" t="n">
        <v>3121</v>
      </c>
      <c r="AA16" s="16" t="n">
        <v>1122</v>
      </c>
      <c r="AB16" s="16" t="n">
        <v>59007</v>
      </c>
      <c r="AC16" s="16" t="n">
        <v>23048</v>
      </c>
      <c r="AD16" s="16" t="n">
        <v>3432</v>
      </c>
      <c r="AE16" s="16" t="n">
        <v>35403</v>
      </c>
      <c r="AF16" s="16" t="n">
        <v>513092</v>
      </c>
      <c r="AG16" s="16" t="n">
        <v>2752</v>
      </c>
      <c r="AH16" s="16" t="n">
        <v>1681</v>
      </c>
      <c r="AI16" s="16" t="n">
        <v>538985</v>
      </c>
      <c r="AJ16" s="16" t="n">
        <v>1988</v>
      </c>
      <c r="AK16" s="16" t="n">
        <v>82650</v>
      </c>
      <c r="AL16" s="16" t="n">
        <v>5839</v>
      </c>
      <c r="AM16" s="16" t="n">
        <v>323571</v>
      </c>
      <c r="AN16" s="16" t="n">
        <v>14489</v>
      </c>
      <c r="AO16" s="16" t="n">
        <v>1738</v>
      </c>
      <c r="AP16" s="16" t="n">
        <v>1359</v>
      </c>
      <c r="AQ16" s="16" t="n">
        <v>71839</v>
      </c>
      <c r="AR16" s="16" t="n">
        <v>38</v>
      </c>
      <c r="AS16" s="16" t="n">
        <v>3923</v>
      </c>
      <c r="AT16" s="16" t="n">
        <v>40128</v>
      </c>
      <c r="AU16" s="16" t="n">
        <v>104531</v>
      </c>
      <c r="AV16" s="16" t="n">
        <v>6484</v>
      </c>
      <c r="AW16" s="16"/>
      <c r="AX16" s="18" t="n">
        <v>1518</v>
      </c>
      <c r="AY16" s="16" t="n">
        <v>1781</v>
      </c>
      <c r="AZ16" s="16" t="n">
        <v>9420</v>
      </c>
      <c r="BA16" s="16" t="n">
        <v>463027</v>
      </c>
      <c r="BB16" s="16" t="n">
        <v>3119</v>
      </c>
      <c r="BC16" s="16" t="n">
        <v>2113</v>
      </c>
      <c r="BD16" s="16" t="n">
        <v>1666</v>
      </c>
      <c r="BE16" s="16" t="n">
        <v>99820</v>
      </c>
      <c r="BF16" s="15"/>
      <c r="BG16" s="16" t="n">
        <v>13617</v>
      </c>
      <c r="BH16" s="16" t="n">
        <v>8115</v>
      </c>
      <c r="BI16" s="16" t="n">
        <v>1715530</v>
      </c>
      <c r="BJ16" s="16" t="n">
        <v>3650</v>
      </c>
      <c r="BK16" s="16" t="n">
        <v>311</v>
      </c>
      <c r="BL16" s="16" t="n">
        <v>1295</v>
      </c>
      <c r="BM16" s="16" t="n">
        <v>224721</v>
      </c>
      <c r="BN16" s="15" t="n">
        <v>60</v>
      </c>
      <c r="BO16" s="16" t="n">
        <v>29172</v>
      </c>
      <c r="BP16" s="16" t="n">
        <v>313117</v>
      </c>
      <c r="BQ16" s="16" t="n">
        <v>27542</v>
      </c>
      <c r="BR16" s="16" t="n">
        <v>63466</v>
      </c>
      <c r="BS16" s="15" t="n">
        <v>441661</v>
      </c>
      <c r="BT16" s="16" t="n">
        <v>61443</v>
      </c>
      <c r="BU16" s="16" t="n">
        <v>415685</v>
      </c>
      <c r="BV16" s="16" t="n">
        <v>484656</v>
      </c>
    </row>
    <row r="17" customFormat="false" ht="15" hidden="false" customHeight="false" outlineLevel="0" collapsed="false">
      <c r="A17" s="13" t="n">
        <v>2012</v>
      </c>
      <c r="B17" s="16" t="n">
        <v>161</v>
      </c>
      <c r="C17" s="16" t="n">
        <v>55309</v>
      </c>
      <c r="D17" s="16" t="n">
        <v>13013</v>
      </c>
      <c r="E17" s="16" t="n">
        <v>1658</v>
      </c>
      <c r="F17" s="16" t="n">
        <v>831</v>
      </c>
      <c r="G17" s="15"/>
      <c r="H17" s="16" t="n">
        <v>27889</v>
      </c>
      <c r="I17" s="15"/>
      <c r="J17" s="16" t="n">
        <v>205036</v>
      </c>
      <c r="K17" s="16" t="n">
        <v>297138</v>
      </c>
      <c r="L17" s="16" t="n">
        <v>29121</v>
      </c>
      <c r="M17" s="16" t="n">
        <v>48913</v>
      </c>
      <c r="N17" s="16" t="n">
        <v>122783</v>
      </c>
      <c r="O17" s="15"/>
      <c r="P17" s="16" t="n">
        <v>36526</v>
      </c>
      <c r="Q17" s="16" t="n">
        <v>151519</v>
      </c>
      <c r="R17" s="16" t="n">
        <v>17236</v>
      </c>
      <c r="S17" s="16" t="n">
        <v>109926</v>
      </c>
      <c r="T17" s="16" t="n">
        <v>66305</v>
      </c>
      <c r="U17" s="15"/>
      <c r="V17" s="16" t="n">
        <v>996</v>
      </c>
      <c r="W17" s="16" t="n">
        <v>2511</v>
      </c>
      <c r="X17" s="16" t="n">
        <v>288137</v>
      </c>
      <c r="Y17" s="15"/>
      <c r="Z17" s="16" t="n">
        <v>3842</v>
      </c>
      <c r="AA17" s="16" t="n">
        <v>1679</v>
      </c>
      <c r="AB17" s="16" t="n">
        <v>69870</v>
      </c>
      <c r="AC17" s="16" t="n">
        <v>27685</v>
      </c>
      <c r="AD17" s="16" t="n">
        <v>3717</v>
      </c>
      <c r="AE17" s="16" t="n">
        <v>43663</v>
      </c>
      <c r="AF17" s="16" t="n">
        <v>628205</v>
      </c>
      <c r="AG17" s="16" t="n">
        <v>3558</v>
      </c>
      <c r="AH17" s="16" t="n">
        <v>2462</v>
      </c>
      <c r="AI17" s="16" t="n">
        <v>603997</v>
      </c>
      <c r="AJ17" s="16" t="n">
        <v>2375</v>
      </c>
      <c r="AK17" s="16" t="n">
        <v>91783</v>
      </c>
      <c r="AL17" s="16" t="n">
        <v>5478</v>
      </c>
      <c r="AM17" s="16" t="n">
        <v>404905</v>
      </c>
      <c r="AN17" s="16" t="n">
        <v>15084</v>
      </c>
      <c r="AO17" s="16" t="n">
        <v>1830</v>
      </c>
      <c r="AP17" s="16" t="n">
        <v>1537</v>
      </c>
      <c r="AQ17" s="16" t="n">
        <v>84095</v>
      </c>
      <c r="AR17" s="16" t="n">
        <v>53</v>
      </c>
      <c r="AS17" s="16" t="n">
        <v>5106</v>
      </c>
      <c r="AT17" s="16" t="n">
        <v>53709</v>
      </c>
      <c r="AU17" s="16" t="n">
        <v>116687</v>
      </c>
      <c r="AV17" s="16" t="n">
        <v>7721</v>
      </c>
      <c r="AW17" s="16"/>
      <c r="AX17" s="18" t="n">
        <v>1616</v>
      </c>
      <c r="AY17" s="16" t="n">
        <v>2190</v>
      </c>
      <c r="AZ17" s="16" t="n">
        <v>11182</v>
      </c>
      <c r="BA17" s="16" t="n">
        <v>522405</v>
      </c>
      <c r="BB17" s="16" t="n">
        <v>3578</v>
      </c>
      <c r="BC17" s="16" t="n">
        <v>3525</v>
      </c>
      <c r="BD17" s="16" t="n">
        <v>2075</v>
      </c>
      <c r="BE17" s="16" t="n">
        <v>116031</v>
      </c>
      <c r="BF17" s="15"/>
      <c r="BG17" s="16" t="n">
        <v>12759</v>
      </c>
      <c r="BH17" s="16" t="n">
        <v>8259</v>
      </c>
      <c r="BI17" s="16" t="n">
        <v>2187840</v>
      </c>
      <c r="BJ17" s="16" t="n">
        <v>4540</v>
      </c>
      <c r="BK17" s="16" t="n">
        <v>387</v>
      </c>
      <c r="BL17" s="16" t="n">
        <v>1401</v>
      </c>
      <c r="BM17" s="16" t="n">
        <v>238731</v>
      </c>
      <c r="BN17" s="15"/>
      <c r="BO17" s="16" t="n">
        <v>30334</v>
      </c>
      <c r="BP17" s="16" t="n">
        <v>438542</v>
      </c>
      <c r="BQ17" s="16" t="n">
        <v>41449</v>
      </c>
      <c r="BR17" s="16" t="n">
        <v>68367</v>
      </c>
      <c r="BS17" s="15" t="n">
        <v>441422</v>
      </c>
      <c r="BT17" s="16" t="n">
        <v>73070</v>
      </c>
      <c r="BU17" s="16" t="n">
        <v>480925</v>
      </c>
      <c r="BV17" s="16" t="n">
        <v>565675</v>
      </c>
    </row>
    <row r="18" customFormat="false" ht="15" hidden="false" customHeight="false" outlineLevel="0" collapsed="false">
      <c r="A18" s="13" t="n">
        <v>2013</v>
      </c>
      <c r="B18" s="16" t="n">
        <v>214</v>
      </c>
      <c r="C18" s="16" t="n">
        <v>602778</v>
      </c>
      <c r="D18" s="16" t="n">
        <v>16150</v>
      </c>
      <c r="E18" s="16" t="n">
        <v>1990</v>
      </c>
      <c r="F18" s="16" t="n">
        <v>1083</v>
      </c>
      <c r="G18" s="15"/>
      <c r="H18" s="16" t="n">
        <v>24811</v>
      </c>
      <c r="I18" s="15" t="n">
        <v>149</v>
      </c>
      <c r="J18" s="16" t="n">
        <v>223506</v>
      </c>
      <c r="K18" s="16" t="n">
        <v>307020</v>
      </c>
      <c r="L18" s="16" t="n">
        <v>32801</v>
      </c>
      <c r="M18" s="16" t="n">
        <v>50659</v>
      </c>
      <c r="N18" s="16" t="n">
        <v>131594</v>
      </c>
      <c r="O18" s="15"/>
      <c r="P18" s="16" t="n">
        <v>39926</v>
      </c>
      <c r="Q18" s="16" t="n">
        <v>227489</v>
      </c>
      <c r="R18" s="16" t="n">
        <v>19528</v>
      </c>
      <c r="S18" s="16" t="n">
        <v>122981</v>
      </c>
      <c r="T18" s="16" t="n">
        <v>79560</v>
      </c>
      <c r="U18" s="15"/>
      <c r="V18" s="16" t="n">
        <v>1171</v>
      </c>
      <c r="W18" s="16" t="n">
        <v>2691</v>
      </c>
      <c r="X18" s="16" t="n">
        <v>317478</v>
      </c>
      <c r="Y18" s="15"/>
      <c r="Z18" s="16" t="n">
        <v>3997</v>
      </c>
      <c r="AA18" s="16" t="n">
        <v>2092</v>
      </c>
      <c r="AB18" s="16" t="n">
        <v>75762</v>
      </c>
      <c r="AC18" s="16" t="n">
        <v>27792</v>
      </c>
      <c r="AD18" s="16" t="n">
        <v>4054</v>
      </c>
      <c r="AE18" s="16" t="n">
        <v>53755</v>
      </c>
      <c r="AF18" s="16" t="n">
        <v>770321</v>
      </c>
      <c r="AG18" s="16" t="n">
        <v>4470</v>
      </c>
      <c r="AH18" s="16" t="n">
        <v>3733</v>
      </c>
      <c r="AI18" s="16" t="n">
        <v>656369</v>
      </c>
      <c r="AJ18" s="16" t="n">
        <v>2787</v>
      </c>
      <c r="AK18" s="16" t="n">
        <v>101593</v>
      </c>
      <c r="AL18" s="16" t="n">
        <v>6429</v>
      </c>
      <c r="AM18" s="16" t="n">
        <v>467181</v>
      </c>
      <c r="AN18" s="16" t="n">
        <v>17369</v>
      </c>
      <c r="AO18" s="16" t="n">
        <v>2143</v>
      </c>
      <c r="AP18" s="16" t="n">
        <v>1830</v>
      </c>
      <c r="AQ18" s="16" t="n">
        <v>89413</v>
      </c>
      <c r="AR18" s="16" t="n">
        <v>94</v>
      </c>
      <c r="AS18" s="16" t="n">
        <v>6282</v>
      </c>
      <c r="AT18" s="16" t="n">
        <v>67643</v>
      </c>
      <c r="AU18" s="16" t="n">
        <v>126779</v>
      </c>
      <c r="AV18" s="16" t="n">
        <v>8861</v>
      </c>
      <c r="AW18" s="21"/>
      <c r="AX18" s="18" t="n">
        <v>1737</v>
      </c>
      <c r="AY18" s="16" t="n">
        <v>2458</v>
      </c>
      <c r="AZ18" s="16" t="n">
        <v>12071</v>
      </c>
      <c r="BA18" s="16" t="n">
        <v>640932</v>
      </c>
      <c r="BB18" s="16" t="n">
        <v>4227</v>
      </c>
      <c r="BC18" s="16" t="n">
        <v>5564</v>
      </c>
      <c r="BD18" s="16" t="n">
        <v>2493</v>
      </c>
      <c r="BE18" s="16" t="n">
        <v>129821</v>
      </c>
      <c r="BF18" s="15"/>
      <c r="BG18" s="16" t="n">
        <v>14361</v>
      </c>
      <c r="BH18" s="16" t="n">
        <v>9065</v>
      </c>
      <c r="BI18" s="16" t="n">
        <v>2658880</v>
      </c>
      <c r="BJ18" s="16" t="n">
        <v>7185</v>
      </c>
      <c r="BK18" s="16" t="n">
        <v>516</v>
      </c>
      <c r="BL18" s="16" t="n">
        <v>1415</v>
      </c>
      <c r="BM18" s="16" t="n">
        <v>255125</v>
      </c>
      <c r="BN18" s="15"/>
      <c r="BO18" s="16" t="n">
        <v>34489</v>
      </c>
      <c r="BP18" s="16" t="n">
        <v>595175</v>
      </c>
      <c r="BQ18" s="16" t="n">
        <v>55783</v>
      </c>
      <c r="BR18" s="16" t="n">
        <v>73292</v>
      </c>
      <c r="BS18" s="15"/>
      <c r="BT18" s="16" t="n">
        <v>82945</v>
      </c>
      <c r="BU18" s="16" t="n">
        <v>580118</v>
      </c>
      <c r="BV18" s="16" t="n">
        <v>665199</v>
      </c>
    </row>
    <row r="19" customFormat="false" ht="15" hidden="false" customHeight="false" outlineLevel="0" collapsed="false">
      <c r="A19" s="13" t="n">
        <v>2014</v>
      </c>
      <c r="B19" s="16" t="n">
        <v>281</v>
      </c>
      <c r="C19" s="16" t="n">
        <v>65119</v>
      </c>
      <c r="D19" s="16" t="n">
        <v>17499</v>
      </c>
      <c r="E19" s="16" t="n">
        <v>2361</v>
      </c>
      <c r="F19" s="16" t="n">
        <v>1287</v>
      </c>
      <c r="G19" s="15"/>
      <c r="H19" s="16" t="n">
        <v>28850</v>
      </c>
      <c r="I19" s="15" t="n">
        <v>167</v>
      </c>
      <c r="J19" s="16" t="n">
        <v>244063</v>
      </c>
      <c r="K19" s="16" t="n">
        <v>394349</v>
      </c>
      <c r="L19" s="16" t="n">
        <v>36888</v>
      </c>
      <c r="M19" s="16" t="n">
        <v>52904</v>
      </c>
      <c r="N19" s="16" t="n">
        <v>145038</v>
      </c>
      <c r="O19" s="15"/>
      <c r="P19" s="16" t="n">
        <v>48765</v>
      </c>
      <c r="Q19" s="16" t="n">
        <v>295358</v>
      </c>
      <c r="R19" s="16" t="n">
        <v>13717</v>
      </c>
      <c r="S19" s="16" t="n">
        <v>127330</v>
      </c>
      <c r="T19" s="16" t="n">
        <v>101324</v>
      </c>
      <c r="U19" s="15"/>
      <c r="V19" s="16" t="n">
        <v>1715</v>
      </c>
      <c r="W19" s="15"/>
      <c r="X19" s="16" t="n">
        <v>362041</v>
      </c>
      <c r="Y19" s="15"/>
      <c r="Z19" s="16" t="n">
        <v>4586</v>
      </c>
      <c r="AA19" s="16" t="n">
        <v>2541</v>
      </c>
      <c r="AB19" s="16" t="n">
        <v>83712</v>
      </c>
      <c r="AC19" s="16" t="n">
        <v>32040</v>
      </c>
      <c r="AD19" s="16" t="n">
        <v>4295</v>
      </c>
      <c r="AE19" s="16" t="n">
        <v>64215</v>
      </c>
      <c r="AF19" s="16" t="n">
        <v>847219</v>
      </c>
      <c r="AG19" s="16" t="n">
        <v>5585</v>
      </c>
      <c r="AH19" s="16" t="n">
        <v>4845</v>
      </c>
      <c r="AI19" s="16" t="n">
        <v>755226</v>
      </c>
      <c r="AJ19" s="16" t="n">
        <v>3336</v>
      </c>
      <c r="AK19" s="16" t="n">
        <v>111322</v>
      </c>
      <c r="AL19" s="16" t="n">
        <v>6910</v>
      </c>
      <c r="AM19" s="16" t="n">
        <v>536527</v>
      </c>
      <c r="AN19" s="16" t="n">
        <v>21654</v>
      </c>
      <c r="AO19" s="16" t="n">
        <v>2263</v>
      </c>
      <c r="AP19" s="16" t="n">
        <v>2353</v>
      </c>
      <c r="AQ19" s="16" t="n">
        <v>97402</v>
      </c>
      <c r="AR19" s="16" t="n">
        <v>126</v>
      </c>
      <c r="AS19" s="16" t="n">
        <v>7292</v>
      </c>
      <c r="AT19" s="16" t="n">
        <v>85626</v>
      </c>
      <c r="AU19" s="16" t="n">
        <v>131726</v>
      </c>
      <c r="AV19" s="16" t="n">
        <v>10407</v>
      </c>
      <c r="AW19" s="16" t="s">
        <v>141</v>
      </c>
      <c r="AX19" s="18" t="n">
        <v>1886</v>
      </c>
      <c r="AY19" s="16" t="n">
        <v>2935</v>
      </c>
      <c r="AZ19" s="16" t="n">
        <v>11286</v>
      </c>
      <c r="BA19" s="16" t="n">
        <v>739792</v>
      </c>
      <c r="BB19" s="16" t="n">
        <v>4894</v>
      </c>
      <c r="BC19" s="16" t="n">
        <v>8481</v>
      </c>
      <c r="BD19" s="16" t="n">
        <v>3116</v>
      </c>
      <c r="BE19" s="16" t="n">
        <v>142855</v>
      </c>
      <c r="BF19" s="15" t="n">
        <v>200</v>
      </c>
      <c r="BG19" s="16" t="n">
        <v>16682</v>
      </c>
      <c r="BH19" s="16" t="n">
        <v>10672</v>
      </c>
      <c r="BI19" s="16" t="n">
        <v>3050420</v>
      </c>
      <c r="BJ19" s="16" t="n">
        <v>11310</v>
      </c>
      <c r="BK19" s="16" t="n">
        <v>639</v>
      </c>
      <c r="BL19" s="16" t="n">
        <v>1668</v>
      </c>
      <c r="BM19" s="16" t="n">
        <v>271652</v>
      </c>
      <c r="BN19" s="15" t="n">
        <v>173</v>
      </c>
      <c r="BO19" s="16" t="n">
        <v>37511</v>
      </c>
      <c r="BP19" s="16" t="n">
        <v>749308</v>
      </c>
      <c r="BQ19" s="16" t="n">
        <v>66409</v>
      </c>
      <c r="BR19" s="16" t="n">
        <v>76462</v>
      </c>
      <c r="BS19" s="15"/>
      <c r="BT19" s="16" t="n">
        <v>93428</v>
      </c>
      <c r="BU19" s="16" t="n">
        <v>671066</v>
      </c>
      <c r="BV19" s="16" t="n">
        <v>787980</v>
      </c>
    </row>
    <row r="20" customFormat="false" ht="15" hidden="false" customHeight="false" outlineLevel="0" collapsed="false">
      <c r="A20" s="13" t="n">
        <v>2015</v>
      </c>
      <c r="B20" s="16" t="n">
        <v>364</v>
      </c>
      <c r="C20" s="16" t="n">
        <v>70530</v>
      </c>
      <c r="D20" s="16" t="n">
        <v>24169</v>
      </c>
      <c r="E20" s="16" t="n">
        <v>2992</v>
      </c>
      <c r="F20" s="16" t="n">
        <v>1483</v>
      </c>
      <c r="G20" s="15"/>
      <c r="H20" s="16" t="n">
        <v>33602</v>
      </c>
      <c r="I20" s="15"/>
      <c r="J20" s="16" t="n">
        <v>272972</v>
      </c>
      <c r="K20" s="16" t="n">
        <v>457886</v>
      </c>
      <c r="L20" s="16" t="n">
        <v>42169</v>
      </c>
      <c r="M20" s="16" t="n">
        <v>54929</v>
      </c>
      <c r="N20" s="16" t="n">
        <v>168249</v>
      </c>
      <c r="O20" s="15"/>
      <c r="P20" s="16" t="n">
        <v>59622</v>
      </c>
      <c r="Q20" s="15"/>
      <c r="R20" s="15"/>
      <c r="S20" s="16" t="n">
        <v>161173</v>
      </c>
      <c r="T20" s="16" t="n">
        <v>122268</v>
      </c>
      <c r="U20" s="15"/>
      <c r="V20" s="16" t="n">
        <v>2147</v>
      </c>
      <c r="W20" s="15"/>
      <c r="X20" s="16" t="n">
        <v>386123</v>
      </c>
      <c r="Y20" s="15"/>
      <c r="Z20" s="16" t="n">
        <v>5022</v>
      </c>
      <c r="AA20" s="16" t="n">
        <v>3044</v>
      </c>
      <c r="AB20" s="16" t="n">
        <v>94047</v>
      </c>
      <c r="AC20" s="16" t="n">
        <v>33525</v>
      </c>
      <c r="AD20" s="16" t="n">
        <v>4551</v>
      </c>
      <c r="AE20" s="16" t="n">
        <v>68849</v>
      </c>
      <c r="AF20" s="16" t="n">
        <v>919141</v>
      </c>
      <c r="AG20" s="16" t="n">
        <v>6484</v>
      </c>
      <c r="AH20" s="16" t="n">
        <v>6285</v>
      </c>
      <c r="AI20" s="16" t="n">
        <v>897644</v>
      </c>
      <c r="AJ20" s="16" t="n">
        <v>3879</v>
      </c>
      <c r="AK20" s="16" t="n">
        <v>129127</v>
      </c>
      <c r="AL20" s="16" t="n">
        <v>7391</v>
      </c>
      <c r="AM20" s="16" t="n">
        <v>595186</v>
      </c>
      <c r="AN20" s="16" t="n">
        <v>25700</v>
      </c>
      <c r="AO20" s="16" t="n">
        <v>2458</v>
      </c>
      <c r="AP20" s="16" t="n">
        <v>2537</v>
      </c>
      <c r="AQ20" s="16" t="n">
        <v>117631</v>
      </c>
      <c r="AR20" s="16" t="n">
        <v>147</v>
      </c>
      <c r="AS20" s="16" t="n">
        <v>8926</v>
      </c>
      <c r="AT20" s="16" t="n">
        <v>106490</v>
      </c>
      <c r="AU20" s="16" t="n">
        <v>144496</v>
      </c>
      <c r="AV20" s="16" t="n">
        <v>11922</v>
      </c>
      <c r="AW20" s="15"/>
      <c r="AX20" s="19"/>
      <c r="AY20" s="16" t="n">
        <v>3350</v>
      </c>
      <c r="AZ20" s="16" t="n">
        <v>12887</v>
      </c>
      <c r="BA20" s="16" t="n">
        <v>828867</v>
      </c>
      <c r="BB20" s="16" t="n">
        <v>5499</v>
      </c>
      <c r="BC20" s="16" t="n">
        <v>12533</v>
      </c>
      <c r="BD20" s="16" t="n">
        <v>3850</v>
      </c>
      <c r="BE20" s="16" t="n">
        <v>158728</v>
      </c>
      <c r="BF20" s="19"/>
      <c r="BG20" s="16" t="n">
        <v>18375</v>
      </c>
      <c r="BH20" s="16" t="n">
        <v>14041</v>
      </c>
      <c r="BI20" s="16" t="n">
        <v>3384160</v>
      </c>
      <c r="BJ20" s="16" t="n">
        <v>19553</v>
      </c>
      <c r="BK20" s="16" t="n">
        <v>804</v>
      </c>
      <c r="BL20" s="16" t="n">
        <v>2076</v>
      </c>
      <c r="BM20" s="16" t="n">
        <v>282135</v>
      </c>
      <c r="BN20" s="19"/>
      <c r="BO20" s="16" t="n">
        <v>43603</v>
      </c>
      <c r="BP20" s="16" t="n">
        <v>834931</v>
      </c>
      <c r="BQ20" s="16" t="n">
        <v>60753</v>
      </c>
      <c r="BR20" s="17"/>
      <c r="BS20" s="15"/>
      <c r="BT20" s="16" t="n">
        <v>106373</v>
      </c>
      <c r="BU20" s="16" t="n">
        <v>758646</v>
      </c>
      <c r="BV20" s="16" t="n">
        <v>878461</v>
      </c>
    </row>
    <row r="21" customFormat="false" ht="15" hidden="false" customHeight="false" outlineLevel="0" collapsed="false">
      <c r="A21" s="15"/>
      <c r="B21" s="7"/>
      <c r="C21" s="25"/>
      <c r="D21" s="15"/>
      <c r="E21" s="16"/>
      <c r="F21" s="15"/>
      <c r="G21" s="15"/>
      <c r="H21" s="15"/>
      <c r="I21" s="15"/>
      <c r="J21" s="16"/>
      <c r="K21" s="26"/>
      <c r="L21" s="15"/>
      <c r="M21" s="15"/>
      <c r="N21" s="15"/>
      <c r="O21" s="15"/>
      <c r="P21" s="15"/>
      <c r="Q21" s="15"/>
      <c r="R21" s="15"/>
      <c r="S21" s="15"/>
      <c r="T21" s="15"/>
      <c r="U21" s="15"/>
      <c r="V21" s="15"/>
      <c r="W21" s="15"/>
      <c r="X21" s="15"/>
      <c r="Y21" s="15"/>
      <c r="Z21" s="15"/>
      <c r="AA21" s="15"/>
      <c r="AB21" s="15"/>
      <c r="AC21" s="15"/>
      <c r="AD21" s="15"/>
      <c r="AE21" s="15"/>
      <c r="AF21" s="16"/>
      <c r="AG21" s="15"/>
      <c r="AH21" s="15"/>
      <c r="AI21" s="15"/>
      <c r="AJ21" s="16"/>
      <c r="AK21" s="16"/>
      <c r="AL21" s="15"/>
      <c r="AM21" s="15"/>
      <c r="AN21" s="15"/>
      <c r="AO21" s="15"/>
      <c r="AP21" s="15"/>
      <c r="AQ21" s="15"/>
      <c r="AR21" s="16"/>
      <c r="AS21" s="15"/>
      <c r="AT21" s="15"/>
      <c r="AU21" s="15"/>
      <c r="AV21" s="15"/>
      <c r="AW21" s="15"/>
      <c r="AX21" s="15"/>
      <c r="AY21" s="15"/>
      <c r="AZ21" s="15"/>
      <c r="BA21" s="15"/>
      <c r="BB21" s="15"/>
      <c r="BC21" s="15"/>
      <c r="BD21" s="15"/>
      <c r="BE21" s="7"/>
      <c r="BF21" s="7"/>
      <c r="BG21" s="15"/>
      <c r="BH21" s="15"/>
      <c r="BI21" s="15"/>
      <c r="BJ21" s="15"/>
      <c r="BK21" s="15"/>
      <c r="BL21" s="15"/>
      <c r="BM21" s="15"/>
      <c r="BN21" s="15"/>
      <c r="BO21" s="7"/>
      <c r="BP21" s="15"/>
      <c r="BQ21" s="15"/>
      <c r="BR21" s="15"/>
      <c r="BS21" s="15"/>
      <c r="BT21" s="15"/>
      <c r="BU21" s="15"/>
      <c r="BV21" s="15"/>
    </row>
    <row r="22" customFormat="false" ht="15" hidden="false" customHeight="false" outlineLevel="0" collapsed="false">
      <c r="A22" s="13" t="s">
        <v>142</v>
      </c>
      <c r="B22" s="15" t="s">
        <v>143</v>
      </c>
      <c r="C22" s="16" t="s">
        <v>144</v>
      </c>
      <c r="D22" s="15" t="s">
        <v>143</v>
      </c>
      <c r="E22" s="16" t="s">
        <v>143</v>
      </c>
      <c r="F22" s="15" t="s">
        <v>144</v>
      </c>
      <c r="G22" s="27" t="s">
        <v>145</v>
      </c>
      <c r="H22" s="15" t="s">
        <v>143</v>
      </c>
      <c r="I22" s="27" t="s">
        <v>146</v>
      </c>
      <c r="J22" s="16" t="s">
        <v>144</v>
      </c>
      <c r="K22" s="15" t="s">
        <v>144</v>
      </c>
      <c r="L22" s="15" t="s">
        <v>143</v>
      </c>
      <c r="M22" s="16" t="s">
        <v>144</v>
      </c>
      <c r="N22" s="16" t="s">
        <v>144</v>
      </c>
      <c r="O22" s="27" t="s">
        <v>147</v>
      </c>
      <c r="P22" s="16" t="s">
        <v>144</v>
      </c>
      <c r="Q22" s="28" t="s">
        <v>148</v>
      </c>
      <c r="R22" s="16" t="s">
        <v>144</v>
      </c>
      <c r="S22" s="16" t="s">
        <v>144</v>
      </c>
      <c r="T22" s="16" t="s">
        <v>144</v>
      </c>
      <c r="U22" s="27" t="s">
        <v>145</v>
      </c>
      <c r="V22" s="16" t="s">
        <v>144</v>
      </c>
      <c r="W22" s="29" t="s">
        <v>149</v>
      </c>
      <c r="X22" s="16" t="s">
        <v>144</v>
      </c>
      <c r="Y22" s="30" t="s">
        <v>150</v>
      </c>
      <c r="Z22" s="16" t="s">
        <v>144</v>
      </c>
      <c r="AA22" s="16" t="s">
        <v>144</v>
      </c>
      <c r="AB22" s="16" t="s">
        <v>144</v>
      </c>
      <c r="AC22" s="16" t="s">
        <v>144</v>
      </c>
      <c r="AD22" s="16" t="s">
        <v>144</v>
      </c>
      <c r="AE22" s="16" t="s">
        <v>144</v>
      </c>
      <c r="AF22" s="16" t="s">
        <v>143</v>
      </c>
      <c r="AG22" s="16" t="s">
        <v>144</v>
      </c>
      <c r="AH22" s="16" t="s">
        <v>144</v>
      </c>
      <c r="AI22" s="16" t="s">
        <v>144</v>
      </c>
      <c r="AJ22" s="16" t="s">
        <v>144</v>
      </c>
      <c r="AK22" s="16" t="s">
        <v>144</v>
      </c>
      <c r="AL22" s="16" t="s">
        <v>144</v>
      </c>
      <c r="AM22" s="16" t="s">
        <v>144</v>
      </c>
      <c r="AN22" s="16" t="s">
        <v>144</v>
      </c>
      <c r="AO22" s="16" t="s">
        <v>144</v>
      </c>
      <c r="AP22" s="16" t="s">
        <v>144</v>
      </c>
      <c r="AQ22" s="16" t="s">
        <v>144</v>
      </c>
      <c r="AR22" s="16" t="s">
        <v>143</v>
      </c>
      <c r="AS22" s="16" t="s">
        <v>144</v>
      </c>
      <c r="AT22" s="16" t="s">
        <v>144</v>
      </c>
      <c r="AU22" s="16" t="s">
        <v>144</v>
      </c>
      <c r="AV22" s="16" t="s">
        <v>144</v>
      </c>
      <c r="AW22" s="26" t="s">
        <v>151</v>
      </c>
      <c r="AX22" s="27" t="s">
        <v>152</v>
      </c>
      <c r="AY22" s="16" t="s">
        <v>144</v>
      </c>
      <c r="AZ22" s="16" t="s">
        <v>144</v>
      </c>
      <c r="BA22" s="16" t="s">
        <v>144</v>
      </c>
      <c r="BB22" s="16" t="s">
        <v>144</v>
      </c>
      <c r="BC22" s="16" t="s">
        <v>144</v>
      </c>
      <c r="BD22" s="16" t="s">
        <v>144</v>
      </c>
      <c r="BE22" s="16" t="s">
        <v>144</v>
      </c>
      <c r="BF22" s="27" t="s">
        <v>153</v>
      </c>
      <c r="BG22" s="16" t="s">
        <v>144</v>
      </c>
      <c r="BH22" s="16" t="s">
        <v>144</v>
      </c>
      <c r="BI22" s="16" t="s">
        <v>144</v>
      </c>
      <c r="BJ22" s="16" t="s">
        <v>144</v>
      </c>
      <c r="BK22" s="16" t="s">
        <v>144</v>
      </c>
      <c r="BL22" s="16" t="s">
        <v>144</v>
      </c>
      <c r="BM22" s="16" t="s">
        <v>144</v>
      </c>
      <c r="BN22" s="27" t="s">
        <v>154</v>
      </c>
      <c r="BO22" s="16" t="s">
        <v>144</v>
      </c>
      <c r="BP22" s="16" t="s">
        <v>144</v>
      </c>
      <c r="BQ22" s="16" t="s">
        <v>144</v>
      </c>
      <c r="BR22" s="27" t="s">
        <v>145</v>
      </c>
      <c r="BS22" s="27" t="s">
        <v>155</v>
      </c>
      <c r="BT22" s="16" t="s">
        <v>144</v>
      </c>
      <c r="BU22" s="16" t="s">
        <v>144</v>
      </c>
      <c r="BV22" s="16" t="s">
        <v>144</v>
      </c>
    </row>
    <row r="23" customFormat="false" ht="15" hidden="false" customHeight="false" outlineLevel="0" collapsed="false">
      <c r="A23" s="7"/>
      <c r="B23" s="15"/>
      <c r="C23" s="15" t="s">
        <v>156</v>
      </c>
      <c r="D23" s="15"/>
      <c r="E23" s="16"/>
      <c r="F23" s="15" t="s">
        <v>156</v>
      </c>
      <c r="G23" s="27" t="s">
        <v>157</v>
      </c>
      <c r="H23" s="15"/>
      <c r="I23" s="27" t="s">
        <v>158</v>
      </c>
      <c r="J23" s="16" t="s">
        <v>156</v>
      </c>
      <c r="K23" s="27" t="s">
        <v>159</v>
      </c>
      <c r="L23" s="15"/>
      <c r="M23" s="16" t="s">
        <v>156</v>
      </c>
      <c r="N23" s="16" t="s">
        <v>156</v>
      </c>
      <c r="O23" s="15"/>
      <c r="P23" s="16" t="s">
        <v>156</v>
      </c>
      <c r="Q23" s="27" t="s">
        <v>160</v>
      </c>
      <c r="R23" s="16" t="s">
        <v>156</v>
      </c>
      <c r="S23" s="16" t="s">
        <v>156</v>
      </c>
      <c r="T23" s="16" t="s">
        <v>156</v>
      </c>
      <c r="U23" s="15"/>
      <c r="V23" s="16" t="s">
        <v>156</v>
      </c>
      <c r="W23" s="15"/>
      <c r="X23" s="16" t="s">
        <v>156</v>
      </c>
      <c r="Y23" s="15"/>
      <c r="Z23" s="16" t="s">
        <v>156</v>
      </c>
      <c r="AA23" s="16" t="s">
        <v>156</v>
      </c>
      <c r="AB23" s="16" t="s">
        <v>156</v>
      </c>
      <c r="AC23" s="16" t="s">
        <v>156</v>
      </c>
      <c r="AD23" s="16" t="s">
        <v>156</v>
      </c>
      <c r="AE23" s="16" t="s">
        <v>156</v>
      </c>
      <c r="AF23" s="30" t="s">
        <v>158</v>
      </c>
      <c r="AG23" s="16" t="s">
        <v>156</v>
      </c>
      <c r="AH23" s="16" t="s">
        <v>156</v>
      </c>
      <c r="AI23" s="16" t="s">
        <v>156</v>
      </c>
      <c r="AJ23" s="16" t="s">
        <v>156</v>
      </c>
      <c r="AK23" s="16" t="s">
        <v>156</v>
      </c>
      <c r="AL23" s="16" t="s">
        <v>156</v>
      </c>
      <c r="AM23" s="16" t="s">
        <v>156</v>
      </c>
      <c r="AN23" s="16" t="s">
        <v>156</v>
      </c>
      <c r="AO23" s="16" t="s">
        <v>156</v>
      </c>
      <c r="AP23" s="16" t="s">
        <v>156</v>
      </c>
      <c r="AQ23" s="16" t="s">
        <v>156</v>
      </c>
      <c r="AR23" s="27" t="s">
        <v>161</v>
      </c>
      <c r="AS23" s="16" t="s">
        <v>156</v>
      </c>
      <c r="AT23" s="16" t="s">
        <v>156</v>
      </c>
      <c r="AU23" s="16" t="s">
        <v>156</v>
      </c>
      <c r="AV23" s="16" t="s">
        <v>156</v>
      </c>
      <c r="AW23" s="15"/>
      <c r="AX23" s="7"/>
      <c r="AY23" s="16" t="s">
        <v>156</v>
      </c>
      <c r="AZ23" s="16" t="s">
        <v>156</v>
      </c>
      <c r="BA23" s="16" t="s">
        <v>156</v>
      </c>
      <c r="BB23" s="16" t="s">
        <v>156</v>
      </c>
      <c r="BC23" s="16" t="s">
        <v>156</v>
      </c>
      <c r="BD23" s="16" t="s">
        <v>156</v>
      </c>
      <c r="BE23" s="16" t="s">
        <v>156</v>
      </c>
      <c r="BF23" s="27" t="s">
        <v>162</v>
      </c>
      <c r="BG23" s="16" t="s">
        <v>156</v>
      </c>
      <c r="BH23" s="16" t="s">
        <v>156</v>
      </c>
      <c r="BI23" s="16" t="s">
        <v>156</v>
      </c>
      <c r="BJ23" s="16" t="s">
        <v>156</v>
      </c>
      <c r="BK23" s="16" t="s">
        <v>156</v>
      </c>
      <c r="BL23" s="16" t="s">
        <v>156</v>
      </c>
      <c r="BM23" s="16" t="s">
        <v>156</v>
      </c>
      <c r="BN23" s="27" t="s">
        <v>163</v>
      </c>
      <c r="BO23" s="16" t="s">
        <v>156</v>
      </c>
      <c r="BP23" s="16" t="s">
        <v>156</v>
      </c>
      <c r="BQ23" s="16" t="s">
        <v>156</v>
      </c>
      <c r="BR23" s="27" t="s">
        <v>164</v>
      </c>
      <c r="BS23" s="27" t="s">
        <v>165</v>
      </c>
      <c r="BT23" s="16" t="s">
        <v>156</v>
      </c>
      <c r="BU23" s="16" t="s">
        <v>156</v>
      </c>
      <c r="BV23" s="16" t="s">
        <v>156</v>
      </c>
    </row>
    <row r="24" customFormat="false" ht="15" hidden="false" customHeight="false" outlineLevel="0" collapsed="false">
      <c r="A24" s="15"/>
      <c r="B24" s="7"/>
      <c r="C24" s="7"/>
      <c r="D24" s="15"/>
      <c r="E24" s="15"/>
      <c r="F24" s="15"/>
      <c r="G24" s="15"/>
      <c r="H24" s="15"/>
      <c r="I24" s="15"/>
      <c r="J24" s="16"/>
      <c r="K24" s="27" t="s">
        <v>166</v>
      </c>
      <c r="L24" s="15"/>
      <c r="M24" s="15"/>
      <c r="N24" s="15"/>
      <c r="O24" s="15"/>
      <c r="P24" s="15"/>
      <c r="Q24" s="27" t="s">
        <v>167</v>
      </c>
      <c r="R24" s="15"/>
      <c r="S24" s="15"/>
      <c r="T24" s="15"/>
      <c r="U24" s="15"/>
      <c r="V24" s="15"/>
      <c r="W24" s="15"/>
      <c r="X24" s="15"/>
      <c r="Y24" s="7"/>
      <c r="Z24" s="7"/>
      <c r="AA24" s="7"/>
      <c r="AB24" s="15"/>
      <c r="AC24" s="15"/>
      <c r="AD24" s="15"/>
      <c r="AE24" s="15"/>
      <c r="AF24" s="27" t="s">
        <v>168</v>
      </c>
      <c r="AG24" s="15"/>
      <c r="AH24" s="15"/>
      <c r="AI24" s="15"/>
      <c r="AJ24" s="16"/>
      <c r="AK24" s="16"/>
      <c r="AL24" s="15"/>
      <c r="AM24" s="15"/>
      <c r="AN24" s="15"/>
      <c r="AO24" s="15"/>
      <c r="AP24" s="15"/>
      <c r="AQ24" s="15"/>
      <c r="AR24" s="27" t="s">
        <v>169</v>
      </c>
      <c r="AS24" s="15"/>
      <c r="AT24" s="15"/>
      <c r="AU24" s="15"/>
      <c r="AV24" s="7"/>
      <c r="AW24" s="7"/>
      <c r="AX24" s="7"/>
      <c r="AY24" s="7"/>
      <c r="AZ24" s="15"/>
      <c r="BA24" s="15"/>
      <c r="BB24" s="15"/>
      <c r="BC24" s="15"/>
      <c r="BD24" s="15"/>
      <c r="BE24" s="7"/>
      <c r="BF24" s="7"/>
      <c r="BG24" s="15"/>
      <c r="BH24" s="15"/>
      <c r="BI24" s="15"/>
      <c r="BJ24" s="15"/>
      <c r="BK24" s="15"/>
      <c r="BL24" s="15"/>
      <c r="BM24" s="15"/>
      <c r="BN24" s="15"/>
      <c r="BO24" s="15"/>
      <c r="BP24" s="15"/>
      <c r="BQ24" s="26"/>
      <c r="BR24" s="26"/>
      <c r="BS24" s="31" t="s">
        <v>170</v>
      </c>
      <c r="BT24" s="15"/>
      <c r="BU24" s="15"/>
      <c r="BV24" s="15"/>
    </row>
    <row r="25" customFormat="false" ht="15" hidden="false" customHeight="false" outlineLevel="0" collapsed="false">
      <c r="A25" s="15"/>
      <c r="B25" s="7"/>
      <c r="C25" s="7"/>
      <c r="D25" s="15"/>
      <c r="E25" s="15"/>
      <c r="F25" s="15"/>
      <c r="G25" s="15"/>
      <c r="H25" s="15"/>
      <c r="I25" s="15"/>
      <c r="J25" s="16"/>
      <c r="K25" s="26"/>
      <c r="L25" s="15"/>
      <c r="M25" s="15"/>
      <c r="N25" s="15"/>
      <c r="O25" s="15"/>
      <c r="P25" s="15"/>
      <c r="Q25" s="26"/>
      <c r="R25" s="15"/>
      <c r="S25" s="15"/>
      <c r="T25" s="15"/>
      <c r="U25" s="15"/>
      <c r="V25" s="15"/>
      <c r="W25" s="15"/>
      <c r="X25" s="15"/>
      <c r="Y25" s="7"/>
      <c r="Z25" s="7"/>
      <c r="AA25" s="7"/>
      <c r="AB25" s="15"/>
      <c r="AC25" s="15"/>
      <c r="AD25" s="15"/>
      <c r="AE25" s="15"/>
      <c r="AF25" s="26"/>
      <c r="AG25" s="15"/>
      <c r="AH25" s="15"/>
      <c r="AI25" s="15"/>
      <c r="AJ25" s="16"/>
      <c r="AK25" s="16"/>
      <c r="AL25" s="15"/>
      <c r="AM25" s="15"/>
      <c r="AN25" s="15"/>
      <c r="AO25" s="15"/>
      <c r="AP25" s="15"/>
      <c r="AQ25" s="15"/>
      <c r="AR25" s="26"/>
      <c r="AS25" s="15"/>
      <c r="AT25" s="15"/>
      <c r="AU25" s="15"/>
      <c r="AV25" s="7"/>
      <c r="AW25" s="7"/>
      <c r="AX25" s="7"/>
      <c r="AY25" s="7"/>
      <c r="AZ25" s="15"/>
      <c r="BA25" s="15"/>
      <c r="BB25" s="15"/>
      <c r="BC25" s="15"/>
      <c r="BD25" s="15"/>
      <c r="BE25" s="7"/>
      <c r="BF25" s="7"/>
      <c r="BG25" s="15"/>
      <c r="BH25" s="15"/>
      <c r="BI25" s="15"/>
      <c r="BJ25" s="15"/>
      <c r="BK25" s="15"/>
      <c r="BL25" s="15"/>
      <c r="BM25" s="15"/>
      <c r="BN25" s="15"/>
      <c r="BO25" s="15"/>
      <c r="BP25" s="15"/>
      <c r="BQ25" s="26"/>
      <c r="BR25" s="26"/>
      <c r="BS25" s="32"/>
      <c r="BT25" s="15"/>
      <c r="BU25" s="15"/>
      <c r="BV25" s="15"/>
    </row>
    <row r="26" customFormat="false" ht="15" hidden="false" customHeight="false" outlineLevel="0" collapsed="false">
      <c r="A26" s="15"/>
      <c r="B26" s="7"/>
      <c r="C26" s="7"/>
      <c r="D26" s="15"/>
      <c r="E26" s="15"/>
      <c r="F26" s="15"/>
      <c r="G26" s="15"/>
      <c r="H26" s="15"/>
      <c r="I26" s="15"/>
      <c r="J26" s="16"/>
      <c r="L26" s="15"/>
      <c r="M26" s="15"/>
      <c r="N26" s="15"/>
      <c r="O26" s="15"/>
      <c r="P26" s="15"/>
      <c r="R26" s="15"/>
      <c r="S26" s="15"/>
      <c r="T26" s="15"/>
      <c r="U26" s="15"/>
      <c r="V26" s="15"/>
      <c r="W26" s="15"/>
      <c r="X26" s="15"/>
      <c r="Y26" s="7"/>
      <c r="Z26" s="7"/>
      <c r="AA26" s="7"/>
      <c r="AB26" s="15"/>
      <c r="AC26" s="15"/>
      <c r="AD26" s="15"/>
      <c r="AE26" s="15"/>
      <c r="AG26" s="15"/>
      <c r="AH26" s="15"/>
      <c r="AI26" s="15"/>
      <c r="AJ26" s="16"/>
      <c r="AK26" s="16"/>
      <c r="AL26" s="15"/>
      <c r="AM26" s="15"/>
      <c r="AN26" s="15"/>
      <c r="AO26" s="15"/>
      <c r="AP26" s="15"/>
      <c r="AQ26" s="15"/>
      <c r="AS26" s="15"/>
      <c r="AT26" s="15"/>
      <c r="AU26" s="15"/>
      <c r="AV26" s="7"/>
      <c r="AW26" s="7"/>
      <c r="AX26" s="7"/>
      <c r="AY26" s="7"/>
      <c r="AZ26" s="15"/>
      <c r="BA26" s="15"/>
      <c r="BB26" s="15"/>
      <c r="BC26" s="15"/>
      <c r="BD26" s="15"/>
      <c r="BE26" s="7"/>
      <c r="BF26" s="7"/>
      <c r="BG26" s="15"/>
      <c r="BH26" s="15"/>
      <c r="BI26" s="15"/>
      <c r="BJ26" s="15"/>
      <c r="BK26" s="15"/>
      <c r="BL26" s="15"/>
      <c r="BM26" s="15"/>
      <c r="BN26" s="15"/>
      <c r="BO26" s="15"/>
      <c r="BP26" s="15"/>
      <c r="BQ26" s="26"/>
      <c r="BR26" s="26"/>
      <c r="BT26" s="15"/>
      <c r="BU26" s="15"/>
      <c r="BV26" s="15"/>
    </row>
    <row r="27" customFormat="false" ht="15" hidden="false" customHeight="false" outlineLevel="0" collapsed="false">
      <c r="A27" s="7"/>
      <c r="B27" s="33"/>
      <c r="C27" s="12"/>
      <c r="D27" s="15"/>
      <c r="E27" s="15"/>
      <c r="F27" s="7"/>
      <c r="G27" s="13"/>
      <c r="H27" s="15"/>
      <c r="I27" s="7"/>
      <c r="J27" s="15"/>
      <c r="K27" s="15"/>
      <c r="L27" s="15"/>
      <c r="M27" s="15"/>
      <c r="N27" s="26"/>
      <c r="O27" s="26"/>
      <c r="P27" s="26"/>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row>
    <row r="28" customFormat="false" ht="15" hidden="false" customHeight="false" outlineLevel="0" collapsed="false">
      <c r="A28" s="7"/>
      <c r="B28" s="33"/>
      <c r="C28" s="12"/>
      <c r="D28" s="15"/>
      <c r="E28" s="15"/>
      <c r="F28" s="7"/>
      <c r="G28" s="13"/>
      <c r="H28" s="15"/>
      <c r="I28" s="7"/>
      <c r="J28" s="15"/>
      <c r="K28" s="15"/>
      <c r="L28" s="15"/>
      <c r="M28" s="15"/>
      <c r="N28" s="26"/>
      <c r="O28" s="26"/>
      <c r="P28" s="26"/>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row>
    <row r="29" customFormat="false" ht="15" hidden="false" customHeight="false" outlineLevel="0" collapsed="false">
      <c r="A29" s="7"/>
      <c r="B29" s="33" t="s">
        <v>171</v>
      </c>
      <c r="C29" s="12"/>
      <c r="D29" s="15"/>
      <c r="E29" s="15"/>
      <c r="F29" s="7"/>
      <c r="G29" s="13" t="s">
        <v>172</v>
      </c>
      <c r="H29" s="15"/>
      <c r="I29" s="7"/>
      <c r="J29" s="15"/>
      <c r="K29" s="15"/>
      <c r="L29" s="15"/>
      <c r="M29" s="15"/>
      <c r="N29" s="26"/>
      <c r="O29" s="26"/>
      <c r="P29" s="26"/>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row>
    <row r="30" customFormat="false" ht="15" hidden="false" customHeight="false" outlineLevel="0" collapsed="false">
      <c r="A30" s="13" t="s">
        <v>173</v>
      </c>
      <c r="B30" s="13" t="n">
        <v>2009</v>
      </c>
      <c r="C30" s="13" t="n">
        <v>2010</v>
      </c>
      <c r="D30" s="15"/>
      <c r="E30" s="15"/>
      <c r="F30" s="7"/>
      <c r="G30" s="26" t="s">
        <v>174</v>
      </c>
      <c r="H30" s="26" t="s">
        <v>175</v>
      </c>
      <c r="I30" s="7"/>
      <c r="J30" s="15"/>
      <c r="K30" s="15"/>
      <c r="L30" s="15"/>
      <c r="M30" s="7"/>
      <c r="N30" s="26"/>
      <c r="O30" s="26"/>
      <c r="P30" s="7"/>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row>
    <row r="31" customFormat="false" ht="15" hidden="false" customHeight="false" outlineLevel="0" collapsed="false">
      <c r="A31" s="15" t="s">
        <v>176</v>
      </c>
      <c r="B31" s="15" t="s">
        <v>177</v>
      </c>
      <c r="C31" s="15" t="s">
        <v>178</v>
      </c>
      <c r="D31" s="15"/>
      <c r="E31" s="15"/>
      <c r="F31" s="7"/>
      <c r="G31" s="26" t="s">
        <v>179</v>
      </c>
      <c r="H31" s="15" t="s">
        <v>180</v>
      </c>
      <c r="I31" s="7"/>
      <c r="J31" s="15"/>
      <c r="K31" s="15"/>
      <c r="L31" s="15"/>
      <c r="M31" s="15"/>
      <c r="N31" s="26"/>
      <c r="O31" s="7"/>
      <c r="P31" s="26"/>
      <c r="Q31" s="15"/>
      <c r="R31" s="7"/>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row>
    <row r="32" customFormat="false" ht="15" hidden="false" customHeight="false" outlineLevel="0" collapsed="false">
      <c r="A32" s="15" t="s">
        <v>181</v>
      </c>
      <c r="B32" s="15" t="s">
        <v>182</v>
      </c>
      <c r="C32" s="15" t="s">
        <v>183</v>
      </c>
      <c r="D32" s="15"/>
      <c r="E32" s="15"/>
      <c r="F32" s="15"/>
      <c r="G32" s="26" t="s">
        <v>184</v>
      </c>
      <c r="H32" s="15" t="s">
        <v>185</v>
      </c>
      <c r="I32" s="26" t="s">
        <v>186</v>
      </c>
      <c r="J32" s="15"/>
      <c r="K32" s="15"/>
      <c r="L32" s="15"/>
      <c r="M32" s="15"/>
      <c r="N32" s="32"/>
      <c r="O32" s="7"/>
      <c r="P32" s="26"/>
      <c r="Q32" s="7"/>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row>
    <row r="33" customFormat="false" ht="15" hidden="false" customHeight="false" outlineLevel="0" collapsed="false">
      <c r="A33" s="15" t="s">
        <v>187</v>
      </c>
      <c r="B33" s="15" t="s">
        <v>188</v>
      </c>
      <c r="C33" s="15" t="s">
        <v>189</v>
      </c>
      <c r="D33" s="15"/>
      <c r="E33" s="15"/>
      <c r="F33" s="15"/>
      <c r="G33" s="15"/>
      <c r="H33" s="7"/>
      <c r="I33" s="7"/>
      <c r="J33" s="7"/>
      <c r="K33" s="7"/>
      <c r="L33" s="7"/>
      <c r="M33" s="7"/>
      <c r="N33" s="7"/>
      <c r="O33" s="32"/>
      <c r="P33" s="26"/>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row>
    <row r="34" customFormat="false" ht="15" hidden="false" customHeight="false" outlineLevel="0" collapsed="false">
      <c r="A34" s="15" t="s">
        <v>190</v>
      </c>
      <c r="B34" s="15" t="s">
        <v>191</v>
      </c>
      <c r="C34" s="15" t="s">
        <v>192</v>
      </c>
      <c r="D34" s="15"/>
      <c r="E34" s="15"/>
      <c r="F34" s="15"/>
      <c r="G34" s="15"/>
      <c r="H34" s="7"/>
      <c r="I34" s="7"/>
      <c r="J34" s="7"/>
      <c r="K34" s="7"/>
      <c r="L34" s="7"/>
      <c r="M34" s="7"/>
      <c r="N34" s="7"/>
      <c r="O34" s="32"/>
      <c r="P34" s="26"/>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row>
    <row r="35" customFormat="false" ht="15" hidden="false" customHeight="false" outlineLevel="0" collapsed="false">
      <c r="A35" s="15" t="s">
        <v>190</v>
      </c>
      <c r="B35" s="15" t="s">
        <v>193</v>
      </c>
      <c r="C35" s="15" t="s">
        <v>194</v>
      </c>
      <c r="D35" s="15"/>
      <c r="E35" s="15"/>
      <c r="F35" s="15"/>
      <c r="G35" s="15"/>
      <c r="H35" s="7"/>
      <c r="I35" s="7"/>
      <c r="J35" s="7"/>
      <c r="K35" s="7"/>
      <c r="L35" s="7"/>
      <c r="M35" s="7"/>
      <c r="N35" s="7"/>
      <c r="O35" s="32"/>
      <c r="P35" s="26"/>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row>
    <row r="36" customFormat="false" ht="15" hidden="false" customHeight="false" outlineLevel="0" collapsed="false">
      <c r="A36" s="15" t="s">
        <v>195</v>
      </c>
      <c r="B36" s="15" t="s">
        <v>196</v>
      </c>
      <c r="C36" s="15" t="s">
        <v>197</v>
      </c>
      <c r="D36" s="15"/>
      <c r="E36" s="15"/>
      <c r="F36" s="15"/>
      <c r="G36" s="15"/>
      <c r="H36" s="7"/>
      <c r="I36" s="7"/>
      <c r="J36" s="7"/>
      <c r="K36" s="7"/>
      <c r="L36" s="7"/>
      <c r="M36" s="7"/>
      <c r="N36" s="7"/>
      <c r="O36" s="15"/>
      <c r="P36" s="7"/>
      <c r="Q36" s="7"/>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row>
    <row r="37" customFormat="false" ht="15" hidden="false" customHeight="false" outlineLevel="0" collapsed="false">
      <c r="A37" s="15" t="s">
        <v>198</v>
      </c>
      <c r="B37" s="15" t="s">
        <v>199</v>
      </c>
      <c r="C37" s="15" t="s">
        <v>200</v>
      </c>
      <c r="D37" s="15"/>
      <c r="E37" s="15"/>
      <c r="F37" s="15"/>
      <c r="G37" s="15"/>
      <c r="H37" s="7"/>
      <c r="I37" s="7"/>
      <c r="J37" s="7"/>
      <c r="K37" s="7"/>
      <c r="L37" s="7"/>
      <c r="M37" s="7"/>
      <c r="N37" s="7"/>
      <c r="O37" s="15"/>
      <c r="P37" s="7"/>
      <c r="Q37" s="7"/>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row>
    <row r="38" customFormat="false" ht="15" hidden="false" customHeight="false" outlineLevel="0" collapsed="false">
      <c r="A38" s="15" t="s">
        <v>201</v>
      </c>
      <c r="B38" s="15" t="s">
        <v>202</v>
      </c>
      <c r="C38" s="15" t="s">
        <v>203</v>
      </c>
      <c r="D38" s="15"/>
      <c r="E38" s="15"/>
      <c r="F38" s="15"/>
      <c r="G38" s="15"/>
      <c r="H38" s="7"/>
      <c r="I38" s="7"/>
      <c r="J38" s="7"/>
      <c r="K38" s="7"/>
      <c r="L38" s="7"/>
      <c r="M38" s="7"/>
      <c r="N38" s="7"/>
      <c r="O38" s="15"/>
      <c r="P38" s="7"/>
      <c r="Q38" s="7"/>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row>
    <row r="39" customFormat="false" ht="15" hidden="false" customHeight="false" outlineLevel="0" collapsed="false">
      <c r="A39" s="15" t="s">
        <v>204</v>
      </c>
      <c r="B39" s="15" t="s">
        <v>205</v>
      </c>
      <c r="C39" s="15" t="s">
        <v>206</v>
      </c>
      <c r="D39" s="15"/>
      <c r="E39" s="15"/>
      <c r="F39" s="15"/>
      <c r="G39" s="15"/>
      <c r="H39" s="7"/>
      <c r="I39" s="7"/>
      <c r="J39" s="7"/>
      <c r="K39" s="7"/>
      <c r="L39" s="7"/>
      <c r="M39" s="7"/>
      <c r="N39" s="7"/>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row>
    <row r="40" customFormat="false" ht="15" hidden="false" customHeight="false" outlineLevel="0" collapsed="false">
      <c r="A40" s="15"/>
      <c r="B40" s="15"/>
      <c r="C40" s="15"/>
      <c r="D40" s="15"/>
      <c r="E40" s="15"/>
      <c r="F40" s="15"/>
      <c r="G40" s="15"/>
      <c r="H40" s="7"/>
      <c r="I40" s="7"/>
      <c r="J40" s="7"/>
      <c r="K40" s="7"/>
      <c r="L40" s="7"/>
      <c r="M40" s="7"/>
      <c r="N40" s="7"/>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row>
    <row r="41" customFormat="false" ht="15" hidden="false" customHeight="false" outlineLevel="0" collapsed="false">
      <c r="A41" s="13" t="s">
        <v>173</v>
      </c>
      <c r="B41" s="14" t="n">
        <v>2010</v>
      </c>
      <c r="C41" s="14" t="n">
        <v>2011</v>
      </c>
      <c r="D41" s="14" t="n">
        <v>2012</v>
      </c>
      <c r="E41" s="14" t="n">
        <v>2013</v>
      </c>
      <c r="F41" s="14" t="n">
        <v>2014</v>
      </c>
      <c r="G41" s="15"/>
      <c r="H41" s="7"/>
      <c r="I41" s="7"/>
      <c r="J41" s="7"/>
      <c r="K41" s="7"/>
      <c r="L41" s="7"/>
      <c r="M41" s="7"/>
      <c r="N41" s="7"/>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row>
    <row r="42" customFormat="false" ht="15" hidden="false" customHeight="false" outlineLevel="0" collapsed="false">
      <c r="A42" s="15" t="s">
        <v>207</v>
      </c>
      <c r="B42" s="16" t="n">
        <v>886207</v>
      </c>
      <c r="C42" s="16" t="n">
        <v>1145160</v>
      </c>
      <c r="D42" s="16" t="n">
        <v>1310950</v>
      </c>
      <c r="E42" s="16" t="n">
        <v>1547960</v>
      </c>
      <c r="F42" s="16" t="n">
        <v>1773840</v>
      </c>
      <c r="G42" s="15"/>
      <c r="H42" s="7"/>
      <c r="I42" s="7"/>
      <c r="J42" s="7"/>
      <c r="K42" s="7"/>
      <c r="L42" s="7"/>
      <c r="M42" s="7"/>
      <c r="N42" s="7"/>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row>
    <row r="43" customFormat="false" ht="15" hidden="false" customHeight="false" outlineLevel="0" collapsed="false">
      <c r="A43" s="15" t="s">
        <v>195</v>
      </c>
      <c r="B43" s="16" t="n">
        <v>65197</v>
      </c>
      <c r="C43" s="16" t="n">
        <v>75196</v>
      </c>
      <c r="D43" s="16" t="n">
        <v>89381</v>
      </c>
      <c r="E43" s="16" t="n">
        <v>105920</v>
      </c>
      <c r="F43" s="16" t="n">
        <v>120369</v>
      </c>
      <c r="G43" s="15"/>
      <c r="H43" s="7"/>
      <c r="I43" s="7"/>
      <c r="J43" s="7"/>
      <c r="K43" s="7"/>
      <c r="L43" s="7"/>
      <c r="M43" s="7"/>
      <c r="N43" s="7"/>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row>
    <row r="44" customFormat="false" ht="15" hidden="false" customHeight="false" outlineLevel="0" collapsed="false">
      <c r="A44" s="15" t="s">
        <v>208</v>
      </c>
      <c r="B44" s="16" t="n">
        <v>3783510</v>
      </c>
      <c r="C44" s="16" t="n">
        <v>5078720</v>
      </c>
      <c r="D44" s="16" t="n">
        <v>6547530</v>
      </c>
      <c r="E44" s="16" t="n">
        <v>7800990</v>
      </c>
      <c r="F44" s="16" t="n">
        <v>9069230</v>
      </c>
      <c r="G44" s="15"/>
      <c r="H44" s="7"/>
      <c r="I44" s="7"/>
      <c r="J44" s="7"/>
      <c r="K44" s="7"/>
      <c r="L44" s="7"/>
      <c r="M44" s="7"/>
      <c r="N44" s="7"/>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7"/>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row>
    <row r="45" customFormat="false" ht="15" hidden="false" customHeight="false" outlineLevel="0" collapsed="false">
      <c r="A45" s="15" t="s">
        <v>209</v>
      </c>
      <c r="B45" s="16" t="n">
        <v>111991</v>
      </c>
      <c r="C45" s="16" t="n">
        <v>122925</v>
      </c>
      <c r="D45" s="16" t="n">
        <v>188357</v>
      </c>
      <c r="E45" s="16" t="n">
        <v>237078</v>
      </c>
      <c r="F45" s="16" t="n">
        <v>283191</v>
      </c>
      <c r="G45" s="15"/>
      <c r="H45" s="7"/>
      <c r="I45" s="7"/>
      <c r="J45" s="7"/>
      <c r="K45" s="7"/>
      <c r="L45" s="7"/>
      <c r="M45" s="7"/>
      <c r="N45" s="7"/>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row>
    <row r="46" customFormat="false" ht="15" hidden="false" customHeight="false" outlineLevel="0" collapsed="false">
      <c r="A46" s="15" t="s">
        <v>210</v>
      </c>
      <c r="B46" s="16" t="n">
        <v>499663</v>
      </c>
      <c r="C46" s="16" t="n">
        <v>557876</v>
      </c>
      <c r="D46" s="16" t="n">
        <v>626479</v>
      </c>
      <c r="E46" s="16" t="n">
        <v>663326</v>
      </c>
      <c r="F46" s="16" t="n">
        <v>786807</v>
      </c>
      <c r="G46" s="15"/>
      <c r="H46" s="7"/>
      <c r="I46" s="7"/>
      <c r="J46" s="7"/>
      <c r="K46" s="7"/>
      <c r="L46" s="7"/>
      <c r="M46" s="7"/>
      <c r="N46" s="7"/>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row>
    <row r="47" customFormat="false" ht="15" hidden="false" customHeight="false" outlineLevel="0" collapsed="false">
      <c r="A47" s="15" t="s">
        <v>211</v>
      </c>
      <c r="B47" s="16" t="n">
        <v>13682</v>
      </c>
      <c r="C47" s="16" t="n">
        <v>17105</v>
      </c>
      <c r="D47" s="16" t="n">
        <v>21066</v>
      </c>
      <c r="E47" s="16" t="n">
        <v>26195</v>
      </c>
      <c r="F47" s="16" t="n">
        <v>32205</v>
      </c>
      <c r="G47" s="15"/>
      <c r="H47" s="7"/>
      <c r="I47" s="7"/>
      <c r="J47" s="7"/>
      <c r="K47" s="7"/>
      <c r="L47" s="7"/>
      <c r="M47" s="7"/>
      <c r="N47" s="7"/>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row>
    <row r="48" customFormat="false" ht="15" hidden="false" customHeight="false" outlineLevel="0" collapsed="false">
      <c r="A48" s="15" t="s">
        <v>212</v>
      </c>
      <c r="B48" s="16" t="n">
        <v>872722</v>
      </c>
      <c r="C48" s="16" t="n">
        <v>1047860</v>
      </c>
      <c r="D48" s="16" t="n">
        <v>1228130</v>
      </c>
      <c r="E48" s="16" t="n">
        <v>1402290</v>
      </c>
      <c r="F48" s="16" t="n">
        <v>1610730</v>
      </c>
      <c r="G48" s="15"/>
      <c r="H48" s="7"/>
      <c r="I48" s="7"/>
      <c r="J48" s="7"/>
      <c r="K48" s="7"/>
      <c r="L48" s="7"/>
      <c r="M48" s="7"/>
      <c r="N48" s="7"/>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row>
    <row r="49" customFormat="false" ht="15" hidden="false" customHeight="false" outlineLevel="0" collapsed="false">
      <c r="A49" s="15" t="s">
        <v>213</v>
      </c>
      <c r="B49" s="16" t="n">
        <v>7520160</v>
      </c>
      <c r="C49" s="16" t="n">
        <v>9398510</v>
      </c>
      <c r="D49" s="16" t="n">
        <v>11415400</v>
      </c>
      <c r="E49" s="16" t="n">
        <v>12959900</v>
      </c>
      <c r="F49" s="16" t="n">
        <v>14857600</v>
      </c>
      <c r="G49" s="15"/>
      <c r="H49" s="7"/>
      <c r="I49" s="7"/>
      <c r="J49" s="7"/>
      <c r="K49" s="7"/>
      <c r="L49" s="7"/>
      <c r="M49" s="7"/>
      <c r="N49" s="7"/>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row>
    <row r="50" customFormat="false" ht="15" hidden="false" customHeight="false" outlineLevel="0" collapsed="false">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row>
    <row r="51" customFormat="false" ht="15" hidden="false" customHeight="false" outlineLevel="0" collapsed="false">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row>
    <row r="52" customFormat="false" ht="15" hidden="false" customHeight="false" outlineLevel="0" collapsed="false">
      <c r="A52" s="15"/>
      <c r="B52" s="7"/>
      <c r="C52" s="7"/>
      <c r="D52" s="9"/>
      <c r="E52" s="13"/>
      <c r="F52" s="15"/>
      <c r="G52" s="15"/>
      <c r="H52" s="15"/>
      <c r="I52" s="32"/>
      <c r="J52" s="15"/>
      <c r="K52" s="15"/>
      <c r="L52" s="15"/>
      <c r="M52" s="15"/>
      <c r="N52" s="15"/>
      <c r="O52" s="15"/>
      <c r="P52" s="15"/>
      <c r="Q52" s="15"/>
      <c r="R52" s="15"/>
      <c r="S52" s="7"/>
      <c r="T52" s="7"/>
      <c r="U52" s="15"/>
      <c r="V52" s="15"/>
      <c r="W52" s="15"/>
      <c r="X52" s="15"/>
      <c r="Y52" s="7"/>
      <c r="Z52" s="7"/>
      <c r="AA52" s="7"/>
      <c r="AB52" s="15"/>
      <c r="AC52" s="15"/>
      <c r="AD52" s="15"/>
      <c r="AE52" s="15"/>
      <c r="AF52" s="16"/>
      <c r="AG52" s="15"/>
      <c r="AH52" s="15"/>
      <c r="AI52" s="15"/>
      <c r="AJ52" s="15"/>
      <c r="AK52" s="15"/>
      <c r="AL52" s="15"/>
      <c r="AM52" s="15"/>
      <c r="AN52" s="15"/>
      <c r="AO52" s="15"/>
      <c r="AP52" s="15"/>
      <c r="AQ52" s="15"/>
      <c r="AR52" s="26"/>
      <c r="AS52" s="15"/>
      <c r="AT52" s="15"/>
      <c r="AU52" s="15"/>
      <c r="AV52" s="7"/>
      <c r="AW52" s="7"/>
      <c r="AX52" s="7"/>
      <c r="AY52" s="7"/>
      <c r="AZ52" s="15"/>
      <c r="BA52" s="15"/>
      <c r="BB52" s="15"/>
      <c r="BC52" s="15"/>
      <c r="BD52" s="15"/>
      <c r="BE52" s="7"/>
      <c r="BF52" s="15"/>
      <c r="BG52" s="15"/>
      <c r="BH52" s="15"/>
      <c r="BI52" s="15"/>
      <c r="BJ52" s="15"/>
      <c r="BK52" s="15"/>
      <c r="BL52" s="15"/>
      <c r="BM52" s="15"/>
      <c r="BN52" s="15"/>
      <c r="BO52" s="15"/>
      <c r="BP52" s="7"/>
      <c r="BQ52" s="32"/>
      <c r="BR52" s="32"/>
      <c r="BS52" s="26"/>
      <c r="BT52" s="15"/>
      <c r="BU52" s="15"/>
      <c r="BV52" s="15"/>
    </row>
    <row r="53" customFormat="false" ht="15" hidden="false" customHeight="false" outlineLevel="0" collapsed="false">
      <c r="A53" s="7"/>
      <c r="B53" s="7"/>
      <c r="C53" s="11"/>
      <c r="D53" s="15"/>
      <c r="E53" s="26"/>
      <c r="F53" s="26"/>
      <c r="G53" s="26"/>
      <c r="H53" s="26"/>
      <c r="I53" s="32"/>
      <c r="J53" s="15"/>
      <c r="K53" s="15"/>
      <c r="L53" s="15"/>
      <c r="M53" s="15"/>
      <c r="N53" s="15"/>
      <c r="O53" s="11"/>
      <c r="P53" s="15"/>
      <c r="Q53" s="26"/>
      <c r="R53" s="26"/>
      <c r="S53" s="26"/>
      <c r="T53" s="26"/>
      <c r="U53" s="15"/>
      <c r="V53" s="15"/>
      <c r="W53" s="15"/>
      <c r="X53" s="15"/>
      <c r="Y53" s="7"/>
      <c r="Z53" s="11"/>
      <c r="AA53" s="34"/>
      <c r="AC53" s="26"/>
      <c r="AD53" s="26"/>
      <c r="AE53" s="26"/>
      <c r="AF53" s="16"/>
      <c r="AG53" s="15"/>
      <c r="AH53" s="15"/>
      <c r="AI53" s="15"/>
      <c r="AJ53" s="15"/>
      <c r="AK53" s="15"/>
      <c r="AL53" s="15"/>
      <c r="AM53" s="15"/>
      <c r="AN53" s="15"/>
      <c r="AO53" s="15"/>
      <c r="AP53" s="15"/>
      <c r="AQ53" s="15"/>
      <c r="AR53" s="15"/>
      <c r="AS53" s="15"/>
      <c r="AT53" s="15"/>
      <c r="AU53" s="7"/>
      <c r="AV53" s="7"/>
      <c r="AW53" s="7"/>
      <c r="AX53" s="7"/>
      <c r="AY53" s="7"/>
      <c r="AZ53" s="15"/>
      <c r="BA53" s="15"/>
      <c r="BB53" s="15"/>
      <c r="BC53" s="15"/>
      <c r="BD53" s="15"/>
      <c r="BE53" s="15"/>
      <c r="BF53" s="15"/>
      <c r="BG53" s="15"/>
      <c r="BH53" s="15"/>
      <c r="BI53" s="15"/>
      <c r="BJ53" s="15"/>
      <c r="BK53" s="15"/>
      <c r="BL53" s="15"/>
      <c r="BM53" s="15"/>
      <c r="BN53" s="15"/>
      <c r="BO53" s="15"/>
      <c r="BP53" s="7"/>
      <c r="BQ53" s="32"/>
      <c r="BR53" s="32"/>
      <c r="BS53" s="26"/>
      <c r="BT53" s="15"/>
      <c r="BU53" s="15"/>
      <c r="BV53" s="15"/>
    </row>
    <row r="54" customFormat="false" ht="15" hidden="false" customHeight="false" outlineLevel="0" collapsed="false">
      <c r="A54" s="7"/>
      <c r="B54" s="7"/>
      <c r="C54" s="11"/>
      <c r="D54" s="15"/>
      <c r="E54" s="26"/>
      <c r="F54" s="26"/>
      <c r="G54" s="26"/>
      <c r="H54" s="26"/>
      <c r="I54" s="26"/>
      <c r="J54" s="15"/>
      <c r="L54" s="15"/>
      <c r="M54" s="15"/>
      <c r="N54" s="15"/>
      <c r="O54" s="11"/>
      <c r="P54" s="15"/>
      <c r="Q54" s="35"/>
      <c r="R54" s="26"/>
      <c r="S54" s="26"/>
      <c r="T54" s="26"/>
      <c r="U54" s="15"/>
      <c r="V54" s="15"/>
      <c r="W54" s="15"/>
      <c r="X54" s="15"/>
      <c r="Y54" s="7"/>
      <c r="Z54" s="11"/>
      <c r="AA54" s="34"/>
      <c r="AD54" s="26"/>
      <c r="AE54" s="26"/>
      <c r="AF54" s="15"/>
      <c r="AG54" s="15"/>
      <c r="AH54" s="15"/>
      <c r="AI54" s="15"/>
      <c r="AJ54" s="15"/>
      <c r="AK54" s="15"/>
      <c r="AL54" s="15"/>
      <c r="AM54" s="15"/>
      <c r="AN54" s="15"/>
      <c r="AO54" s="15"/>
      <c r="AP54" s="15"/>
      <c r="AQ54" s="15"/>
      <c r="AR54" s="15"/>
      <c r="AS54" s="11"/>
      <c r="AT54" s="15"/>
      <c r="AU54" s="26"/>
      <c r="AV54" s="26"/>
      <c r="AW54" s="26"/>
      <c r="AX54" s="26"/>
      <c r="AY54" s="7"/>
      <c r="AZ54" s="15"/>
      <c r="BA54" s="15"/>
      <c r="BB54" s="15"/>
      <c r="BC54" s="15"/>
      <c r="BD54" s="15"/>
      <c r="BE54" s="15"/>
      <c r="BF54" s="15"/>
      <c r="BG54" s="15"/>
      <c r="BH54" s="15"/>
      <c r="BI54" s="15"/>
      <c r="BJ54" s="15"/>
      <c r="BK54" s="15"/>
      <c r="BL54" s="15"/>
      <c r="BM54" s="15"/>
      <c r="BN54" s="15"/>
      <c r="BO54" s="15"/>
      <c r="BP54" s="7"/>
      <c r="BQ54" s="15"/>
      <c r="BR54" s="26"/>
      <c r="BS54" s="26"/>
      <c r="BT54" s="26"/>
      <c r="BU54" s="26"/>
      <c r="BV54" s="15"/>
    </row>
  </sheetData>
  <hyperlinks>
    <hyperlink ref="G22" r:id="rId2" display="http://ecdc.europa.eu/en/publications/Publications/dublin-declaration-treatment-care-support.pdf"/>
    <hyperlink ref="I22" r:id="rId3" display="http://www.unaids.org/sites/default/files/country/documents/BTN_narrative_report_2015.pdf"/>
    <hyperlink ref="O22" r:id="rId4" display="https://www.ecoi.net/file_upload/432_1198080046_can-fact-sheets.pdf"/>
    <hyperlink ref="U22" r:id="rId5" display="http://ecdc.europa.eu/en/publications/Publications/dublin-declaration-treatment-care-support.pdf"/>
    <hyperlink ref="W22" r:id="rId6" display="https://intra.tai.ee//images/prints/documents/14604493644_HIV_in_Estonia_2014.pdf"/>
    <hyperlink ref="Y22" r:id="rId7" display="http://www.euro.who.int/__data/assets/pdf_file/0003/191073/France-HIVAIDS-Country-Profile-2011-revision-2012-final.pdf"/>
    <hyperlink ref="AX22" r:id="rId8" display="http://www.unaids.org/sites/default/files/country/documents/NZL_narrative_report_2015.pdf"/>
    <hyperlink ref="BF22" r:id="rId9" display="http://www.pancap.org/saintlucia_2010_country_progress_report_en.pdf"/>
    <hyperlink ref="BN22" r:id="rId10" display="http://www.aidsdatahub.org/Country-Profiles/Timor-Leste"/>
    <hyperlink ref="BR22" r:id="rId11" display="http://ecdc.europa.eu/en/publications/Publications/dublin-declaration-treatment-care-support.pdf"/>
    <hyperlink ref="BS22" r:id="rId12" display="http://www.cdc.gov/nchhstp/newsroom/docs/factsheets/hiv-testing-us-508.pdf"/>
    <hyperlink ref="G23" r:id="rId13" display="http://bmcinfectdis.biomedcentral.com/articles/10.1186/s12879-015-1230-3"/>
    <hyperlink ref="I23" r:id="rId14" display="http://www.saarctb.org/new/wp-content/uploads/2015/09/HIV-update-2014.pdf"/>
    <hyperlink ref="K23" r:id="rId15" display="http://www.scielo.br/pdf/rsp/v40s0/en_03.pdf"/>
    <hyperlink ref="Q23" r:id="rId16" display="http://www.avert.org/professionals/hiv-around-world/asia-pacific/china"/>
    <hyperlink ref="AF23" r:id="rId17" display="http://www.saarctb.org/new/wp-content/uploads/2015/09/HIV-update-2014.pdf"/>
    <hyperlink ref="AR23" r:id="rId18" display="http://www.wpro.who.int/hiv/data/countries/mng/en/"/>
    <hyperlink ref="BF23" r:id="rId19" display="http://www.unaids.org/sites/default/files/country/documents/LCA_narrative_report_2015.pdf"/>
    <hyperlink ref="BN23" r:id="rId20" display="http://apps.who.int/gho/data/view.main.23300?lang=en"/>
    <hyperlink ref="BR23" r:id="rId21" display="https://www.gov.uk/government/uploads/system/uploads/attachment_data/file/401662/2014_PHE_HIV_annual_report_draft_Final_07-01-2015.pdf"/>
    <hyperlink ref="BS23" r:id="rId22" location="fig1" display="http://www.cdc.gov/mmwr/preview/mmwrhtml/mm6347a5.htm#fig1"/>
    <hyperlink ref="K24" r:id="rId23" display="http://image.thelancet.com/extras/01art9038web.pdf"/>
    <hyperlink ref="Q24" r:id="rId24" display="http://www.aidsdatahub.org/Country-Profiles/China"/>
    <hyperlink ref="AF24" r:id="rId25" display="http://naco.gov.in/upload/2015%20MSLNS/Annual%20report%20_NACO_2014-15.pdf"/>
    <hyperlink ref="AR24" r:id="rId26" display="http://data.unaids.org/pub/Report/2010/mongolia_2010_country_progress_report_en.pdf"/>
    <hyperlink ref="BS24" r:id="rId27" display="http://www.cdc.gov/mmwr/preview/mmwrhtml/mm6047a4.htm?s_cid=mm6047a4_w"/>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8"/>
</worksheet>
</file>

<file path=xl/worksheets/sheet3.xml><?xml version="1.0" encoding="utf-8"?>
<worksheet xmlns="http://schemas.openxmlformats.org/spreadsheetml/2006/main" xmlns:r="http://schemas.openxmlformats.org/officeDocument/2006/relationships">
  <sheetPr filterMode="false">
    <pageSetUpPr fitToPage="false"/>
  </sheetPr>
  <dimension ref="1: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DB2" activePane="bottomRight" state="frozen"/>
      <selection pane="topLeft" activeCell="A1" activeCellId="0" sqref="A1"/>
      <selection pane="topRight" activeCell="DB1" activeCellId="0" sqref="DB1"/>
      <selection pane="bottomLeft" activeCell="A2" activeCellId="0" sqref="A2"/>
      <selection pane="bottomRight" activeCell="DU1" activeCellId="0" sqref="DU1"/>
    </sheetView>
  </sheetViews>
  <sheetFormatPr defaultRowHeight="15"/>
  <cols>
    <col collapsed="false" hidden="false" max="1" min="1" style="0" width="30.2397959183673"/>
    <col collapsed="false" hidden="false" max="2" min="2" style="0" width="12.9591836734694"/>
    <col collapsed="false" hidden="false" max="40" min="3" style="0" width="8.36734693877551"/>
    <col collapsed="false" hidden="false" max="41" min="41" style="0" width="13.6326530612245"/>
    <col collapsed="false" hidden="false" max="119" min="42" style="0" width="8.36734693877551"/>
    <col collapsed="false" hidden="false" max="121" min="120" style="0" width="22.2755102040816"/>
    <col collapsed="false" hidden="false" max="122" min="122" style="0" width="13.3622448979592"/>
    <col collapsed="false" hidden="false" max="130" min="123" style="0" width="8.36734693877551"/>
    <col collapsed="false" hidden="false" max="131" min="131" style="0" width="12.8265306122449"/>
    <col collapsed="false" hidden="false" max="974" min="132" style="0" width="8.36734693877551"/>
    <col collapsed="false" hidden="false" max="1025" min="975" style="0" width="16.7397959183673"/>
  </cols>
  <sheetData>
    <row r="1" s="12" customFormat="true" ht="15" hidden="false" customHeight="false" outlineLevel="0" collapsed="false">
      <c r="A1" s="3" t="s">
        <v>214</v>
      </c>
      <c r="B1" s="12" t="s">
        <v>0</v>
      </c>
      <c r="C1" s="12" t="s">
        <v>1</v>
      </c>
      <c r="D1" s="12" t="s">
        <v>2</v>
      </c>
      <c r="E1" s="12" t="s">
        <v>3</v>
      </c>
      <c r="F1" s="12" t="s">
        <v>4</v>
      </c>
      <c r="G1" s="12" t="s">
        <v>5</v>
      </c>
      <c r="H1" s="12" t="s">
        <v>6</v>
      </c>
      <c r="I1" s="12" t="s">
        <v>7</v>
      </c>
      <c r="J1" s="12" t="s">
        <v>8</v>
      </c>
      <c r="K1" s="12" t="s">
        <v>9</v>
      </c>
      <c r="L1" s="12" t="s">
        <v>10</v>
      </c>
      <c r="M1" s="12" t="s">
        <v>11</v>
      </c>
      <c r="N1" s="12" t="s">
        <v>12</v>
      </c>
      <c r="O1" s="12" t="s">
        <v>13</v>
      </c>
      <c r="P1" s="12" t="s">
        <v>14</v>
      </c>
      <c r="Q1" s="12" t="s">
        <v>15</v>
      </c>
      <c r="R1" s="12" t="s">
        <v>16</v>
      </c>
      <c r="S1" s="12" t="s">
        <v>17</v>
      </c>
      <c r="T1" s="12" t="s">
        <v>18</v>
      </c>
      <c r="U1" s="12" t="s">
        <v>19</v>
      </c>
      <c r="V1" s="12" t="s">
        <v>20</v>
      </c>
      <c r="W1" s="12" t="s">
        <v>21</v>
      </c>
      <c r="X1" s="2" t="s">
        <v>22</v>
      </c>
      <c r="Y1" s="12" t="s">
        <v>23</v>
      </c>
      <c r="Z1" s="12" t="s">
        <v>24</v>
      </c>
      <c r="AA1" s="12" t="s">
        <v>25</v>
      </c>
      <c r="AB1" s="12" t="s">
        <v>26</v>
      </c>
      <c r="AC1" s="12" t="s">
        <v>27</v>
      </c>
      <c r="AD1" s="12" t="s">
        <v>28</v>
      </c>
      <c r="AE1" s="12" t="s">
        <v>29</v>
      </c>
      <c r="AF1" s="12" t="s">
        <v>30</v>
      </c>
      <c r="AG1" s="12" t="s">
        <v>31</v>
      </c>
      <c r="AH1" s="12" t="s">
        <v>32</v>
      </c>
      <c r="AI1" s="12" t="s">
        <v>33</v>
      </c>
      <c r="AJ1" s="12" t="s">
        <v>34</v>
      </c>
      <c r="AK1" s="12" t="s">
        <v>35</v>
      </c>
      <c r="AL1" s="12" t="s">
        <v>36</v>
      </c>
      <c r="AM1" s="12" t="s">
        <v>37</v>
      </c>
      <c r="AN1" s="12" t="s">
        <v>38</v>
      </c>
      <c r="AO1" s="12" t="s">
        <v>39</v>
      </c>
      <c r="AP1" s="12" t="s">
        <v>40</v>
      </c>
      <c r="AQ1" s="12" t="s">
        <v>41</v>
      </c>
      <c r="AR1" s="12" t="s">
        <v>42</v>
      </c>
      <c r="AS1" s="12" t="s">
        <v>43</v>
      </c>
      <c r="AT1" s="12" t="s">
        <v>44</v>
      </c>
      <c r="AU1" s="12" t="s">
        <v>45</v>
      </c>
      <c r="AV1" s="12" t="s">
        <v>46</v>
      </c>
      <c r="AW1" s="12" t="s">
        <v>47</v>
      </c>
      <c r="AX1" s="12" t="s">
        <v>48</v>
      </c>
      <c r="AY1" s="12" t="s">
        <v>49</v>
      </c>
      <c r="AZ1" s="12" t="s">
        <v>50</v>
      </c>
      <c r="BA1" s="12" t="s">
        <v>51</v>
      </c>
      <c r="BB1" s="12" t="s">
        <v>52</v>
      </c>
      <c r="BC1" s="12" t="s">
        <v>53</v>
      </c>
      <c r="BD1" s="12" t="s">
        <v>54</v>
      </c>
      <c r="BE1" s="12" t="s">
        <v>55</v>
      </c>
      <c r="BF1" s="12" t="s">
        <v>56</v>
      </c>
      <c r="BG1" s="12" t="s">
        <v>57</v>
      </c>
      <c r="BH1" s="12" t="s">
        <v>58</v>
      </c>
      <c r="BI1" s="12" t="s">
        <v>59</v>
      </c>
      <c r="BJ1" s="12" t="s">
        <v>61</v>
      </c>
      <c r="BK1" s="12" t="s">
        <v>62</v>
      </c>
      <c r="BL1" s="12" t="s">
        <v>63</v>
      </c>
      <c r="BM1" s="12" t="s">
        <v>64</v>
      </c>
      <c r="BN1" s="12" t="s">
        <v>65</v>
      </c>
      <c r="BO1" s="12" t="s">
        <v>66</v>
      </c>
      <c r="BP1" s="12" t="s">
        <v>67</v>
      </c>
      <c r="BQ1" s="12" t="s">
        <v>68</v>
      </c>
      <c r="BR1" s="12" t="s">
        <v>69</v>
      </c>
      <c r="BS1" s="12" t="s">
        <v>70</v>
      </c>
      <c r="BT1" s="12" t="s">
        <v>71</v>
      </c>
      <c r="BU1" s="12" t="s">
        <v>72</v>
      </c>
      <c r="BV1" s="12" t="s">
        <v>73</v>
      </c>
      <c r="BW1" s="12" t="s">
        <v>74</v>
      </c>
      <c r="BX1" s="12" t="s">
        <v>75</v>
      </c>
      <c r="BY1" s="12" t="s">
        <v>76</v>
      </c>
      <c r="BZ1" s="12" t="s">
        <v>77</v>
      </c>
      <c r="CA1" s="12" t="s">
        <v>78</v>
      </c>
      <c r="CB1" s="12" t="s">
        <v>79</v>
      </c>
      <c r="CC1" s="12" t="s">
        <v>80</v>
      </c>
      <c r="CD1" s="12" t="s">
        <v>81</v>
      </c>
      <c r="CE1" s="12" t="s">
        <v>82</v>
      </c>
      <c r="CF1" s="12" t="s">
        <v>83</v>
      </c>
      <c r="CG1" s="12" t="s">
        <v>84</v>
      </c>
      <c r="CH1" s="12" t="s">
        <v>85</v>
      </c>
      <c r="CI1" s="12" t="s">
        <v>86</v>
      </c>
      <c r="CJ1" s="12" t="s">
        <v>87</v>
      </c>
      <c r="CK1" s="12" t="s">
        <v>88</v>
      </c>
      <c r="CL1" s="12" t="s">
        <v>89</v>
      </c>
      <c r="CM1" s="12" t="s">
        <v>90</v>
      </c>
      <c r="CN1" s="12" t="s">
        <v>91</v>
      </c>
      <c r="CO1" s="12" t="s">
        <v>92</v>
      </c>
      <c r="CP1" s="12" t="s">
        <v>93</v>
      </c>
      <c r="CQ1" s="12" t="s">
        <v>94</v>
      </c>
      <c r="CR1" s="12" t="s">
        <v>95</v>
      </c>
      <c r="CS1" s="12" t="s">
        <v>96</v>
      </c>
      <c r="CT1" s="12" t="s">
        <v>97</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c r="DH1" s="2" t="s">
        <v>112</v>
      </c>
      <c r="DI1" s="12" t="s">
        <v>113</v>
      </c>
      <c r="DJ1" s="12" t="s">
        <v>114</v>
      </c>
      <c r="DK1" s="12" t="s">
        <v>115</v>
      </c>
      <c r="DL1" s="12" t="s">
        <v>116</v>
      </c>
      <c r="DM1" s="12" t="s">
        <v>117</v>
      </c>
      <c r="DN1" s="12" t="s">
        <v>118</v>
      </c>
      <c r="DO1" s="12" t="s">
        <v>119</v>
      </c>
      <c r="DP1" s="12" t="s">
        <v>120</v>
      </c>
      <c r="DQ1" s="12" t="s">
        <v>121</v>
      </c>
      <c r="DR1" s="12" t="s">
        <v>122</v>
      </c>
      <c r="DS1" s="12" t="s">
        <v>123</v>
      </c>
      <c r="DT1" s="12" t="s">
        <v>124</v>
      </c>
      <c r="DU1" s="2" t="s">
        <v>125</v>
      </c>
      <c r="DV1" s="12" t="s">
        <v>126</v>
      </c>
      <c r="DW1" s="12" t="s">
        <v>127</v>
      </c>
      <c r="DX1" s="12" t="s">
        <v>128</v>
      </c>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1" customFormat="true" ht="15" hidden="false" customHeight="false" outlineLevel="0" collapsed="false">
      <c r="A2" s="3" t="s">
        <v>215</v>
      </c>
      <c r="B2" s="11" t="n">
        <v>15426453.58488</v>
      </c>
      <c r="C2" s="11" t="n">
        <v>21534400.0344</v>
      </c>
      <c r="D2" s="11" t="n">
        <v>10797120</v>
      </c>
      <c r="E2" s="11" t="n">
        <v>21608220</v>
      </c>
      <c r="F2" s="11" t="n">
        <v>1513966</v>
      </c>
      <c r="G2" s="11" t="n">
        <v>11425104</v>
      </c>
      <c r="H2" s="11" t="n">
        <v>3981289.378472</v>
      </c>
      <c r="I2" s="11" t="n">
        <v>5281999.98154</v>
      </c>
      <c r="J2" s="11" t="n">
        <v>202312</v>
      </c>
      <c r="K2" s="11" t="n">
        <v>90027400.26</v>
      </c>
      <c r="L2" s="11" t="n">
        <v>129888</v>
      </c>
      <c r="M2" s="11" t="n">
        <v>4500832</v>
      </c>
      <c r="N2" s="11" t="n">
        <v>5053173.31221738</v>
      </c>
      <c r="O2" s="11" t="n">
        <v>192075</v>
      </c>
      <c r="P2" s="11" t="n">
        <v>5162580</v>
      </c>
      <c r="Q2" s="11" t="n">
        <v>454408.5</v>
      </c>
      <c r="R2" s="11" t="n">
        <v>5497458</v>
      </c>
      <c r="S2" s="11" t="n">
        <v>985726</v>
      </c>
      <c r="T2" s="11" t="n">
        <v>112322000</v>
      </c>
      <c r="U2" s="11" t="n">
        <v>3239058.57695106</v>
      </c>
      <c r="V2" s="11" t="n">
        <v>8291136</v>
      </c>
      <c r="W2" s="11" t="n">
        <v>5091570</v>
      </c>
      <c r="X2" s="11" t="n">
        <v>8374450</v>
      </c>
      <c r="Y2" s="11" t="n">
        <v>10705550</v>
      </c>
      <c r="Z2" s="11" t="n">
        <v>16634550.0054</v>
      </c>
      <c r="AA2" s="11" t="n">
        <v>290070</v>
      </c>
      <c r="AB2" s="11" t="n">
        <v>2343942</v>
      </c>
      <c r="AC2" s="11" t="n">
        <v>6082860</v>
      </c>
      <c r="AD2" s="11" t="n">
        <v>9290046</v>
      </c>
      <c r="AE2" s="11" t="n">
        <v>748507629.94842</v>
      </c>
      <c r="AF2" s="11" t="n">
        <v>26067010</v>
      </c>
      <c r="AG2" s="11" t="n">
        <v>2096604</v>
      </c>
      <c r="AH2" s="11" t="n">
        <v>2569269</v>
      </c>
      <c r="AI2" s="11" t="n">
        <v>5613000.00205</v>
      </c>
      <c r="AJ2" s="11" t="n">
        <v>10411808</v>
      </c>
      <c r="AK2" s="11" t="n">
        <v>34274592</v>
      </c>
      <c r="AL2" s="11" t="n">
        <v>2554468.62082503</v>
      </c>
      <c r="AM2" s="11" t="n">
        <v>473304</v>
      </c>
      <c r="AN2" s="11" t="n">
        <v>5386590</v>
      </c>
      <c r="AO2" s="11" t="n">
        <v>8453563</v>
      </c>
      <c r="AP2" s="11" t="n">
        <v>46814635.2</v>
      </c>
      <c r="AQ2" s="11" t="n">
        <v>3231760</v>
      </c>
      <c r="AR2" s="11" t="n">
        <v>381351</v>
      </c>
      <c r="AS2" s="11" t="n">
        <v>2525754</v>
      </c>
      <c r="AT2" s="11" t="n">
        <v>569759.05864</v>
      </c>
      <c r="AU2" s="11" t="n">
        <v>47619624</v>
      </c>
      <c r="AV2" s="11" t="n">
        <v>28614091.199163</v>
      </c>
      <c r="AW2" s="11" t="n">
        <v>826358</v>
      </c>
      <c r="AX2" s="11" t="n">
        <v>894602</v>
      </c>
      <c r="AY2" s="11" t="n">
        <v>1831644</v>
      </c>
      <c r="AZ2" s="11" t="n">
        <v>13510320</v>
      </c>
      <c r="BA2" s="11" t="n">
        <v>4860375</v>
      </c>
      <c r="BB2" s="11" t="n">
        <v>8259146</v>
      </c>
      <c r="BC2" s="11" t="n">
        <v>5814456</v>
      </c>
      <c r="BD2" s="11" t="n">
        <v>388090</v>
      </c>
      <c r="BE2" s="11" t="n">
        <v>5530358</v>
      </c>
      <c r="BF2" s="11" t="n">
        <v>4382400</v>
      </c>
      <c r="BG2" s="11" t="n">
        <v>699894000</v>
      </c>
      <c r="BH2" s="11" t="n">
        <v>139319600</v>
      </c>
      <c r="BI2" s="11" t="n">
        <v>46944009</v>
      </c>
      <c r="BJ2" s="11" t="n">
        <v>26015520</v>
      </c>
      <c r="BK2" s="11" t="n">
        <v>1442544</v>
      </c>
      <c r="BL2" s="11" t="n">
        <v>8969026</v>
      </c>
      <c r="BM2" s="11" t="n">
        <v>21155562</v>
      </c>
      <c r="BN2" s="11" t="n">
        <v>3101784</v>
      </c>
      <c r="BO2" s="11" t="n">
        <v>3594185</v>
      </c>
      <c r="BP2" s="11" t="n">
        <v>2558600.01007</v>
      </c>
      <c r="BQ2" s="11" t="n">
        <v>878128</v>
      </c>
      <c r="BR2" s="11" t="n">
        <v>2116460</v>
      </c>
      <c r="BS2" s="11" t="n">
        <v>11657184</v>
      </c>
      <c r="BT2" s="11" t="n">
        <v>7240185</v>
      </c>
      <c r="BU2" s="11" t="n">
        <v>17109288</v>
      </c>
      <c r="BV2" s="11" t="n">
        <v>7717353</v>
      </c>
      <c r="BW2" s="11" t="n">
        <v>1983030</v>
      </c>
      <c r="BX2" s="11" t="n">
        <v>655051</v>
      </c>
      <c r="BY2" s="11" t="n">
        <v>68794136</v>
      </c>
      <c r="BZ2" s="11" t="n">
        <v>1671114.12095195</v>
      </c>
      <c r="CA2" s="11" t="n">
        <v>18241740</v>
      </c>
      <c r="CB2" s="11" t="n">
        <v>11227775</v>
      </c>
      <c r="CC2" s="11" t="n">
        <v>28887040</v>
      </c>
      <c r="CD2" s="11" t="n">
        <v>1108026</v>
      </c>
      <c r="CE2" s="11" t="n">
        <v>14692556</v>
      </c>
      <c r="CF2" s="11" t="n">
        <v>7478583.22555</v>
      </c>
      <c r="CG2" s="11" t="n">
        <v>2082799.99256</v>
      </c>
      <c r="CH2" s="11" t="n">
        <v>3321007</v>
      </c>
      <c r="CI2" s="11" t="n">
        <v>7954030</v>
      </c>
      <c r="CJ2" s="11" t="n">
        <v>81915384</v>
      </c>
      <c r="CK2" s="11" t="n">
        <v>97542999.89798</v>
      </c>
      <c r="CL2" s="11" t="n">
        <v>2047566</v>
      </c>
      <c r="CM2" s="11" t="n">
        <v>3903520</v>
      </c>
      <c r="CN2" s="11" t="n">
        <v>3521856</v>
      </c>
      <c r="CO2" s="11" t="n">
        <v>16709720</v>
      </c>
      <c r="CP2" s="11" t="n">
        <v>52999512.91803</v>
      </c>
      <c r="CQ2" s="11" t="n">
        <v>1881642</v>
      </c>
      <c r="CR2" s="11" t="n">
        <v>67599426.5331534</v>
      </c>
      <c r="CS2" s="11" t="n">
        <v>5524990</v>
      </c>
      <c r="CT2" s="11" t="n">
        <v>97328.15218</v>
      </c>
      <c r="CU2" s="11" t="n">
        <v>7091365</v>
      </c>
      <c r="CV2" s="11" t="n">
        <v>3072531</v>
      </c>
      <c r="CW2" s="11" t="n">
        <v>4742170</v>
      </c>
      <c r="CX2" s="11" t="n">
        <v>24319992</v>
      </c>
      <c r="CY2" s="11" t="n">
        <v>5734950</v>
      </c>
      <c r="CZ2" s="11" t="n">
        <v>21434916</v>
      </c>
      <c r="DA2" s="11" t="n">
        <v>10401665.6137</v>
      </c>
      <c r="DB2" s="11" t="n">
        <v>19623951</v>
      </c>
      <c r="DC2" s="11" t="n">
        <v>279887</v>
      </c>
      <c r="DD2" s="11" t="n">
        <v>480390</v>
      </c>
      <c r="DE2" s="11" t="n">
        <v>4388843.05</v>
      </c>
      <c r="DF2" s="11" t="n">
        <v>3878315.8291098</v>
      </c>
      <c r="DG2" s="11" t="n">
        <v>4455593</v>
      </c>
      <c r="DH2" s="11" t="n">
        <v>35059061</v>
      </c>
      <c r="DI2" s="11" t="n">
        <v>558457.999999991</v>
      </c>
      <c r="DJ2" s="11" t="n">
        <v>3448208</v>
      </c>
      <c r="DK2" s="11" t="n">
        <v>699504</v>
      </c>
      <c r="DL2" s="11" t="n">
        <v>5991399.98262</v>
      </c>
      <c r="DM2" s="11" t="n">
        <v>16223127</v>
      </c>
      <c r="DN2" s="11" t="n">
        <v>21463078</v>
      </c>
      <c r="DO2" s="11" t="n">
        <v>29834475.4846</v>
      </c>
      <c r="DP2" s="11" t="n">
        <v>23200785</v>
      </c>
      <c r="DQ2" s="11" t="n">
        <v>148445170.19</v>
      </c>
      <c r="DR2" s="11" t="n">
        <v>1641750</v>
      </c>
      <c r="DS2" s="11" t="n">
        <v>17101728</v>
      </c>
      <c r="DT2" s="11" t="n">
        <v>16376705</v>
      </c>
      <c r="DU2" s="11" t="n">
        <v>50938030</v>
      </c>
      <c r="DV2" s="11" t="n">
        <v>13477199.98042</v>
      </c>
      <c r="DW2" s="11" t="n">
        <v>6535113</v>
      </c>
      <c r="DX2" s="11" t="n">
        <v>6701168</v>
      </c>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1" customFormat="true" ht="15" hidden="false" customHeight="false" outlineLevel="0" collapsed="false">
      <c r="A3" s="3" t="s">
        <v>216</v>
      </c>
      <c r="B3" s="11" t="n">
        <v>0</v>
      </c>
      <c r="C3" s="11" t="n">
        <v>0</v>
      </c>
      <c r="D3" s="11" t="n">
        <v>0</v>
      </c>
      <c r="E3" s="11" t="n">
        <v>0</v>
      </c>
      <c r="F3" s="11" t="n">
        <v>0</v>
      </c>
      <c r="G3" s="11" t="n">
        <v>0</v>
      </c>
      <c r="H3" s="11" t="n">
        <v>0</v>
      </c>
      <c r="I3" s="11" t="n">
        <v>0</v>
      </c>
      <c r="J3" s="11" t="n">
        <v>0</v>
      </c>
      <c r="K3" s="11" t="n">
        <v>0</v>
      </c>
      <c r="L3" s="11" t="n">
        <v>0</v>
      </c>
      <c r="M3" s="11" t="n">
        <v>0</v>
      </c>
      <c r="N3" s="11" t="n">
        <v>0</v>
      </c>
      <c r="O3" s="11" t="n">
        <v>0</v>
      </c>
      <c r="P3" s="11" t="n">
        <v>0</v>
      </c>
      <c r="Q3" s="11" t="n">
        <v>0</v>
      </c>
      <c r="R3" s="11" t="n">
        <v>0</v>
      </c>
      <c r="S3" s="11" t="n">
        <v>0</v>
      </c>
      <c r="T3" s="11" t="n">
        <v>0</v>
      </c>
      <c r="U3" s="11" t="n">
        <v>0</v>
      </c>
      <c r="V3" s="11" t="n">
        <v>0</v>
      </c>
      <c r="W3" s="11" t="n">
        <v>0</v>
      </c>
      <c r="X3" s="11" t="n">
        <v>0</v>
      </c>
      <c r="Y3" s="11" t="n">
        <v>0</v>
      </c>
      <c r="Z3" s="11" t="n">
        <v>0</v>
      </c>
      <c r="AA3" s="11" t="n">
        <v>0</v>
      </c>
      <c r="AB3" s="11" t="n">
        <v>0</v>
      </c>
      <c r="AC3" s="11" t="n">
        <v>0</v>
      </c>
      <c r="AD3" s="11" t="n">
        <v>0</v>
      </c>
      <c r="AE3" s="11" t="n">
        <v>0</v>
      </c>
      <c r="AF3" s="11" t="n">
        <v>0</v>
      </c>
      <c r="AG3" s="11" t="n">
        <v>0</v>
      </c>
      <c r="AH3" s="11" t="n">
        <v>0</v>
      </c>
      <c r="AI3" s="11" t="n">
        <v>0</v>
      </c>
      <c r="AJ3" s="11" t="n">
        <v>0</v>
      </c>
      <c r="AK3" s="11" t="n">
        <v>0</v>
      </c>
      <c r="AL3" s="11" t="n">
        <v>0</v>
      </c>
      <c r="AM3" s="11" t="n">
        <v>0</v>
      </c>
      <c r="AN3" s="11" t="n">
        <v>0</v>
      </c>
      <c r="AO3" s="11" t="n">
        <v>0</v>
      </c>
      <c r="AP3" s="11" t="n">
        <v>0</v>
      </c>
      <c r="AQ3" s="11" t="n">
        <v>0</v>
      </c>
      <c r="AR3" s="11" t="n">
        <v>0</v>
      </c>
      <c r="AS3" s="11" t="n">
        <v>0</v>
      </c>
      <c r="AT3" s="11" t="n">
        <v>0</v>
      </c>
      <c r="AU3" s="11" t="n">
        <v>0</v>
      </c>
      <c r="AV3" s="11" t="n">
        <v>0</v>
      </c>
      <c r="AW3" s="11" t="n">
        <v>0</v>
      </c>
      <c r="AX3" s="11" t="n">
        <v>0</v>
      </c>
      <c r="AY3" s="11" t="n">
        <v>0</v>
      </c>
      <c r="AZ3" s="11" t="n">
        <v>0</v>
      </c>
      <c r="BA3" s="11" t="n">
        <v>0</v>
      </c>
      <c r="BB3" s="11" t="n">
        <v>0</v>
      </c>
      <c r="BC3" s="11" t="n">
        <v>0</v>
      </c>
      <c r="BD3" s="11" t="n">
        <v>0</v>
      </c>
      <c r="BE3" s="11" t="n">
        <v>0</v>
      </c>
      <c r="BF3" s="11" t="n">
        <v>0</v>
      </c>
      <c r="BG3" s="11" t="n">
        <v>0</v>
      </c>
      <c r="BH3" s="11" t="n">
        <v>0</v>
      </c>
      <c r="BI3" s="11" t="n">
        <v>0</v>
      </c>
      <c r="BJ3" s="11" t="n">
        <v>0</v>
      </c>
      <c r="BK3" s="11" t="n">
        <v>0</v>
      </c>
      <c r="BL3" s="11" t="n">
        <v>0</v>
      </c>
      <c r="BM3" s="11" t="n">
        <v>0</v>
      </c>
      <c r="BN3" s="11" t="n">
        <v>0</v>
      </c>
      <c r="BO3" s="11" t="n">
        <v>0</v>
      </c>
      <c r="BP3" s="11" t="n">
        <v>0</v>
      </c>
      <c r="BQ3" s="11" t="n">
        <v>0</v>
      </c>
      <c r="BR3" s="11" t="n">
        <v>0</v>
      </c>
      <c r="BS3" s="11" t="n">
        <v>0</v>
      </c>
      <c r="BT3" s="11" t="n">
        <v>0</v>
      </c>
      <c r="BU3" s="11" t="n">
        <v>0</v>
      </c>
      <c r="BV3" s="11" t="n">
        <v>0</v>
      </c>
      <c r="BW3" s="11" t="n">
        <v>0</v>
      </c>
      <c r="BX3" s="11" t="n">
        <v>0</v>
      </c>
      <c r="BY3" s="11" t="n">
        <v>0</v>
      </c>
      <c r="BZ3" s="11" t="n">
        <v>0</v>
      </c>
      <c r="CA3" s="11" t="n">
        <v>0</v>
      </c>
      <c r="CB3" s="11" t="n">
        <v>0</v>
      </c>
      <c r="CC3" s="11" t="n">
        <v>0</v>
      </c>
      <c r="CD3" s="11" t="n">
        <v>0</v>
      </c>
      <c r="CE3" s="11" t="n">
        <v>0</v>
      </c>
      <c r="CF3" s="11" t="n">
        <v>0</v>
      </c>
      <c r="CG3" s="11" t="n">
        <v>0</v>
      </c>
      <c r="CH3" s="11" t="n">
        <v>0</v>
      </c>
      <c r="CI3" s="11" t="n">
        <v>0</v>
      </c>
      <c r="CJ3" s="11" t="n">
        <v>0</v>
      </c>
      <c r="CK3" s="11" t="n">
        <v>0</v>
      </c>
      <c r="CL3" s="11" t="n">
        <v>0</v>
      </c>
      <c r="CM3" s="11" t="n">
        <v>0</v>
      </c>
      <c r="CN3" s="11" t="n">
        <v>0</v>
      </c>
      <c r="CO3" s="11" t="n">
        <v>0</v>
      </c>
      <c r="CP3" s="11" t="n">
        <v>0</v>
      </c>
      <c r="CQ3" s="11" t="n">
        <v>0</v>
      </c>
      <c r="CR3" s="11" t="n">
        <v>0</v>
      </c>
      <c r="CS3" s="11" t="n">
        <v>0</v>
      </c>
      <c r="CT3" s="11" t="n">
        <v>0</v>
      </c>
      <c r="CU3" s="11" t="n">
        <v>0</v>
      </c>
      <c r="CV3" s="11" t="n">
        <v>0</v>
      </c>
      <c r="CW3" s="11" t="n">
        <v>0</v>
      </c>
      <c r="CX3" s="11" t="n">
        <v>0</v>
      </c>
      <c r="CY3" s="11" t="n">
        <v>0</v>
      </c>
      <c r="CZ3" s="11" t="n">
        <v>0</v>
      </c>
      <c r="DA3" s="11" t="n">
        <v>0</v>
      </c>
      <c r="DB3" s="11" t="n">
        <v>0</v>
      </c>
      <c r="DC3" s="11" t="n">
        <v>0</v>
      </c>
      <c r="DD3" s="11" t="n">
        <v>0</v>
      </c>
      <c r="DE3" s="11" t="n">
        <v>0</v>
      </c>
      <c r="DF3" s="11" t="n">
        <v>0</v>
      </c>
      <c r="DG3" s="11" t="n">
        <v>0</v>
      </c>
      <c r="DH3" s="11" t="n">
        <v>0</v>
      </c>
      <c r="DI3" s="11" t="n">
        <v>0</v>
      </c>
      <c r="DJ3" s="11" t="n">
        <v>0</v>
      </c>
      <c r="DK3" s="11" t="n">
        <v>0</v>
      </c>
      <c r="DL3" s="11" t="n">
        <v>0</v>
      </c>
      <c r="DM3" s="11" t="n">
        <v>0</v>
      </c>
      <c r="DN3" s="11" t="n">
        <v>0</v>
      </c>
      <c r="DO3" s="11" t="n">
        <v>0</v>
      </c>
      <c r="DP3" s="11" t="n">
        <v>0</v>
      </c>
      <c r="DQ3" s="11" t="n">
        <v>0</v>
      </c>
      <c r="DR3" s="11" t="n">
        <v>0</v>
      </c>
      <c r="DS3" s="11" t="n">
        <v>0</v>
      </c>
      <c r="DT3" s="11" t="n">
        <v>0</v>
      </c>
      <c r="DU3" s="11" t="n">
        <v>0</v>
      </c>
      <c r="DV3" s="11" t="n">
        <v>0</v>
      </c>
      <c r="DW3" s="11" t="n">
        <v>0</v>
      </c>
      <c r="DX3" s="11" t="n">
        <v>0</v>
      </c>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3" t="s">
        <v>217</v>
      </c>
      <c r="B4" s="11" t="n">
        <v>5269.094364</v>
      </c>
      <c r="C4" s="11" t="n">
        <v>601.997592</v>
      </c>
      <c r="D4" s="11" t="n">
        <v>179731.2</v>
      </c>
      <c r="E4" s="11" t="n">
        <v>18223.8</v>
      </c>
      <c r="F4" s="11" t="n">
        <v>1638.36</v>
      </c>
      <c r="G4" s="11" t="n">
        <v>2289.6</v>
      </c>
      <c r="H4" s="11" t="n">
        <v>3742.1243056</v>
      </c>
      <c r="I4" s="11" t="n">
        <v>7150.011999</v>
      </c>
      <c r="J4" s="11" t="n">
        <v>4213.44</v>
      </c>
      <c r="K4" s="5" t="n">
        <v>6143.836762</v>
      </c>
      <c r="L4" s="11" t="n">
        <v>316.8</v>
      </c>
      <c r="M4" s="11" t="n">
        <v>21734.4</v>
      </c>
      <c r="N4" s="11" t="n">
        <v>4165.337556524</v>
      </c>
      <c r="O4" s="11" t="n">
        <v>1579.5</v>
      </c>
      <c r="P4" s="11" t="n">
        <v>29858.4</v>
      </c>
      <c r="Q4" s="11" t="n">
        <v>353.1255</v>
      </c>
      <c r="R4" s="11" t="n">
        <v>11744.82</v>
      </c>
      <c r="S4" s="11" t="n">
        <v>56254.8</v>
      </c>
      <c r="T4" s="11" t="n">
        <v>305100</v>
      </c>
      <c r="U4" s="11" t="n">
        <v>3080.423048937</v>
      </c>
      <c r="V4" s="11" t="n">
        <v>11366.88</v>
      </c>
      <c r="W4" s="11" t="n">
        <v>23657.8</v>
      </c>
      <c r="X4" s="11" t="n">
        <v>9099</v>
      </c>
      <c r="Y4" s="11" t="n">
        <v>368248.5</v>
      </c>
      <c r="Z4" s="11" t="n">
        <v>15844.498866</v>
      </c>
      <c r="AA4" s="11" t="n">
        <v>2080.3</v>
      </c>
      <c r="AB4" s="11" t="n">
        <v>68444.08</v>
      </c>
      <c r="AC4" s="11" t="n">
        <v>79449.6</v>
      </c>
      <c r="AD4" s="11" t="n">
        <v>2795.4</v>
      </c>
      <c r="AE4" s="11" t="n">
        <v>176306.353084885</v>
      </c>
      <c r="AF4" s="11" t="n">
        <v>72044.5</v>
      </c>
      <c r="AG4" s="11" t="n">
        <v>37807.896</v>
      </c>
      <c r="AH4" s="11" t="n">
        <v>3401.64</v>
      </c>
      <c r="AI4" s="11" t="n">
        <v>7919.999262</v>
      </c>
      <c r="AJ4" s="11" t="n">
        <v>168654.08</v>
      </c>
      <c r="AK4" s="11" t="n">
        <v>185193.36</v>
      </c>
      <c r="AL4" s="11" t="n">
        <v>979.7068762455</v>
      </c>
      <c r="AM4" s="11" t="n">
        <v>2308.8</v>
      </c>
      <c r="AN4" s="11" t="n">
        <v>28837.3</v>
      </c>
      <c r="AO4" s="11" t="n">
        <v>11955.39</v>
      </c>
      <c r="AP4" s="11" t="n">
        <v>5564.8</v>
      </c>
      <c r="AQ4" s="11" t="n">
        <v>7470.4</v>
      </c>
      <c r="AR4" s="11" t="n">
        <v>13557.81</v>
      </c>
      <c r="AS4" s="11" t="n">
        <v>6098.4</v>
      </c>
      <c r="AT4" s="11" t="n">
        <v>2241.3223768</v>
      </c>
      <c r="AU4" s="11" t="n">
        <v>164894.9976</v>
      </c>
      <c r="AV4" s="11" t="n">
        <v>27912.67215903</v>
      </c>
      <c r="AW4" s="11" t="n">
        <v>4896.3</v>
      </c>
      <c r="AX4" s="11" t="n">
        <v>12462.48</v>
      </c>
      <c r="AY4" s="11" t="n">
        <v>4192.92</v>
      </c>
      <c r="AZ4" s="11" t="n">
        <v>144988.8</v>
      </c>
      <c r="BA4" s="11" t="n">
        <v>1431.421875</v>
      </c>
      <c r="BB4" s="11" t="n">
        <v>30909.48</v>
      </c>
      <c r="BC4" s="11" t="n">
        <v>64289.92</v>
      </c>
      <c r="BD4" s="11" t="n">
        <v>2482.2</v>
      </c>
      <c r="BE4" s="11" t="n">
        <v>43995.32</v>
      </c>
      <c r="BF4" s="11" t="n">
        <v>7744</v>
      </c>
      <c r="BG4" s="11" t="n">
        <v>100285.714285714</v>
      </c>
      <c r="BH4" s="11" t="n">
        <v>619164</v>
      </c>
      <c r="BI4" s="11" t="n">
        <v>32423.79</v>
      </c>
      <c r="BJ4" s="11" t="n">
        <v>31344</v>
      </c>
      <c r="BK4" s="11" t="n">
        <v>15715.52</v>
      </c>
      <c r="BL4" s="11" t="n">
        <v>5032.72</v>
      </c>
      <c r="BM4" s="11" t="n">
        <v>557103.96</v>
      </c>
      <c r="BN4" s="11" t="n">
        <v>3108</v>
      </c>
      <c r="BO4" s="11" t="n">
        <v>4109.7</v>
      </c>
      <c r="BP4" s="11" t="n">
        <v>1535.9935552</v>
      </c>
      <c r="BQ4" s="11" t="n">
        <v>85097.76</v>
      </c>
      <c r="BR4" s="11" t="n">
        <v>13888.6</v>
      </c>
      <c r="BS4" s="11" t="n">
        <v>44943.36</v>
      </c>
      <c r="BT4" s="11" t="n">
        <v>282677.85</v>
      </c>
      <c r="BU4" s="11" t="n">
        <v>8176.728</v>
      </c>
      <c r="BV4" s="11" t="n">
        <v>29477.63</v>
      </c>
      <c r="BW4" s="11" t="n">
        <v>9815.4</v>
      </c>
      <c r="BX4" s="11" t="n">
        <v>2082.15</v>
      </c>
      <c r="BY4" s="11" t="n">
        <v>57902.88</v>
      </c>
      <c r="BZ4" s="11" t="n">
        <v>1112.66863834714</v>
      </c>
      <c r="CA4" s="11" t="n">
        <v>9860.4</v>
      </c>
      <c r="CB4" s="11" t="n">
        <v>619095.75</v>
      </c>
      <c r="CC4" s="11" t="n">
        <v>123468.8</v>
      </c>
      <c r="CD4" s="11" t="n">
        <v>52691.94</v>
      </c>
      <c r="CE4" s="11" t="n">
        <v>12660.92</v>
      </c>
      <c r="CF4" s="11" t="n">
        <v>7132.5291015</v>
      </c>
      <c r="CG4" s="11" t="n">
        <v>480.001116</v>
      </c>
      <c r="CH4" s="11" t="n">
        <v>5296.29</v>
      </c>
      <c r="CI4" s="11" t="n">
        <v>28778.4</v>
      </c>
      <c r="CJ4" s="11" t="n">
        <v>1100658.72</v>
      </c>
      <c r="CK4" s="11" t="n">
        <v>94000.0958988</v>
      </c>
      <c r="CL4" s="11" t="n">
        <v>5917.94</v>
      </c>
      <c r="CM4" s="11" t="n">
        <v>5981.2</v>
      </c>
      <c r="CN4" s="11" t="n">
        <v>4101.76</v>
      </c>
      <c r="CO4" s="11" t="n">
        <v>18100.8</v>
      </c>
      <c r="CP4" s="11" t="n">
        <v>13870.2203289</v>
      </c>
      <c r="CQ4" s="11" t="n">
        <v>6701.22</v>
      </c>
      <c r="CR4" s="11" t="n">
        <v>772942.134590702</v>
      </c>
      <c r="CS4" s="11" t="n">
        <v>24751.5</v>
      </c>
      <c r="CT4" s="11" t="n">
        <v>337.624345222552</v>
      </c>
      <c r="CU4" s="11" t="n">
        <v>15679.4</v>
      </c>
      <c r="CV4" s="11" t="n">
        <v>29542.37</v>
      </c>
      <c r="CW4" s="11" t="n">
        <v>21923.6</v>
      </c>
      <c r="CX4" s="11" t="n">
        <v>2484973.44</v>
      </c>
      <c r="CY4" s="11" t="n">
        <v>130874.5</v>
      </c>
      <c r="CZ4" s="11" t="n">
        <v>22381.84</v>
      </c>
      <c r="DA4" s="11" t="n">
        <v>1833.912465</v>
      </c>
      <c r="DB4" s="11" t="n">
        <v>54325.08</v>
      </c>
      <c r="DC4" s="11" t="n">
        <v>1431.98</v>
      </c>
      <c r="DD4" s="11" t="n">
        <v>62571.3</v>
      </c>
      <c r="DE4" s="5" t="n">
        <v>1015.694957</v>
      </c>
      <c r="DF4" s="11" t="n">
        <v>4137.11155141974</v>
      </c>
      <c r="DG4" s="11" t="n">
        <v>8848.62</v>
      </c>
      <c r="DH4" s="11" t="n">
        <v>66289.63</v>
      </c>
      <c r="DI4" s="11" t="n">
        <v>304.875000005063</v>
      </c>
      <c r="DJ4" s="11" t="n">
        <v>50027.28</v>
      </c>
      <c r="DK4" s="11" t="n">
        <v>3228.48</v>
      </c>
      <c r="DL4" s="11" t="n">
        <v>1014.0067782</v>
      </c>
      <c r="DM4" s="11" t="n">
        <v>458753.01</v>
      </c>
      <c r="DN4" s="11" t="n">
        <v>142293.06</v>
      </c>
      <c r="DO4" s="11" t="n">
        <v>10214.9829193828</v>
      </c>
      <c r="DP4" s="11" t="n">
        <v>537781.05</v>
      </c>
      <c r="DQ4" s="11" t="n">
        <v>72127.8753</v>
      </c>
      <c r="DR4" s="11" t="n">
        <v>3300</v>
      </c>
      <c r="DS4" s="11" t="n">
        <v>13708.8</v>
      </c>
      <c r="DT4" s="11" t="n">
        <v>34563.9</v>
      </c>
      <c r="DU4" s="11" t="n">
        <v>51194</v>
      </c>
      <c r="DV4" s="11" t="n">
        <v>7568.0168388</v>
      </c>
      <c r="DW4" s="11" t="n">
        <v>261329.49</v>
      </c>
      <c r="DX4" s="11" t="n">
        <v>415739.52</v>
      </c>
    </row>
    <row r="5" customFormat="false" ht="15" hidden="false" customHeight="false" outlineLevel="0" collapsed="false">
      <c r="A5" s="4" t="s">
        <v>218</v>
      </c>
      <c r="B5" s="11" t="n">
        <v>0</v>
      </c>
      <c r="C5" s="11" t="n">
        <v>664.99734</v>
      </c>
      <c r="D5" s="11" t="n">
        <v>0</v>
      </c>
      <c r="E5" s="11" t="n">
        <v>14174.3296363636</v>
      </c>
      <c r="F5" s="11" t="n">
        <v>622.812777777778</v>
      </c>
      <c r="G5" s="11" t="n">
        <v>127.200000000001</v>
      </c>
      <c r="H5" s="11" t="n">
        <v>1975.13306544095</v>
      </c>
      <c r="I5" s="11" t="n">
        <v>890.001493581818</v>
      </c>
      <c r="J5" s="11" t="n">
        <v>44.5866666666666</v>
      </c>
      <c r="K5" s="5" t="n">
        <v>2018.010899</v>
      </c>
      <c r="L5" s="11" t="n">
        <v>887.04</v>
      </c>
      <c r="M5" s="11" t="n">
        <v>0</v>
      </c>
      <c r="N5" s="11" t="n">
        <v>4250.60223736263</v>
      </c>
      <c r="O5" s="11" t="n">
        <v>12.9044117647059</v>
      </c>
      <c r="P5" s="11" t="n">
        <v>0</v>
      </c>
      <c r="Q5" s="11" t="n">
        <v>139.594</v>
      </c>
      <c r="R5" s="11" t="n">
        <v>109.360999999999</v>
      </c>
      <c r="S5" s="11" t="n">
        <v>6219.46450588235</v>
      </c>
      <c r="T5" s="11" t="n">
        <v>0</v>
      </c>
      <c r="U5" s="11" t="n">
        <v>235</v>
      </c>
      <c r="V5" s="11" t="n">
        <v>18721.92</v>
      </c>
      <c r="W5" s="11" t="n">
        <v>0</v>
      </c>
      <c r="X5" s="11" t="n">
        <v>4558.16571428572</v>
      </c>
      <c r="Y5" s="11" t="n">
        <v>0</v>
      </c>
      <c r="Z5" s="11" t="n">
        <v>21125.998488</v>
      </c>
      <c r="AA5" s="11" t="n">
        <v>0</v>
      </c>
      <c r="AB5" s="11" t="n">
        <v>409.354545454546</v>
      </c>
      <c r="AC5" s="11" t="n">
        <v>0</v>
      </c>
      <c r="AD5" s="11" t="n">
        <v>838.620000000003</v>
      </c>
      <c r="AE5" s="11" t="n">
        <v>129594.322550401</v>
      </c>
      <c r="AF5" s="11" t="n">
        <v>15915.285</v>
      </c>
      <c r="AG5" s="11" t="n">
        <v>11173.26</v>
      </c>
      <c r="AH5" s="11" t="n">
        <v>0</v>
      </c>
      <c r="AI5" s="11" t="n">
        <v>0</v>
      </c>
      <c r="AJ5" s="11" t="n">
        <v>54892.3659636364</v>
      </c>
      <c r="AK5" s="11" t="n">
        <v>0</v>
      </c>
      <c r="AL5" s="11" t="n">
        <v>1502.2172102431</v>
      </c>
      <c r="AM5" s="11" t="n">
        <v>3693.17458823529</v>
      </c>
      <c r="AN5" s="11" t="n">
        <v>418.792121212118</v>
      </c>
      <c r="AO5" s="11" t="n">
        <v>349.100896551727</v>
      </c>
      <c r="AP5" s="11" t="n">
        <v>1653</v>
      </c>
      <c r="AQ5" s="11" t="n">
        <v>0</v>
      </c>
      <c r="AR5" s="11" t="n">
        <v>0</v>
      </c>
      <c r="AS5" s="11" t="n">
        <v>0</v>
      </c>
      <c r="AT5" s="11" t="n">
        <v>9999.7459888</v>
      </c>
      <c r="AU5" s="11" t="n">
        <v>123990.431454326</v>
      </c>
      <c r="AV5" s="11" t="n">
        <v>10283.61605859</v>
      </c>
      <c r="AW5" s="11" t="n">
        <v>8707.99536363636</v>
      </c>
      <c r="AX5" s="11" t="n">
        <v>0</v>
      </c>
      <c r="AY5" s="11" t="n">
        <v>871.22625</v>
      </c>
      <c r="AZ5" s="11" t="n">
        <v>0</v>
      </c>
      <c r="BA5" s="11" t="n">
        <v>6227.368875</v>
      </c>
      <c r="BB5" s="11" t="n">
        <v>4403.14290566038</v>
      </c>
      <c r="BC5" s="11" t="n">
        <v>2756.38734545455</v>
      </c>
      <c r="BD5" s="11" t="n">
        <v>10.886842105263</v>
      </c>
      <c r="BE5" s="11" t="n">
        <v>1912.84</v>
      </c>
      <c r="BF5" s="11" t="n">
        <v>700.294736842108</v>
      </c>
      <c r="BG5" s="11" t="n">
        <v>1172640.85714286</v>
      </c>
      <c r="BH5" s="11" t="n">
        <v>842.495294117645</v>
      </c>
      <c r="BI5" s="11" t="n">
        <v>10430.0164647887</v>
      </c>
      <c r="BJ5" s="11" t="n">
        <v>9068.864</v>
      </c>
      <c r="BK5" s="11" t="n">
        <v>381.766620689656</v>
      </c>
      <c r="BL5" s="11" t="n">
        <v>8325.86939130435</v>
      </c>
      <c r="BM5" s="11" t="n">
        <v>0</v>
      </c>
      <c r="BN5" s="11" t="n">
        <v>1770.006</v>
      </c>
      <c r="BO5" s="11" t="n">
        <v>3632.0375</v>
      </c>
      <c r="BP5" s="11" t="n">
        <v>0</v>
      </c>
      <c r="BQ5" s="11" t="n">
        <v>64591.6007172414</v>
      </c>
      <c r="BR5" s="11" t="n">
        <v>3311.89692307692</v>
      </c>
      <c r="BS5" s="11" t="n">
        <v>576.688</v>
      </c>
      <c r="BT5" s="11" t="n">
        <v>0</v>
      </c>
      <c r="BU5" s="11" t="n">
        <v>45624.768</v>
      </c>
      <c r="BV5" s="11" t="n">
        <v>42313.7979727273</v>
      </c>
      <c r="BW5" s="11" t="n">
        <v>0</v>
      </c>
      <c r="BX5" s="11" t="n">
        <v>2022.66</v>
      </c>
      <c r="BY5" s="11" t="n">
        <v>226.78628</v>
      </c>
      <c r="BZ5" s="11" t="n">
        <v>465.812124867362</v>
      </c>
      <c r="CA5" s="11" t="n">
        <v>1980.44916666667</v>
      </c>
      <c r="CB5" s="11" t="n">
        <v>3400.32225000008</v>
      </c>
      <c r="CC5" s="11" t="n">
        <v>4231.40072727272</v>
      </c>
      <c r="CD5" s="11" t="n">
        <v>2986.44318</v>
      </c>
      <c r="CE5" s="11" t="n">
        <v>8237.34642105263</v>
      </c>
      <c r="CF5" s="11" t="n">
        <v>1320.8387225</v>
      </c>
      <c r="CG5" s="11" t="n">
        <v>544.0012648</v>
      </c>
      <c r="CH5" s="11" t="n">
        <v>1399.02</v>
      </c>
      <c r="CI5" s="11" t="n">
        <v>69.7151162790706</v>
      </c>
      <c r="CJ5" s="11" t="n">
        <v>891009.44</v>
      </c>
      <c r="CK5" s="11" t="n">
        <v>0</v>
      </c>
      <c r="CL5" s="11" t="n">
        <v>0</v>
      </c>
      <c r="CM5" s="11" t="n">
        <v>9129.2</v>
      </c>
      <c r="CN5" s="11" t="n">
        <v>5612.672</v>
      </c>
      <c r="CO5" s="11" t="n">
        <v>4089.69784615385</v>
      </c>
      <c r="CP5" s="11" t="n">
        <v>13495.3495092</v>
      </c>
      <c r="CQ5" s="11" t="n">
        <v>2294.316</v>
      </c>
      <c r="CR5" s="11" t="n">
        <v>568256.952712747</v>
      </c>
      <c r="CS5" s="11" t="n">
        <v>9900.60000000001</v>
      </c>
      <c r="CT5" s="11" t="n">
        <v>99.6806854599407</v>
      </c>
      <c r="CU5" s="11" t="n">
        <v>5345.25</v>
      </c>
      <c r="CV5" s="11" t="n">
        <v>0</v>
      </c>
      <c r="CW5" s="11" t="n">
        <v>0</v>
      </c>
      <c r="CX5" s="11" t="n">
        <v>525915.604155224</v>
      </c>
      <c r="CY5" s="11" t="n">
        <v>0</v>
      </c>
      <c r="CZ5" s="11" t="n">
        <v>803.450666666664</v>
      </c>
      <c r="DA5" s="11" t="n">
        <v>875.886352463415</v>
      </c>
      <c r="DB5" s="11" t="n">
        <v>188.502576923077</v>
      </c>
      <c r="DC5" s="11" t="n">
        <v>0</v>
      </c>
      <c r="DD5" s="11" t="n">
        <v>0</v>
      </c>
      <c r="DE5" s="5" t="n">
        <v>721.1434196</v>
      </c>
      <c r="DF5" s="11" t="n">
        <v>2139.88528521711</v>
      </c>
      <c r="DG5" s="11" t="n">
        <v>2347.900875</v>
      </c>
      <c r="DH5" s="11" t="n">
        <v>70189.02</v>
      </c>
      <c r="DI5" s="11" t="n">
        <v>54.9008620698772</v>
      </c>
      <c r="DJ5" s="11" t="n">
        <v>0</v>
      </c>
      <c r="DK5" s="11" t="n">
        <v>178.416</v>
      </c>
      <c r="DL5" s="11" t="n">
        <v>884.0059092</v>
      </c>
      <c r="DM5" s="11" t="n">
        <v>94848.5132528571</v>
      </c>
      <c r="DN5" s="11" t="n">
        <v>940.941654545451</v>
      </c>
      <c r="DO5" s="11" t="n">
        <v>4909.9641656702</v>
      </c>
      <c r="DP5" s="11" t="n">
        <v>348.545492307865</v>
      </c>
      <c r="DQ5" s="11" t="n">
        <v>231696.928656</v>
      </c>
      <c r="DR5" s="11" t="n">
        <v>0</v>
      </c>
      <c r="DS5" s="11" t="n">
        <v>11340.819</v>
      </c>
      <c r="DT5" s="11" t="n">
        <v>1209.7365</v>
      </c>
      <c r="DU5" s="11" t="n">
        <v>100843.98896</v>
      </c>
      <c r="DV5" s="11" t="n">
        <v>17.0000378250002</v>
      </c>
      <c r="DW5" s="11" t="n">
        <v>96788.6999999999</v>
      </c>
      <c r="DX5" s="11" t="n">
        <v>23096.64</v>
      </c>
    </row>
    <row r="6" customFormat="false" ht="15" hidden="false" customHeight="false" outlineLevel="0" collapsed="false">
      <c r="A6" s="3" t="s">
        <v>219</v>
      </c>
      <c r="B6" s="11" t="n">
        <v>44.37132096</v>
      </c>
      <c r="C6" s="11" t="n">
        <v>3666.485334</v>
      </c>
      <c r="D6" s="11" t="n">
        <v>5051.904</v>
      </c>
      <c r="E6" s="11" t="n">
        <v>18489.8359236364</v>
      </c>
      <c r="F6" s="11" t="n">
        <v>177.750261111111</v>
      </c>
      <c r="G6" s="11" t="n">
        <v>1528.29850746269</v>
      </c>
      <c r="H6" s="11" t="n">
        <v>4807.54473807485</v>
      </c>
      <c r="I6" s="11" t="n">
        <v>976.801639248</v>
      </c>
      <c r="J6" s="11" t="n">
        <v>753.291733333333</v>
      </c>
      <c r="K6" s="5" t="n">
        <v>992.149123</v>
      </c>
      <c r="L6" s="11" t="n">
        <v>108.9792</v>
      </c>
      <c r="M6" s="11" t="n">
        <v>1575.744</v>
      </c>
      <c r="N6" s="11" t="n">
        <v>1116.967318986</v>
      </c>
      <c r="O6" s="11" t="n">
        <v>706.275661764706</v>
      </c>
      <c r="P6" s="11" t="n">
        <v>1929.312</v>
      </c>
      <c r="Q6" s="11" t="n">
        <v>12.841465</v>
      </c>
      <c r="R6" s="11" t="n">
        <v>1453.22389</v>
      </c>
      <c r="S6" s="11" t="n">
        <v>21879.9735494118</v>
      </c>
      <c r="T6" s="11" t="n">
        <v>85767</v>
      </c>
      <c r="U6" s="11" t="n">
        <v>115.184</v>
      </c>
      <c r="V6" s="11" t="n">
        <v>7722.792</v>
      </c>
      <c r="W6" s="11" t="n">
        <v>2777.22</v>
      </c>
      <c r="X6" s="11" t="n">
        <v>2213.57005714286</v>
      </c>
      <c r="Y6" s="11" t="n">
        <v>54480.6</v>
      </c>
      <c r="Z6" s="11" t="n">
        <v>12071.999136</v>
      </c>
      <c r="AA6" s="11" t="n">
        <v>42.485</v>
      </c>
      <c r="AB6" s="11" t="n">
        <v>1908.41089090909</v>
      </c>
      <c r="AC6" s="11" t="n">
        <v>4022.136</v>
      </c>
      <c r="AD6" s="11" t="n">
        <v>1215.999</v>
      </c>
      <c r="AE6" s="11" t="n">
        <v>16782.2438349973</v>
      </c>
      <c r="AF6" s="11" t="n">
        <v>12909.0645</v>
      </c>
      <c r="AG6" s="11" t="n">
        <v>2351.457864</v>
      </c>
      <c r="AH6" s="11" t="n">
        <v>1700.82</v>
      </c>
      <c r="AI6" s="11" t="n">
        <v>5772.79946208</v>
      </c>
      <c r="AJ6" s="11" t="n">
        <v>37400.1217512727</v>
      </c>
      <c r="AK6" s="11" t="n">
        <v>12770.0496</v>
      </c>
      <c r="AL6" s="11" t="n">
        <v>195.9413752491</v>
      </c>
      <c r="AM6" s="11" t="n">
        <v>237.163557647059</v>
      </c>
      <c r="AN6" s="11" t="n">
        <v>1257.69539393939</v>
      </c>
      <c r="AO6" s="11" t="n">
        <v>1969.87636551724</v>
      </c>
      <c r="AP6" s="11" t="n">
        <v>429.4</v>
      </c>
      <c r="AQ6" s="11" t="n">
        <v>1490.832</v>
      </c>
      <c r="AR6" s="11" t="n">
        <v>1096.4142</v>
      </c>
      <c r="AS6" s="11" t="n">
        <v>2103.948</v>
      </c>
      <c r="AT6" s="11" t="n">
        <v>1724.094136</v>
      </c>
      <c r="AU6" s="11" t="n">
        <v>52108.3027702213</v>
      </c>
      <c r="AV6" s="11" t="n">
        <v>32319.93618414</v>
      </c>
      <c r="AW6" s="11" t="n">
        <v>6853.57366909091</v>
      </c>
      <c r="AX6" s="11" t="n">
        <v>669.0384</v>
      </c>
      <c r="AY6" s="11" t="n">
        <v>366.6966</v>
      </c>
      <c r="AZ6" s="11" t="n">
        <v>5975.296</v>
      </c>
      <c r="BA6" s="11" t="n">
        <v>348.310462500001</v>
      </c>
      <c r="BB6" s="11" t="n">
        <v>2472.03410603774</v>
      </c>
      <c r="BC6" s="11" t="n">
        <v>9624.19242909091</v>
      </c>
      <c r="BD6" s="11" t="n">
        <v>683.382631578948</v>
      </c>
      <c r="BE6" s="11" t="n">
        <v>11936.1216</v>
      </c>
      <c r="BF6" s="11" t="n">
        <v>1556.46989473684</v>
      </c>
      <c r="BG6" s="11" t="n">
        <v>224929.825714286</v>
      </c>
      <c r="BH6" s="11" t="n">
        <v>17514.1163647059</v>
      </c>
      <c r="BI6" s="11" t="n">
        <v>1365.27386661972</v>
      </c>
      <c r="BJ6" s="11" t="n">
        <v>24089.243136</v>
      </c>
      <c r="BK6" s="11" t="n">
        <v>2428.37541517241</v>
      </c>
      <c r="BL6" s="11" t="n">
        <v>1846.16424347826</v>
      </c>
      <c r="BM6" s="11" t="n">
        <v>123093.4464</v>
      </c>
      <c r="BN6" s="11" t="n">
        <v>508.43772</v>
      </c>
      <c r="BO6" s="11" t="n">
        <v>522.454625</v>
      </c>
      <c r="BP6" s="11" t="n">
        <v>181.439238708</v>
      </c>
      <c r="BQ6" s="11" t="n">
        <v>34618.4445704828</v>
      </c>
      <c r="BR6" s="11" t="n">
        <v>1648.2708</v>
      </c>
      <c r="BS6" s="11" t="n">
        <v>349.90704</v>
      </c>
      <c r="BT6" s="11" t="n">
        <v>97270.1729999999</v>
      </c>
      <c r="BU6" s="11" t="n">
        <v>2236.5756</v>
      </c>
      <c r="BV6" s="11" t="n">
        <v>8359.56016763637</v>
      </c>
      <c r="BW6" s="11" t="n">
        <v>280.098</v>
      </c>
      <c r="BX6" s="11" t="n">
        <v>331.9542</v>
      </c>
      <c r="BY6" s="11" t="n">
        <v>11960.150058</v>
      </c>
      <c r="BZ6" s="11" t="n">
        <v>21.5178799382048</v>
      </c>
      <c r="CA6" s="11" t="n">
        <v>1155.44715</v>
      </c>
      <c r="CB6" s="11" t="n">
        <v>236207.835435</v>
      </c>
      <c r="CC6" s="11" t="n">
        <v>13683.7739054546</v>
      </c>
      <c r="CD6" s="11" t="n">
        <v>17144.342523</v>
      </c>
      <c r="CE6" s="11" t="n">
        <v>769.116022105263</v>
      </c>
      <c r="CF6" s="11" t="n">
        <v>1826.78711450848</v>
      </c>
      <c r="CG6" s="11" t="n">
        <v>34.8160809471997</v>
      </c>
      <c r="CH6" s="11" t="n">
        <v>1286.0991</v>
      </c>
      <c r="CI6" s="11" t="n">
        <v>3670.22201162791</v>
      </c>
      <c r="CJ6" s="11" t="n">
        <v>119500.0896</v>
      </c>
      <c r="CK6" s="11" t="n">
        <v>2520.002570904</v>
      </c>
      <c r="CL6" s="11" t="n">
        <v>2895.4604</v>
      </c>
      <c r="CM6" s="11" t="n">
        <v>1636.96</v>
      </c>
      <c r="CN6" s="11" t="n">
        <v>1328.8704</v>
      </c>
      <c r="CO6" s="11" t="n">
        <v>5056.11038769231</v>
      </c>
      <c r="CP6" s="11" t="n">
        <v>809.720970552</v>
      </c>
      <c r="CQ6" s="11" t="n">
        <v>519.74208</v>
      </c>
      <c r="CR6" s="11" t="n">
        <v>34910.4405632197</v>
      </c>
      <c r="CS6" s="11" t="n">
        <v>7821.474</v>
      </c>
      <c r="CT6" s="11" t="n">
        <v>68.0174089020771</v>
      </c>
      <c r="CU6" s="11" t="n">
        <v>3360.3805</v>
      </c>
      <c r="CV6" s="11" t="n">
        <v>3168.7227</v>
      </c>
      <c r="CW6" s="11" t="n">
        <v>362.216</v>
      </c>
      <c r="CX6" s="11" t="n">
        <v>802754.497194985</v>
      </c>
      <c r="CY6" s="11" t="n">
        <v>3882.12</v>
      </c>
      <c r="CZ6" s="11" t="n">
        <v>6918.85802666666</v>
      </c>
      <c r="DA6" s="11" t="n">
        <v>118.671621681951</v>
      </c>
      <c r="DB6" s="11" t="n">
        <v>453.541742307692</v>
      </c>
      <c r="DC6" s="11" t="n">
        <v>403.4448</v>
      </c>
      <c r="DD6" s="11" t="n">
        <v>62248.963</v>
      </c>
      <c r="DE6" s="5" t="n">
        <v>446.9057812</v>
      </c>
      <c r="DF6" s="11" t="n">
        <v>570.636076057895</v>
      </c>
      <c r="DG6" s="11" t="n">
        <v>508.41019875</v>
      </c>
      <c r="DH6" s="11" t="n">
        <v>10138.414</v>
      </c>
      <c r="DI6" s="11" t="n">
        <v>32.8003448281309</v>
      </c>
      <c r="DJ6" s="11" t="n">
        <v>4519.4136</v>
      </c>
      <c r="DK6" s="11" t="n">
        <v>508.910399999999</v>
      </c>
      <c r="DL6" s="11" t="n">
        <v>133.380891594</v>
      </c>
      <c r="DM6" s="11" t="n">
        <v>157842.439651843</v>
      </c>
      <c r="DN6" s="11" t="n">
        <v>7236.31976836365</v>
      </c>
      <c r="DO6" s="11" t="n">
        <v>2313.89115853424</v>
      </c>
      <c r="DP6" s="11" t="n">
        <v>200008.183487538</v>
      </c>
      <c r="DQ6" s="11" t="n">
        <v>45373.9818618</v>
      </c>
      <c r="DR6" s="11" t="n">
        <v>346.5</v>
      </c>
      <c r="DS6" s="11" t="n">
        <v>1106.68572</v>
      </c>
      <c r="DT6" s="11" t="n">
        <v>2326.06817499999</v>
      </c>
      <c r="DU6" s="11" t="n">
        <v>30140.2832016</v>
      </c>
      <c r="DV6" s="11" t="n">
        <v>279.45062177625</v>
      </c>
      <c r="DW6" s="11" t="n">
        <v>42683.8167</v>
      </c>
      <c r="DX6" s="11" t="n">
        <v>114559.3344</v>
      </c>
    </row>
    <row r="7" customFormat="false" ht="15" hidden="false" customHeight="false" outlineLevel="0" collapsed="false">
      <c r="A7" s="3" t="s">
        <v>220</v>
      </c>
      <c r="B7" s="11" t="n">
        <v>232.94943504</v>
      </c>
      <c r="C7" s="11" t="n">
        <v>3666.485334</v>
      </c>
      <c r="D7" s="11" t="n">
        <v>58096.896</v>
      </c>
      <c r="E7" s="11" t="n">
        <v>35892.03444</v>
      </c>
      <c r="F7" s="11" t="n">
        <v>595.076961111111</v>
      </c>
      <c r="G7" s="11" t="n">
        <v>18950.9014925373</v>
      </c>
      <c r="H7" s="11" t="n">
        <v>8185.81941888421</v>
      </c>
      <c r="I7" s="11" t="n">
        <v>1983.20332817018</v>
      </c>
      <c r="J7" s="11" t="n">
        <v>1676.6816</v>
      </c>
      <c r="K7" s="5" t="n">
        <v>445.7481567</v>
      </c>
      <c r="L7" s="11" t="n">
        <v>799.1808</v>
      </c>
      <c r="M7" s="11" t="n">
        <v>3857.856</v>
      </c>
      <c r="N7" s="11" t="n">
        <v>11293.7806697474</v>
      </c>
      <c r="O7" s="11" t="n">
        <v>626.319926470588</v>
      </c>
      <c r="P7" s="11" t="n">
        <v>25632.288</v>
      </c>
      <c r="Q7" s="11" t="n">
        <v>85.939035</v>
      </c>
      <c r="R7" s="11" t="n">
        <v>3234.59511</v>
      </c>
      <c r="S7" s="11" t="n">
        <v>196919.761944706</v>
      </c>
      <c r="T7" s="11" t="n">
        <v>287133</v>
      </c>
      <c r="U7" s="11" t="n">
        <v>510.816</v>
      </c>
      <c r="V7" s="11" t="n">
        <v>29052.408</v>
      </c>
      <c r="W7" s="11" t="n">
        <v>24994.98</v>
      </c>
      <c r="X7" s="11" t="n">
        <v>34679.2642285714</v>
      </c>
      <c r="Y7" s="11" t="n">
        <v>81720.9</v>
      </c>
      <c r="Z7" s="11" t="n">
        <v>26407.49811</v>
      </c>
      <c r="AA7" s="11" t="n">
        <v>807.215</v>
      </c>
      <c r="AB7" s="11" t="n">
        <v>19296.1545636364</v>
      </c>
      <c r="AC7" s="11" t="n">
        <v>40668.264</v>
      </c>
      <c r="AD7" s="11" t="n">
        <v>23103.981</v>
      </c>
      <c r="AE7" s="11" t="n">
        <v>169687.132109417</v>
      </c>
      <c r="AF7" s="11" t="n">
        <v>30121.1505</v>
      </c>
      <c r="AG7" s="11" t="n">
        <v>9063.386136</v>
      </c>
      <c r="AH7" s="11" t="n">
        <v>2628.54</v>
      </c>
      <c r="AI7" s="11" t="n">
        <v>8307.19922592</v>
      </c>
      <c r="AJ7" s="11" t="n">
        <v>83245.4322850909</v>
      </c>
      <c r="AK7" s="11" t="n">
        <v>78444.5904</v>
      </c>
      <c r="AL7" s="11" t="n">
        <v>3853.5137132323</v>
      </c>
      <c r="AM7" s="11" t="n">
        <v>1456.86185411765</v>
      </c>
      <c r="AN7" s="11" t="n">
        <v>23896.2124848485</v>
      </c>
      <c r="AO7" s="11" t="n">
        <v>11162.632737931</v>
      </c>
      <c r="AP7" s="11" t="n">
        <v>1717.6</v>
      </c>
      <c r="AQ7" s="11" t="n">
        <v>7278.768</v>
      </c>
      <c r="AR7" s="11" t="n">
        <v>4994.7758</v>
      </c>
      <c r="AS7" s="11" t="n">
        <v>7043.652</v>
      </c>
      <c r="AT7" s="11" t="n">
        <v>3275.7788584</v>
      </c>
      <c r="AU7" s="11" t="n">
        <v>237382.268175453</v>
      </c>
      <c r="AV7" s="11" t="n">
        <v>76392.57643524</v>
      </c>
      <c r="AW7" s="11" t="n">
        <v>12184.1309672727</v>
      </c>
      <c r="AX7" s="11" t="n">
        <v>3266.4816</v>
      </c>
      <c r="AY7" s="11" t="n">
        <v>1925.15715</v>
      </c>
      <c r="AZ7" s="11" t="n">
        <v>68715.904</v>
      </c>
      <c r="BA7" s="11" t="n">
        <v>6617.8987875</v>
      </c>
      <c r="BB7" s="11" t="n">
        <v>12069.3429883019</v>
      </c>
      <c r="BC7" s="11" t="n">
        <v>17873.5002254545</v>
      </c>
      <c r="BD7" s="11" t="n">
        <v>2733.53052631579</v>
      </c>
      <c r="BE7" s="11" t="n">
        <v>37797.7184</v>
      </c>
      <c r="BF7" s="11" t="n">
        <v>7599.23536842105</v>
      </c>
      <c r="BG7" s="11" t="n">
        <v>608143.602857143</v>
      </c>
      <c r="BH7" s="11" t="n">
        <v>42879.3883411765</v>
      </c>
      <c r="BI7" s="11" t="n">
        <v>2771.91966859155</v>
      </c>
      <c r="BJ7" s="11" t="n">
        <v>39977.892864</v>
      </c>
      <c r="BK7" s="11" t="n">
        <v>4930.33796413793</v>
      </c>
      <c r="BL7" s="11" t="n">
        <v>2769.24636521739</v>
      </c>
      <c r="BM7" s="11" t="n">
        <v>646240.5936</v>
      </c>
      <c r="BN7" s="11" t="n">
        <v>829.55628</v>
      </c>
      <c r="BO7" s="11" t="n">
        <v>2550.807875</v>
      </c>
      <c r="BP7" s="11" t="n">
        <v>682.557136092</v>
      </c>
      <c r="BQ7" s="11" t="n">
        <v>73564.1947122759</v>
      </c>
      <c r="BR7" s="11" t="n">
        <v>4691.23227692308</v>
      </c>
      <c r="BS7" s="11" t="n">
        <v>946.04496</v>
      </c>
      <c r="BT7" s="11" t="n">
        <v>344866.977</v>
      </c>
      <c r="BU7" s="11" t="n">
        <v>12673.9284</v>
      </c>
      <c r="BV7" s="11" t="n">
        <v>21496.0118596364</v>
      </c>
      <c r="BW7" s="11" t="n">
        <v>1874.502</v>
      </c>
      <c r="BX7" s="11" t="n">
        <v>1512.2358</v>
      </c>
      <c r="BY7" s="11" t="n">
        <v>67774.183662</v>
      </c>
      <c r="BZ7" s="11" t="n">
        <v>285.880404893293</v>
      </c>
      <c r="CA7" s="11" t="n">
        <v>5263.70368333333</v>
      </c>
      <c r="CB7" s="11" t="n">
        <v>458521.092315</v>
      </c>
      <c r="CC7" s="11" t="n">
        <v>91576.0253672727</v>
      </c>
      <c r="CD7" s="11" t="n">
        <v>97151.274297</v>
      </c>
      <c r="CE7" s="11" t="n">
        <v>7776.6175568421</v>
      </c>
      <c r="CF7" s="11" t="n">
        <v>16136.6195114915</v>
      </c>
      <c r="CG7" s="11" t="n">
        <v>2141.1889782528</v>
      </c>
      <c r="CH7" s="11" t="n">
        <v>2011.5909</v>
      </c>
      <c r="CI7" s="11" t="n">
        <v>7451.66287209302</v>
      </c>
      <c r="CJ7" s="11" t="n">
        <v>509447.7504</v>
      </c>
      <c r="CK7" s="11" t="n">
        <v>3480.003550296</v>
      </c>
      <c r="CL7" s="11" t="n">
        <v>5620.5996</v>
      </c>
      <c r="CM7" s="11" t="n">
        <v>14732.64</v>
      </c>
      <c r="CN7" s="11" t="n">
        <v>3100.6976</v>
      </c>
      <c r="CO7" s="11" t="n">
        <v>23033.3917661538</v>
      </c>
      <c r="CP7" s="11" t="n">
        <v>9311.791161348</v>
      </c>
      <c r="CQ7" s="11" t="n">
        <v>1842.72192</v>
      </c>
      <c r="CR7" s="11" t="n">
        <v>139463.938979981</v>
      </c>
      <c r="CS7" s="11" t="n">
        <v>122536.426</v>
      </c>
      <c r="CT7" s="11" t="n">
        <v>166.52538041543</v>
      </c>
      <c r="CU7" s="11" t="n">
        <v>11249.9695</v>
      </c>
      <c r="CV7" s="11" t="n">
        <v>7757.9073</v>
      </c>
      <c r="CW7" s="11" t="n">
        <v>1544.184</v>
      </c>
      <c r="CX7" s="11" t="n">
        <v>1965364.45864979</v>
      </c>
      <c r="CY7" s="11" t="n">
        <v>12293.38</v>
      </c>
      <c r="CZ7" s="11" t="n">
        <v>55979.8513066667</v>
      </c>
      <c r="DA7" s="11" t="n">
        <v>505.915860854634</v>
      </c>
      <c r="DB7" s="11" t="n">
        <v>4081.87568076923</v>
      </c>
      <c r="DC7" s="11" t="n">
        <v>1277.5752</v>
      </c>
      <c r="DD7" s="11" t="n">
        <v>64789.737</v>
      </c>
      <c r="DE7" s="5" t="n">
        <v>7973.205414</v>
      </c>
      <c r="DF7" s="11" t="n">
        <v>14836.5379775053</v>
      </c>
      <c r="DG7" s="11" t="n">
        <v>1702.06892625</v>
      </c>
      <c r="DH7" s="11" t="n">
        <v>243321.936</v>
      </c>
      <c r="DI7" s="11" t="n">
        <v>149.423793105929</v>
      </c>
      <c r="DJ7" s="11" t="n">
        <v>30245.3064</v>
      </c>
      <c r="DK7" s="11" t="n">
        <v>4580.1936</v>
      </c>
      <c r="DL7" s="11" t="n">
        <v>568.623801006</v>
      </c>
      <c r="DM7" s="11" t="n">
        <v>528429.0370953</v>
      </c>
      <c r="DN7" s="11" t="n">
        <v>44451.6785770909</v>
      </c>
      <c r="DO7" s="11" t="n">
        <v>41085.6771564127</v>
      </c>
      <c r="DP7" s="11" t="n">
        <v>406077.221020154</v>
      </c>
      <c r="DQ7" s="11" t="n">
        <v>205631.0241822</v>
      </c>
      <c r="DR7" s="11" t="n">
        <v>4603.5</v>
      </c>
      <c r="DS7" s="11" t="n">
        <v>8115.69528</v>
      </c>
      <c r="DT7" s="11" t="n">
        <v>44195.295325</v>
      </c>
      <c r="DU7" s="11" t="n">
        <v>73791.7278384</v>
      </c>
      <c r="DV7" s="11" t="n">
        <v>935.55208159875</v>
      </c>
      <c r="DW7" s="11" t="n">
        <v>567084.9933</v>
      </c>
      <c r="DX7" s="11" t="n">
        <v>601436.5056</v>
      </c>
    </row>
    <row r="8" s="7" customFormat="true" ht="15" hidden="false" customHeight="false" outlineLevel="0" collapsed="false">
      <c r="A8" s="36"/>
      <c r="DP8" s="37"/>
      <c r="DQ8" s="0"/>
      <c r="DR8" s="0"/>
      <c r="DS8" s="0"/>
      <c r="DT8" s="0"/>
      <c r="DZ8" s="37" t="s">
        <v>221</v>
      </c>
      <c r="EA8" s="37" t="n">
        <f aca="false">SUM(B3:DX7)</f>
        <v>30004007.36</v>
      </c>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8" customFormat="true" ht="13.5" hidden="false" customHeight="true" outlineLevel="0" collapsed="false">
      <c r="A9" s="5" t="s">
        <v>222</v>
      </c>
      <c r="B9" s="8" t="n">
        <f aca="false">SUM(B5:B7)/SUM(B4:B7)</f>
        <v>0.05</v>
      </c>
      <c r="C9" s="8" t="n">
        <f aca="false">SUM(C5:C7)/SUM(C4:C7)</f>
        <v>0.93</v>
      </c>
      <c r="D9" s="8" t="n">
        <f aca="false">SUM(D5:D7)/SUM(D4:D7)</f>
        <v>0.26</v>
      </c>
      <c r="E9" s="8" t="n">
        <f aca="false">SUM(E5:E7)/SUM(E4:E7)</f>
        <v>0.79</v>
      </c>
      <c r="F9" s="8" t="n">
        <f aca="false">SUM(F5:F7)/SUM(F4:F7)</f>
        <v>0.46</v>
      </c>
      <c r="G9" s="8" t="n">
        <f aca="false">SUM(G5:G7)/SUM(G4:G7)</f>
        <v>0.9</v>
      </c>
      <c r="H9" s="8" t="n">
        <f aca="false">SUM(H5:H7)/SUM(H4:H7)</f>
        <v>0.8</v>
      </c>
      <c r="I9" s="8" t="n">
        <f aca="false">SUM(I5:I7)/SUM(I4:I7)</f>
        <v>0.35</v>
      </c>
      <c r="J9" s="8" t="n">
        <f aca="false">SUM(J5:J7)/SUM(J4:J7)</f>
        <v>0.37</v>
      </c>
      <c r="K9" s="8" t="n">
        <f aca="false">SUM(K5:K7)/SUM(K4:K7)</f>
        <v>0.360000000005</v>
      </c>
      <c r="L9" s="8" t="n">
        <f aca="false">SUM(L5:L7)/SUM(L4:L7)</f>
        <v>0.85</v>
      </c>
      <c r="M9" s="8" t="n">
        <f aca="false">SUM(M5:M7)/SUM(M4:M7)</f>
        <v>0.2</v>
      </c>
      <c r="N9" s="8" t="n">
        <f aca="false">SUM(N5:N7)/SUM(N4:N7)</f>
        <v>0.8</v>
      </c>
      <c r="O9" s="8" t="n">
        <f aca="false">SUM(O5:O7)/SUM(O4:O7)</f>
        <v>0.46</v>
      </c>
      <c r="P9" s="8" t="n">
        <f aca="false">SUM(P5:P7)/SUM(P4:P7)</f>
        <v>0.48</v>
      </c>
      <c r="Q9" s="8" t="n">
        <f aca="false">SUM(Q5:Q7)/SUM(Q4:Q7)</f>
        <v>0.403</v>
      </c>
      <c r="R9" s="8" t="n">
        <f aca="false">SUM(R5:R7)/SUM(R4:R7)</f>
        <v>0.29</v>
      </c>
      <c r="S9" s="8" t="n">
        <f aca="false">SUM(S5:S7)/SUM(S4:S7)</f>
        <v>0.8</v>
      </c>
      <c r="T9" s="8" t="n">
        <f aca="false">SUM(T5:T7)/SUM(T4:T7)</f>
        <v>0.55</v>
      </c>
      <c r="U9" s="8" t="n">
        <f aca="false">SUM(U5:U7)/SUM(U4:U7)</f>
        <v>0.218449019379488</v>
      </c>
      <c r="V9" s="8" t="n">
        <f aca="false">SUM(V5:V7)/SUM(V4:V7)</f>
        <v>0.83</v>
      </c>
      <c r="W9" s="8" t="n">
        <f aca="false">SUM(W5:W7)/SUM(W4:W7)</f>
        <v>0.54</v>
      </c>
      <c r="X9" s="8" t="n">
        <f aca="false">SUM(X5:X7)/SUM(X4:X7)</f>
        <v>0.82</v>
      </c>
      <c r="Y9" s="8" t="n">
        <f aca="false">SUM(Y5:Y7)/SUM(Y4:Y7)</f>
        <v>0.27</v>
      </c>
      <c r="Z9" s="8" t="n">
        <f aca="false">SUM(Z5:Z7)/SUM(Z4:Z7)</f>
        <v>0.79</v>
      </c>
      <c r="AA9" s="8" t="n">
        <f aca="false">SUM(AA5:AA7)/SUM(AA4:AA7)</f>
        <v>0.29</v>
      </c>
      <c r="AB9" s="8" t="n">
        <f aca="false">SUM(AB5:AB7)/SUM(AB4:AB7)</f>
        <v>0.24</v>
      </c>
      <c r="AC9" s="8" t="n">
        <f aca="false">SUM(AC5:AC7)/SUM(AC4:AC7)</f>
        <v>0.36</v>
      </c>
      <c r="AD9" s="8" t="n">
        <f aca="false">SUM(AD5:AD7)/SUM(AD4:AD7)</f>
        <v>0.9</v>
      </c>
      <c r="AE9" s="8" t="n">
        <f aca="false">SUM(AE5:AE7)/SUM(AE4:AE7)</f>
        <v>0.641923076923077</v>
      </c>
      <c r="AF9" s="8" t="n">
        <f aca="false">SUM(AF5:AF7)/SUM(AF4:AF7)</f>
        <v>0.45</v>
      </c>
      <c r="AG9" s="8" t="n">
        <f aca="false">SUM(AG5:AG7)/SUM(AG4:AG7)</f>
        <v>0.374</v>
      </c>
      <c r="AH9" s="8" t="n">
        <f aca="false">SUM(AH5:AH7)/SUM(AH4:AH7)</f>
        <v>0.56</v>
      </c>
      <c r="AI9" s="8" t="n">
        <f aca="false">SUM(AI5:AI7)/SUM(AI4:AI7)</f>
        <v>0.64</v>
      </c>
      <c r="AJ9" s="8" t="n">
        <f aca="false">SUM(AJ5:AJ7)/SUM(AJ4:AJ7)</f>
        <v>0.51</v>
      </c>
      <c r="AK9" s="8" t="n">
        <f aca="false">SUM(AK5:AK7)/SUM(AK4:AK7)</f>
        <v>0.33</v>
      </c>
      <c r="AL9" s="8" t="n">
        <f aca="false">SUM(AL5:AL7)/SUM(AL4:AL7)</f>
        <v>0.85</v>
      </c>
      <c r="AM9" s="8" t="n">
        <f aca="false">SUM(AM5:AM7)/SUM(AM4:AM7)</f>
        <v>0.7</v>
      </c>
      <c r="AN9" s="8" t="n">
        <f aca="false">SUM(AN5:AN7)/SUM(AN4:AN7)</f>
        <v>0.47</v>
      </c>
      <c r="AO9" s="8" t="n">
        <f aca="false">SUM(AO5:AO7)/SUM(AO4:AO7)</f>
        <v>0.53</v>
      </c>
      <c r="AP9" s="8" t="n">
        <f aca="false">SUM(AP5:AP7)/SUM(AP4:AP7)</f>
        <v>0.405774816333504</v>
      </c>
      <c r="AQ9" s="8" t="n">
        <f aca="false">SUM(AQ5:AQ7)/SUM(AQ4:AQ7)</f>
        <v>0.54</v>
      </c>
      <c r="AR9" s="8" t="n">
        <f aca="false">SUM(AR5:AR7)/SUM(AR4:AR7)</f>
        <v>0.31</v>
      </c>
      <c r="AS9" s="8" t="n">
        <f aca="false">SUM(AS5:AS7)/SUM(AS4:AS7)</f>
        <v>0.6</v>
      </c>
      <c r="AT9" s="8" t="n">
        <f aca="false">SUM(AT5:AT7)/SUM(AT4:AT7)</f>
        <v>0.87</v>
      </c>
      <c r="AU9" s="8" t="n">
        <f aca="false">SUM(AU5:AU7)/SUM(AU4:AU7)</f>
        <v>0.7149</v>
      </c>
      <c r="AV9" s="8" t="n">
        <f aca="false">SUM(AV5:AV7)/SUM(AV4:AV7)</f>
        <v>0.81</v>
      </c>
      <c r="AW9" s="8" t="n">
        <f aca="false">SUM(AW5:AW7)/SUM(AW4:AW7)</f>
        <v>0.85</v>
      </c>
      <c r="AX9" s="8" t="n">
        <f aca="false">SUM(AX5:AX7)/SUM(AX4:AX7)</f>
        <v>0.24</v>
      </c>
      <c r="AY9" s="8" t="n">
        <f aca="false">SUM(AY5:AY7)/SUM(AY4:AY7)</f>
        <v>0.43</v>
      </c>
      <c r="AZ9" s="8" t="n">
        <f aca="false">SUM(AZ5:AZ7)/SUM(AZ4:AZ7)</f>
        <v>0.34</v>
      </c>
      <c r="BA9" s="8" t="n">
        <f aca="false">SUM(BA5:BA7)/SUM(BA4:BA7)</f>
        <v>0.902125</v>
      </c>
      <c r="BB9" s="8" t="n">
        <f aca="false">SUM(BB5:BB7)/SUM(BB4:BB7)</f>
        <v>0.38</v>
      </c>
      <c r="BC9" s="8" t="n">
        <f aca="false">SUM(BC5:BC7)/SUM(BC4:BC7)</f>
        <v>0.32</v>
      </c>
      <c r="BD9" s="8" t="n">
        <f aca="false">SUM(BD5:BD7)/SUM(BD4:BD7)</f>
        <v>0.58</v>
      </c>
      <c r="BE9" s="8" t="n">
        <f aca="false">SUM(BE5:BE7)/SUM(BE4:BE7)</f>
        <v>0.54</v>
      </c>
      <c r="BF9" s="8" t="n">
        <f aca="false">SUM(BF5:BF7)/SUM(BF4:BF7)</f>
        <v>0.56</v>
      </c>
      <c r="BG9" s="8" t="n">
        <f aca="false">SUM(BG5:BG7)/SUM(BG4:BG7)</f>
        <v>0.952380952380952</v>
      </c>
      <c r="BH9" s="8" t="n">
        <f aca="false">SUM(BH5:BH7)/SUM(BH4:BH7)</f>
        <v>0.09</v>
      </c>
      <c r="BI9" s="8" t="n">
        <f aca="false">SUM(BI5:BI7)/SUM(BI4:BI7)</f>
        <v>0.31</v>
      </c>
      <c r="BJ9" s="8" t="n">
        <f aca="false">SUM(BJ5:BJ7)/SUM(BJ4:BJ7)</f>
        <v>0.7</v>
      </c>
      <c r="BK9" s="8" t="n">
        <f aca="false">SUM(BK5:BK7)/SUM(BK4:BK7)</f>
        <v>0.33</v>
      </c>
      <c r="BL9" s="8" t="n">
        <f aca="false">SUM(BL5:BL7)/SUM(BL4:BL7)</f>
        <v>0.72</v>
      </c>
      <c r="BM9" s="8" t="n">
        <f aca="false">SUM(BM5:BM7)/SUM(BM4:BM7)</f>
        <v>0.58</v>
      </c>
      <c r="BN9" s="8" t="n">
        <f aca="false">SUM(BN5:BN7)/SUM(BN4:BN7)</f>
        <v>0.5</v>
      </c>
      <c r="BO9" s="8" t="n">
        <f aca="false">SUM(BO5:BO7)/SUM(BO4:BO7)</f>
        <v>0.62</v>
      </c>
      <c r="BP9" s="8" t="n">
        <f aca="false">SUM(BP5:BP7)/SUM(BP4:BP7)</f>
        <v>0.36</v>
      </c>
      <c r="BQ9" s="8" t="n">
        <f aca="false">SUM(BQ5:BQ7)/SUM(BQ4:BQ7)</f>
        <v>0.67</v>
      </c>
      <c r="BR9" s="8" t="n">
        <f aca="false">SUM(BR5:BR7)/SUM(BR4:BR7)</f>
        <v>0.41</v>
      </c>
      <c r="BS9" s="8" t="n">
        <f aca="false">SUM(BS5:BS7)/SUM(BS4:BS7)</f>
        <v>0.04</v>
      </c>
      <c r="BT9" s="8" t="n">
        <f aca="false">SUM(BT5:BT7)/SUM(BT4:BT7)</f>
        <v>0.61</v>
      </c>
      <c r="BU9" s="8" t="n">
        <f aca="false">SUM(BU5:BU7)/SUM(BU4:BU7)</f>
        <v>0.881</v>
      </c>
      <c r="BV9" s="8" t="n">
        <f aca="false">SUM(BV5:BV7)/SUM(BV4:BV7)</f>
        <v>0.71</v>
      </c>
      <c r="BW9" s="8" t="n">
        <f aca="false">SUM(BW5:BW7)/SUM(BW4:BW7)</f>
        <v>0.18</v>
      </c>
      <c r="BX9" s="8" t="n">
        <f aca="false">SUM(BX5:BX7)/SUM(BX4:BX7)</f>
        <v>0.65</v>
      </c>
      <c r="BY9" s="8" t="n">
        <f aca="false">SUM(BY5:BY7)/SUM(BY4:BY7)</f>
        <v>0.58</v>
      </c>
      <c r="BZ9" s="8" t="n">
        <f aca="false">SUM(BZ5:BZ7)/SUM(BZ4:BZ7)</f>
        <v>0.41</v>
      </c>
      <c r="CA9" s="8" t="n">
        <f aca="false">SUM(CA5:CA7)/SUM(CA4:CA7)</f>
        <v>0.46</v>
      </c>
      <c r="CB9" s="8" t="n">
        <f aca="false">SUM(CB5:CB7)/SUM(CB4:CB7)</f>
        <v>0.53</v>
      </c>
      <c r="CC9" s="8" t="n">
        <f aca="false">SUM(CC5:CC7)/SUM(CC4:CC7)</f>
        <v>0.47</v>
      </c>
      <c r="CD9" s="8" t="n">
        <f aca="false">SUM(CD5:CD7)/SUM(CD4:CD7)</f>
        <v>0.69</v>
      </c>
      <c r="CE9" s="8" t="n">
        <f aca="false">SUM(CE5:CE7)/SUM(CE4:CE7)</f>
        <v>0.57</v>
      </c>
      <c r="CF9" s="8" t="n">
        <f aca="false">SUM(CF5:CF7)/SUM(CF4:CF7)</f>
        <v>0.73</v>
      </c>
      <c r="CG9" s="8" t="n">
        <f aca="false">SUM(CG5:CG7)/SUM(CG4:CG7)</f>
        <v>0.85</v>
      </c>
      <c r="CH9" s="8" t="n">
        <f aca="false">SUM(CH5:CH7)/SUM(CH4:CH7)</f>
        <v>0.47</v>
      </c>
      <c r="CI9" s="8" t="n">
        <f aca="false">SUM(CI5:CI7)/SUM(CI4:CI7)</f>
        <v>0.28</v>
      </c>
      <c r="CJ9" s="8" t="n">
        <f aca="false">SUM(CJ5:CJ7)/SUM(CJ4:CJ7)</f>
        <v>0.58</v>
      </c>
      <c r="CK9" s="8" t="n">
        <f aca="false">SUM(CK5:CK7)/SUM(CK4:CK7)</f>
        <v>0.06</v>
      </c>
      <c r="CL9" s="8" t="n">
        <f aca="false">SUM(CL5:CL7)/SUM(CL4:CL7)</f>
        <v>0.59</v>
      </c>
      <c r="CM9" s="8" t="n">
        <f aca="false">SUM(CM5:CM7)/SUM(CM4:CM7)</f>
        <v>0.81</v>
      </c>
      <c r="CN9" s="8" t="n">
        <f aca="false">SUM(CN5:CN7)/SUM(CN4:CN7)</f>
        <v>0.71</v>
      </c>
      <c r="CO9" s="8" t="n">
        <f aca="false">SUM(CO5:CO7)/SUM(CO4:CO7)</f>
        <v>0.64</v>
      </c>
      <c r="CP9" s="8" t="n">
        <f aca="false">SUM(CP5:CP7)/SUM(CP4:CP7)</f>
        <v>0.63</v>
      </c>
      <c r="CQ9" s="8" t="n">
        <f aca="false">SUM(CQ5:CQ7)/SUM(CQ4:CQ7)</f>
        <v>0.41</v>
      </c>
      <c r="CR9" s="8" t="n">
        <f aca="false">SUM(CR5:CR7)/SUM(CR4:CR7)</f>
        <v>0.490000220049438</v>
      </c>
      <c r="CS9" s="8" t="n">
        <f aca="false">SUM(CS5:CS7)/SUM(CS4:CS7)</f>
        <v>0.85</v>
      </c>
      <c r="CT9" s="8" t="n">
        <f aca="false">SUM(CT5:CT7)/SUM(CT4:CT7)</f>
        <v>0.497469017280503</v>
      </c>
      <c r="CU9" s="8" t="n">
        <f aca="false">SUM(CU5:CU7)/SUM(CU4:CU7)</f>
        <v>0.56</v>
      </c>
      <c r="CV9" s="8" t="n">
        <f aca="false">SUM(CV5:CV7)/SUM(CV4:CV7)</f>
        <v>0.27</v>
      </c>
      <c r="CW9" s="8" t="n">
        <f aca="false">SUM(CW5:CW7)/SUM(CW4:CW7)</f>
        <v>0.08</v>
      </c>
      <c r="CX9" s="8" t="n">
        <f aca="false">SUM(CX5:CX7)/SUM(CX4:CX7)</f>
        <v>0.57</v>
      </c>
      <c r="CY9" s="8" t="n">
        <f aca="false">SUM(CY5:CY7)/SUM(CY4:CY7)</f>
        <v>0.11</v>
      </c>
      <c r="CZ9" s="8" t="n">
        <f aca="false">SUM(CZ5:CZ7)/SUM(CZ4:CZ7)</f>
        <v>0.74</v>
      </c>
      <c r="DA9" s="8" t="n">
        <f aca="false">SUM(DA5:DA7)/SUM(DA4:DA7)</f>
        <v>0.45</v>
      </c>
      <c r="DB9" s="8" t="n">
        <f aca="false">SUM(DB5:DB7)/SUM(DB4:DB7)</f>
        <v>0.08</v>
      </c>
      <c r="DC9" s="8" t="n">
        <f aca="false">SUM(DC5:DC7)/SUM(DC4:DC7)</f>
        <v>0.54</v>
      </c>
      <c r="DD9" s="8" t="n">
        <f aca="false">SUM(DD5:DD7)/SUM(DD4:DD7)</f>
        <v>0.67</v>
      </c>
      <c r="DE9" s="8" t="n">
        <f aca="false">SUM(DE5:DE7)/SUM(DE4:DE7)</f>
        <v>0.900000000017722</v>
      </c>
      <c r="DF9" s="8" t="n">
        <f aca="false">SUM(DF5:DF7)/SUM(DF4:DF7)</f>
        <v>0.809210526315789</v>
      </c>
      <c r="DG9" s="8" t="n">
        <f aca="false">SUM(DG5:DG7)/SUM(DG4:DG7)</f>
        <v>0.34</v>
      </c>
      <c r="DH9" s="8" t="n">
        <f aca="false">SUM(DH5:DH7)/SUM(DH4:DH7)</f>
        <v>0.83</v>
      </c>
      <c r="DI9" s="8" t="n">
        <f aca="false">SUM(DI5:DI7)/SUM(DI4:DI7)</f>
        <v>0.4375</v>
      </c>
      <c r="DJ9" s="8" t="n">
        <f aca="false">SUM(DJ5:DJ7)/SUM(DJ4:DJ7)</f>
        <v>0.41</v>
      </c>
      <c r="DK9" s="8" t="n">
        <f aca="false">SUM(DK5:DK7)/SUM(DK4:DK7)</f>
        <v>0.62</v>
      </c>
      <c r="DL9" s="8" t="n">
        <f aca="false">SUM(DL5:DL7)/SUM(DL4:DL7)</f>
        <v>0.61</v>
      </c>
      <c r="DM9" s="8" t="n">
        <f aca="false">SUM(DM5:DM7)/SUM(DM4:DM7)</f>
        <v>0.63</v>
      </c>
      <c r="DN9" s="8" t="n">
        <f aca="false">SUM(DN5:DN7)/SUM(DN4:DN7)</f>
        <v>0.27</v>
      </c>
      <c r="DO9" s="8" t="n">
        <f aca="false">SUM(DO5:DO7)/SUM(DO4:DO7)</f>
        <v>0.825458052073288</v>
      </c>
      <c r="DP9" s="8" t="n">
        <f aca="false">SUM(DP5:DP7)/SUM(DP4:DP7)</f>
        <v>0.53</v>
      </c>
      <c r="DQ9" s="8" t="n">
        <f aca="false">SUM(DQ5:DQ7)/SUM(DQ4:DQ7)</f>
        <v>0.87</v>
      </c>
      <c r="DR9" s="8" t="n">
        <f aca="false">SUM(DR5:DR7)/SUM(DR4:DR7)</f>
        <v>0.6</v>
      </c>
      <c r="DS9" s="8" t="n">
        <f aca="false">SUM(DS5:DS7)/SUM(DS4:DS7)</f>
        <v>0.6</v>
      </c>
      <c r="DT9" s="8" t="n">
        <f aca="false">SUM(DT5:DT7)/SUM(DT4:DT7)</f>
        <v>0.58</v>
      </c>
      <c r="DU9" s="8" t="n">
        <f aca="false">SUM(DU5:DU7)/SUM(DU4:DU7)</f>
        <v>0.8</v>
      </c>
      <c r="DV9" s="8" t="n">
        <f aca="false">SUM(DV5:DV7)/SUM(DV4:DV7)</f>
        <v>0.14</v>
      </c>
      <c r="DW9" s="8" t="n">
        <f aca="false">SUM(DW5:DW7)/SUM(DW4:DW7)</f>
        <v>0.73</v>
      </c>
      <c r="DX9" s="8" t="n">
        <f aca="false">SUM(DX5:DX7)/SUM(DX4:DX7)</f>
        <v>0.64</v>
      </c>
      <c r="DZ9" s="38" t="s">
        <v>223</v>
      </c>
      <c r="EA9" s="38"/>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5" t="s">
        <v>224</v>
      </c>
      <c r="B10" s="8" t="n">
        <f aca="false">SUM(B6:B7)/SUM(B5:B7)</f>
        <v>1</v>
      </c>
      <c r="C10" s="8" t="n">
        <f aca="false">SUM(C6:C7)/SUM(C5:C7)</f>
        <v>0.916854213553388</v>
      </c>
      <c r="D10" s="8" t="n">
        <f aca="false">SUM(D6:D7)/SUM(D5:D7)</f>
        <v>1</v>
      </c>
      <c r="E10" s="8" t="n">
        <f aca="false">SUM(E6:E7)/SUM(E5:E7)</f>
        <v>0.793245109321059</v>
      </c>
      <c r="F10" s="8" t="n">
        <f aca="false">SUM(F6:F7)/SUM(F5:F7)</f>
        <v>0.553743961352657</v>
      </c>
      <c r="G10" s="8" t="n">
        <f aca="false">SUM(G6:G7)/SUM(G5:G7)</f>
        <v>0.993827160493827</v>
      </c>
      <c r="H10" s="8" t="n">
        <f aca="false">SUM(H6:H7)/SUM(H5:H7)</f>
        <v>0.868047337278106</v>
      </c>
      <c r="I10" s="8" t="n">
        <f aca="false">SUM(I6:I7)/SUM(I5:I7)</f>
        <v>0.768831168831169</v>
      </c>
      <c r="J10" s="8" t="n">
        <f aca="false">SUM(J6:J7)/SUM(J5:J7)</f>
        <v>0.981981981981982</v>
      </c>
      <c r="K10" s="8" t="n">
        <f aca="false">SUM(K6:K7)/SUM(K5:K7)</f>
        <v>0.416069295058901</v>
      </c>
      <c r="L10" s="8" t="n">
        <f aca="false">SUM(L6:L7)/SUM(L5:L7)</f>
        <v>0.505882352941176</v>
      </c>
      <c r="M10" s="8" t="n">
        <f aca="false">SUM(M6:M7)/SUM(M5:M7)</f>
        <v>1</v>
      </c>
      <c r="N10" s="8" t="n">
        <f aca="false">SUM(N6:N7)/SUM(N5:N7)</f>
        <v>0.744882486732373</v>
      </c>
      <c r="O10" s="8" t="n">
        <f aca="false">SUM(O6:O7)/SUM(O5:O7)</f>
        <v>0.990409207161125</v>
      </c>
      <c r="P10" s="8" t="n">
        <f aca="false">SUM(P6:P7)/SUM(P5:P7)</f>
        <v>1</v>
      </c>
      <c r="Q10" s="8" t="n">
        <f aca="false">SUM(Q6:Q7)/SUM(Q5:Q7)</f>
        <v>0.41439205955335</v>
      </c>
      <c r="R10" s="8" t="n">
        <f aca="false">SUM(R6:R7)/SUM(R5:R7)</f>
        <v>0.9772030651341</v>
      </c>
      <c r="S10" s="8" t="n">
        <f aca="false">SUM(S6:S7)/SUM(S5:S7)</f>
        <v>0.972360294117647</v>
      </c>
      <c r="T10" s="8" t="n">
        <f aca="false">SUM(T6:T7)/SUM(T5:T7)</f>
        <v>1</v>
      </c>
      <c r="U10" s="8" t="n">
        <f aca="false">SUM(U6:U7)/SUM(U5:U7)</f>
        <v>0.727061556329849</v>
      </c>
      <c r="V10" s="8" t="n">
        <f aca="false">SUM(V6:V7)/SUM(V5:V7)</f>
        <v>0.662650602409639</v>
      </c>
      <c r="W10" s="8" t="n">
        <f aca="false">SUM(W6:W7)/SUM(W5:W7)</f>
        <v>1</v>
      </c>
      <c r="X10" s="8" t="n">
        <f aca="false">SUM(X6:X7)/SUM(X5:X7)</f>
        <v>0.890034843205575</v>
      </c>
      <c r="Y10" s="8" t="n">
        <f aca="false">SUM(Y6:Y7)/SUM(Y5:Y7)</f>
        <v>1</v>
      </c>
      <c r="Z10" s="8" t="n">
        <f aca="false">SUM(Z6:Z7)/SUM(Z5:Z7)</f>
        <v>0.645569620253165</v>
      </c>
      <c r="AA10" s="8" t="n">
        <f aca="false">SUM(AA6:AA7)/SUM(AA5:AA7)</f>
        <v>1</v>
      </c>
      <c r="AB10" s="8" t="n">
        <f aca="false">SUM(AB6:AB7)/SUM(AB5:AB7)</f>
        <v>0.981060606060606</v>
      </c>
      <c r="AC10" s="8" t="n">
        <f aca="false">SUM(AC6:AC7)/SUM(AC5:AC7)</f>
        <v>1</v>
      </c>
      <c r="AD10" s="8" t="n">
        <f aca="false">SUM(AD6:AD7)/SUM(AD5:AD7)</f>
        <v>0.966666666666666</v>
      </c>
      <c r="AE10" s="8" t="n">
        <f aca="false">SUM(AE6:AE7)/SUM(AE5:AE7)</f>
        <v>0.589974036349111</v>
      </c>
      <c r="AF10" s="8" t="n">
        <f aca="false">SUM(AF6:AF7)/SUM(AF5:AF7)</f>
        <v>0.73</v>
      </c>
      <c r="AG10" s="8" t="n">
        <f aca="false">SUM(AG6:AG7)/SUM(AG5:AG7)</f>
        <v>0.505347593582888</v>
      </c>
      <c r="AH10" s="8" t="n">
        <f aca="false">SUM(AH6:AH7)/SUM(AH5:AH7)</f>
        <v>1</v>
      </c>
      <c r="AI10" s="8" t="n">
        <f aca="false">SUM(AI6:AI7)/SUM(AI5:AI7)</f>
        <v>1</v>
      </c>
      <c r="AJ10" s="8" t="n">
        <f aca="false">SUM(AJ6:AJ7)/SUM(AJ5:AJ7)</f>
        <v>0.68729055258467</v>
      </c>
      <c r="AK10" s="8" t="n">
        <f aca="false">SUM(AK6:AK7)/SUM(AK5:AK7)</f>
        <v>1</v>
      </c>
      <c r="AL10" s="8" t="n">
        <f aca="false">SUM(AL6:AL7)/SUM(AL5:AL7)</f>
        <v>0.729411764705883</v>
      </c>
      <c r="AM10" s="8" t="n">
        <f aca="false">SUM(AM6:AM7)/SUM(AM5:AM7)</f>
        <v>0.314453781512605</v>
      </c>
      <c r="AN10" s="8" t="n">
        <f aca="false">SUM(AN6:AN7)/SUM(AN5:AN7)</f>
        <v>0.983623468729852</v>
      </c>
      <c r="AO10" s="8" t="n">
        <f aca="false">SUM(AO6:AO7)/SUM(AO5:AO7)</f>
        <v>0.974105400130124</v>
      </c>
      <c r="AP10" s="8" t="n">
        <f aca="false">SUM(AP6:AP7)/SUM(AP5:AP7)</f>
        <v>0.565</v>
      </c>
      <c r="AQ10" s="8" t="n">
        <f aca="false">SUM(AQ6:AQ7)/SUM(AQ5:AQ7)</f>
        <v>1</v>
      </c>
      <c r="AR10" s="8" t="n">
        <f aca="false">SUM(AR6:AR7)/SUM(AR5:AR7)</f>
        <v>1</v>
      </c>
      <c r="AS10" s="8" t="n">
        <f aca="false">SUM(AS6:AS7)/SUM(AS5:AS7)</f>
        <v>1</v>
      </c>
      <c r="AT10" s="8" t="n">
        <f aca="false">SUM(AT6:AT7)/SUM(AT5:AT7)</f>
        <v>0.333333333333333</v>
      </c>
      <c r="AU10" s="8" t="n">
        <f aca="false">SUM(AU6:AU7)/SUM(AU5:AU7)</f>
        <v>0.700130282323399</v>
      </c>
      <c r="AV10" s="8" t="n">
        <f aca="false">SUM(AV6:AV7)/SUM(AV5:AV7)</f>
        <v>0.91358024691358</v>
      </c>
      <c r="AW10" s="8" t="n">
        <f aca="false">SUM(AW6:AW7)/SUM(AW5:AW7)</f>
        <v>0.686149732620321</v>
      </c>
      <c r="AX10" s="8" t="n">
        <f aca="false">SUM(AX6:AX7)/SUM(AX5:AX7)</f>
        <v>1</v>
      </c>
      <c r="AY10" s="8" t="n">
        <f aca="false">SUM(AY6:AY7)/SUM(AY5:AY7)</f>
        <v>0.724563953488372</v>
      </c>
      <c r="AZ10" s="8" t="n">
        <f aca="false">SUM(AZ6:AZ7)/SUM(AZ5:AZ7)</f>
        <v>1</v>
      </c>
      <c r="BA10" s="8" t="n">
        <f aca="false">SUM(BA6:BA7)/SUM(BA5:BA7)</f>
        <v>0.528</v>
      </c>
      <c r="BB10" s="8" t="n">
        <f aca="false">SUM(BB6:BB7)/SUM(BB5:BB7)</f>
        <v>0.767576961271102</v>
      </c>
      <c r="BC10" s="8" t="n">
        <f aca="false">SUM(BC6:BC7)/SUM(BC5:BC7)</f>
        <v>0.908892045454545</v>
      </c>
      <c r="BD10" s="8" t="n">
        <f aca="false">SUM(BD6:BD7)/SUM(BD5:BD7)</f>
        <v>0.996823956442831</v>
      </c>
      <c r="BE10" s="8" t="n">
        <f aca="false">SUM(BE6:BE7)/SUM(BE5:BE7)</f>
        <v>0.962962962962963</v>
      </c>
      <c r="BF10" s="8" t="n">
        <f aca="false">SUM(BF6:BF7)/SUM(BF5:BF7)</f>
        <v>0.928947368421052</v>
      </c>
      <c r="BG10" s="8" t="n">
        <f aca="false">SUM(BG6:BG7)/SUM(BG5:BG7)</f>
        <v>0.41535</v>
      </c>
      <c r="BH10" s="8" t="n">
        <f aca="false">SUM(BH6:BH7)/SUM(BH5:BH7)</f>
        <v>0.986241830065359</v>
      </c>
      <c r="BI10" s="8" t="n">
        <f aca="false">SUM(BI6:BI7)/SUM(BI5:BI7)</f>
        <v>0.284007269422989</v>
      </c>
      <c r="BJ10" s="8" t="n">
        <f aca="false">SUM(BJ6:BJ7)/SUM(BJ5:BJ7)</f>
        <v>0.876</v>
      </c>
      <c r="BK10" s="8" t="n">
        <f aca="false">SUM(BK6:BK7)/SUM(BK5:BK7)</f>
        <v>0.95067920585162</v>
      </c>
      <c r="BL10" s="8" t="n">
        <f aca="false">SUM(BL6:BL7)/SUM(BL5:BL7)</f>
        <v>0.356642512077295</v>
      </c>
      <c r="BM10" s="8" t="n">
        <f aca="false">SUM(BM6:BM7)/SUM(BM5:BM7)</f>
        <v>1</v>
      </c>
      <c r="BN10" s="8" t="n">
        <f aca="false">SUM(BN6:BN7)/SUM(BN5:BN7)</f>
        <v>0.4305</v>
      </c>
      <c r="BO10" s="8" t="n">
        <f aca="false">SUM(BO6:BO7)/SUM(BO5:BO7)</f>
        <v>0.458333333333333</v>
      </c>
      <c r="BP10" s="8" t="n">
        <f aca="false">SUM(BP6:BP7)/SUM(BP5:BP7)</f>
        <v>1</v>
      </c>
      <c r="BQ10" s="8" t="n">
        <f aca="false">SUM(BQ6:BQ7)/SUM(BQ5:BQ7)</f>
        <v>0.626150283067422</v>
      </c>
      <c r="BR10" s="8" t="n">
        <f aca="false">SUM(BR6:BR7)/SUM(BR5:BR7)</f>
        <v>0.656848030018762</v>
      </c>
      <c r="BS10" s="8" t="n">
        <f aca="false">SUM(BS6:BS7)/SUM(BS5:BS7)</f>
        <v>0.692045454545454</v>
      </c>
      <c r="BT10" s="8" t="n">
        <f aca="false">SUM(BT6:BT7)/SUM(BT5:BT7)</f>
        <v>1</v>
      </c>
      <c r="BU10" s="8" t="n">
        <f aca="false">SUM(BU6:BU7)/SUM(BU5:BU7)</f>
        <v>0.246311010215664</v>
      </c>
      <c r="BV10" s="8" t="n">
        <f aca="false">SUM(BV6:BV7)/SUM(BV5:BV7)</f>
        <v>0.413687580025608</v>
      </c>
      <c r="BW10" s="8" t="n">
        <f aca="false">SUM(BW6:BW7)/SUM(BW5:BW7)</f>
        <v>1</v>
      </c>
      <c r="BX10" s="8" t="n">
        <f aca="false">SUM(BX6:BX7)/SUM(BX5:BX7)</f>
        <v>0.476923076923077</v>
      </c>
      <c r="BY10" s="8" t="n">
        <f aca="false">SUM(BY6:BY7)/SUM(BY5:BY7)</f>
        <v>0.997163793103448</v>
      </c>
      <c r="BZ10" s="8" t="n">
        <f aca="false">SUM(BZ6:BZ7)/SUM(BZ5:BZ7)</f>
        <v>0.397560975609756</v>
      </c>
      <c r="CA10" s="8" t="n">
        <f aca="false">SUM(CA6:CA7)/SUM(CA5:CA7)</f>
        <v>0.764221014492754</v>
      </c>
      <c r="CB10" s="8" t="n">
        <f aca="false">SUM(CB6:CB7)/SUM(CB5:CB7)</f>
        <v>0.995129380053908</v>
      </c>
      <c r="CC10" s="8" t="n">
        <f aca="false">SUM(CC6:CC7)/SUM(CC5:CC7)</f>
        <v>0.961353965183752</v>
      </c>
      <c r="CD10" s="8" t="n">
        <f aca="false">SUM(CD6:CD7)/SUM(CD5:CD7)</f>
        <v>0.974536231884058</v>
      </c>
      <c r="CE10" s="8" t="n">
        <f aca="false">SUM(CE6:CE7)/SUM(CE5:CE7)</f>
        <v>0.509187442289935</v>
      </c>
      <c r="CF10" s="8" t="n">
        <f aca="false">SUM(CF6:CF7)/SUM(CF5:CF7)</f>
        <v>0.931506849315069</v>
      </c>
      <c r="CG10" s="8" t="n">
        <f aca="false">SUM(CG6:CG7)/SUM(CG5:CG7)</f>
        <v>0.8</v>
      </c>
      <c r="CH10" s="8" t="n">
        <f aca="false">SUM(CH6:CH7)/SUM(CH5:CH7)</f>
        <v>0.702127659574468</v>
      </c>
      <c r="CI10" s="8" t="n">
        <f aca="false">SUM(CI6:CI7)/SUM(CI5:CI7)</f>
        <v>0.993770764119601</v>
      </c>
      <c r="CJ10" s="8" t="n">
        <f aca="false">SUM(CJ6:CJ7)/SUM(CJ5:CJ7)</f>
        <v>0.413793103448276</v>
      </c>
      <c r="CK10" s="8" t="n">
        <f aca="false">SUM(CK6:CK7)/SUM(CK5:CK7)</f>
        <v>1</v>
      </c>
      <c r="CL10" s="8" t="n">
        <f aca="false">SUM(CL6:CL7)/SUM(CL5:CL7)</f>
        <v>1</v>
      </c>
      <c r="CM10" s="8" t="n">
        <f aca="false">SUM(CM6:CM7)/SUM(CM5:CM7)</f>
        <v>0.641975308641975</v>
      </c>
      <c r="CN10" s="8" t="n">
        <f aca="false">SUM(CN6:CN7)/SUM(CN5:CN7)</f>
        <v>0.44109362054681</v>
      </c>
      <c r="CO10" s="8" t="n">
        <f aca="false">SUM(CO6:CO7)/SUM(CO5:CO7)</f>
        <v>0.872908653846154</v>
      </c>
      <c r="CP10" s="8" t="n">
        <f aca="false">SUM(CP6:CP7)/SUM(CP5:CP7)</f>
        <v>0.428571428571429</v>
      </c>
      <c r="CQ10" s="8" t="n">
        <f aca="false">SUM(CQ6:CQ7)/SUM(CQ5:CQ7)</f>
        <v>0.507317073170732</v>
      </c>
      <c r="CR10" s="8" t="n">
        <f aca="false">SUM(CR6:CR7)/SUM(CR5:CR7)</f>
        <v>0.234806117072236</v>
      </c>
      <c r="CS10" s="8" t="n">
        <f aca="false">SUM(CS6:CS7)/SUM(CS5:CS7)</f>
        <v>0.929411764705882</v>
      </c>
      <c r="CT10" s="8" t="n">
        <f aca="false">SUM(CT6:CT7)/SUM(CT5:CT7)</f>
        <v>0.701754385964912</v>
      </c>
      <c r="CU10" s="8" t="n">
        <f aca="false">SUM(CU6:CU7)/SUM(CU5:CU7)</f>
        <v>0.732142857142857</v>
      </c>
      <c r="CV10" s="8" t="n">
        <f aca="false">SUM(CV6:CV7)/SUM(CV5:CV7)</f>
        <v>1</v>
      </c>
      <c r="CW10" s="8" t="n">
        <f aca="false">SUM(CW6:CW7)/SUM(CW5:CW7)</f>
        <v>1</v>
      </c>
      <c r="CX10" s="8" t="n">
        <f aca="false">SUM(CX6:CX7)/SUM(CX5:CX7)</f>
        <v>0.840343021733438</v>
      </c>
      <c r="CY10" s="8" t="n">
        <f aca="false">SUM(CY6:CY7)/SUM(CY5:CY7)</f>
        <v>1</v>
      </c>
      <c r="CZ10" s="8" t="n">
        <f aca="false">SUM(CZ6:CZ7)/SUM(CZ5:CZ7)</f>
        <v>0.987387387387387</v>
      </c>
      <c r="DA10" s="8" t="n">
        <f aca="false">SUM(DA6:DA7)/SUM(DA5:DA7)</f>
        <v>0.416260162601626</v>
      </c>
      <c r="DB10" s="8" t="n">
        <f aca="false">SUM(DB6:DB7)/SUM(DB5:DB7)</f>
        <v>0.960096153846154</v>
      </c>
      <c r="DC10" s="8" t="n">
        <f aca="false">SUM(DC6:DC7)/SUM(DC5:DC7)</f>
        <v>1</v>
      </c>
      <c r="DD10" s="8" t="n">
        <f aca="false">SUM(DD6:DD7)/SUM(DD5:DD7)</f>
        <v>1</v>
      </c>
      <c r="DE10" s="8" t="n">
        <f aca="false">SUM(DE6:DE7)/SUM(DE5:DE7)</f>
        <v>0.921111111112424</v>
      </c>
      <c r="DF10" s="8" t="n">
        <f aca="false">SUM(DF6:DF7)/SUM(DF5:DF7)</f>
        <v>0.878048780487805</v>
      </c>
      <c r="DG10" s="8" t="n">
        <f aca="false">SUM(DG6:DG7)/SUM(DG5:DG7)</f>
        <v>0.484926470588235</v>
      </c>
      <c r="DH10" s="8" t="n">
        <f aca="false">SUM(DH6:DH7)/SUM(DH5:DH7)</f>
        <v>0.783132530120482</v>
      </c>
      <c r="DI10" s="8" t="n">
        <f aca="false">SUM(DI6:DI7)/SUM(DI5:DI7)</f>
        <v>0.768472906403941</v>
      </c>
      <c r="DJ10" s="8" t="n">
        <f aca="false">SUM(DJ6:DJ7)/SUM(DJ5:DJ7)</f>
        <v>1</v>
      </c>
      <c r="DK10" s="8" t="n">
        <f aca="false">SUM(DK6:DK7)/SUM(DK5:DK7)</f>
        <v>0.966129032258064</v>
      </c>
      <c r="DL10" s="8" t="n">
        <f aca="false">SUM(DL6:DL7)/SUM(DL5:DL7)</f>
        <v>0.442622950819672</v>
      </c>
      <c r="DM10" s="8" t="n">
        <f aca="false">SUM(DM6:DM7)/SUM(DM5:DM7)</f>
        <v>0.878573696145125</v>
      </c>
      <c r="DN10" s="8" t="n">
        <f aca="false">SUM(DN6:DN7)/SUM(DN5:DN7)</f>
        <v>0.982121212121212</v>
      </c>
      <c r="DO10" s="8" t="n">
        <f aca="false">SUM(DO6:DO7)/SUM(DO5:DO7)</f>
        <v>0.898364485981309</v>
      </c>
      <c r="DP10" s="8" t="n">
        <f aca="false">SUM(DP6:DP7)/SUM(DP5:DP7)</f>
        <v>0.999425253991291</v>
      </c>
      <c r="DQ10" s="8" t="n">
        <f aca="false">SUM(DQ6:DQ7)/SUM(DQ5:DQ7)</f>
        <v>0.52</v>
      </c>
      <c r="DR10" s="8" t="n">
        <f aca="false">SUM(DR6:DR7)/SUM(DR5:DR7)</f>
        <v>1</v>
      </c>
      <c r="DS10" s="8" t="n">
        <f aca="false">SUM(DS6:DS7)/SUM(DS5:DS7)</f>
        <v>0.448489583333333</v>
      </c>
      <c r="DT10" s="8" t="n">
        <f aca="false">SUM(DT6:DT7)/SUM(DT5:DT7)</f>
        <v>0.974655172413793</v>
      </c>
      <c r="DU10" s="8" t="n">
        <f aca="false">SUM(DU6:DU7)/SUM(DU5:DU7)</f>
        <v>0.50754</v>
      </c>
      <c r="DV10" s="8" t="n">
        <f aca="false">SUM(DV6:DV7)/SUM(DV5:DV7)</f>
        <v>0.986201298701299</v>
      </c>
      <c r="DW10" s="8" t="n">
        <f aca="false">SUM(DW6:DW7)/SUM(DW5:DW7)</f>
        <v>0.863013698630137</v>
      </c>
      <c r="DX10" s="8" t="n">
        <f aca="false">SUM(DX6:DX7)/SUM(DX5:DX7)</f>
        <v>0.96875</v>
      </c>
      <c r="DY10" s="8"/>
      <c r="DZ10" s="38" t="s">
        <v>225</v>
      </c>
      <c r="EA10" s="39" t="e">
        <f aca="false">EA8/EA9</f>
        <v>#DIV/0!</v>
      </c>
    </row>
    <row r="11" customFormat="false" ht="15" hidden="false" customHeight="false" outlineLevel="0" collapsed="false">
      <c r="A11" s="5" t="s">
        <v>226</v>
      </c>
      <c r="B11" s="8" t="n">
        <f aca="false">B7/SUM(B6:B7)</f>
        <v>0.84</v>
      </c>
      <c r="C11" s="8" t="n">
        <f aca="false">C7/SUM(C6:C7)</f>
        <v>0.5</v>
      </c>
      <c r="D11" s="8" t="n">
        <f aca="false">D7/SUM(D6:D7)</f>
        <v>0.92</v>
      </c>
      <c r="E11" s="8" t="n">
        <f aca="false">E7/SUM(E6:E7)</f>
        <v>0.66</v>
      </c>
      <c r="F11" s="8" t="n">
        <f aca="false">F7/SUM(F6:F7)</f>
        <v>0.77</v>
      </c>
      <c r="G11" s="8" t="n">
        <f aca="false">G7/SUM(G6:G7)</f>
        <v>0.925373134328358</v>
      </c>
      <c r="H11" s="8" t="n">
        <f aca="false">H7/SUM(H6:H7)</f>
        <v>0.63</v>
      </c>
      <c r="I11" s="8" t="n">
        <f aca="false">I7/SUM(I6:I7)</f>
        <v>0.67</v>
      </c>
      <c r="J11" s="8" t="n">
        <f aca="false">J7/SUM(J6:J7)</f>
        <v>0.69</v>
      </c>
      <c r="K11" s="8" t="n">
        <f aca="false">K7/SUM(K6:K7)</f>
        <v>0.309999999995132</v>
      </c>
      <c r="L11" s="8" t="n">
        <f aca="false">L7/SUM(L6:L7)</f>
        <v>0.88</v>
      </c>
      <c r="M11" s="8" t="n">
        <f aca="false">M7/SUM(M6:M7)</f>
        <v>0.71</v>
      </c>
      <c r="N11" s="8" t="n">
        <f aca="false">N7/SUM(N6:N7)</f>
        <v>0.91</v>
      </c>
      <c r="O11" s="8" t="n">
        <f aca="false">O7/SUM(O6:O7)</f>
        <v>0.47</v>
      </c>
      <c r="P11" s="8" t="n">
        <f aca="false">P7/SUM(P6:P7)</f>
        <v>0.93</v>
      </c>
      <c r="Q11" s="8" t="n">
        <f aca="false">Q7/SUM(Q6:Q7)</f>
        <v>0.87</v>
      </c>
      <c r="R11" s="8" t="n">
        <f aca="false">R7/SUM(R6:R7)</f>
        <v>0.69</v>
      </c>
      <c r="S11" s="8" t="n">
        <f aca="false">S7/SUM(S6:S7)</f>
        <v>0.9</v>
      </c>
      <c r="T11" s="8" t="n">
        <f aca="false">T7/SUM(T6:T7)</f>
        <v>0.77</v>
      </c>
      <c r="U11" s="8" t="n">
        <f aca="false">U7/SUM(U6:U7)</f>
        <v>0.816</v>
      </c>
      <c r="V11" s="8" t="n">
        <f aca="false">V7/SUM(V6:V7)</f>
        <v>0.79</v>
      </c>
      <c r="W11" s="8" t="n">
        <f aca="false">W7/SUM(W6:W7)</f>
        <v>0.9</v>
      </c>
      <c r="X11" s="8" t="n">
        <f aca="false">X7/SUM(X6:X7)</f>
        <v>0.94</v>
      </c>
      <c r="Y11" s="8" t="n">
        <f aca="false">Y7/SUM(Y6:Y7)</f>
        <v>0.6</v>
      </c>
      <c r="Z11" s="8" t="n">
        <f aca="false">Z7/SUM(Z6:Z7)</f>
        <v>0.686274509803921</v>
      </c>
      <c r="AA11" s="8" t="n">
        <f aca="false">AA7/SUM(AA6:AA7)</f>
        <v>0.95</v>
      </c>
      <c r="AB11" s="8" t="n">
        <f aca="false">AB7/SUM(AB6:AB7)</f>
        <v>0.91</v>
      </c>
      <c r="AC11" s="8" t="n">
        <f aca="false">AC7/SUM(AC6:AC7)</f>
        <v>0.91</v>
      </c>
      <c r="AD11" s="8" t="n">
        <f aca="false">AD7/SUM(AD6:AD7)</f>
        <v>0.95</v>
      </c>
      <c r="AE11" s="8" t="n">
        <f aca="false">AE7/SUM(AE6:AE7)</f>
        <v>0.91</v>
      </c>
      <c r="AF11" s="8" t="n">
        <f aca="false">AF7/SUM(AF6:AF7)</f>
        <v>0.7</v>
      </c>
      <c r="AG11" s="8" t="n">
        <f aca="false">AG7/SUM(AG6:AG7)</f>
        <v>0.794</v>
      </c>
      <c r="AH11" s="8" t="n">
        <f aca="false">AH7/SUM(AH6:AH7)</f>
        <v>0.607142857142857</v>
      </c>
      <c r="AI11" s="8" t="n">
        <f aca="false">AI7/SUM(AI6:AI7)</f>
        <v>0.59</v>
      </c>
      <c r="AJ11" s="8" t="n">
        <f aca="false">AJ7/SUM(AJ6:AJ7)</f>
        <v>0.69</v>
      </c>
      <c r="AK11" s="8" t="n">
        <f aca="false">AK7/SUM(AK6:AK7)</f>
        <v>0.86</v>
      </c>
      <c r="AL11" s="8" t="n">
        <f aca="false">AL7/SUM(AL6:AL7)</f>
        <v>0.951612903225806</v>
      </c>
      <c r="AM11" s="8" t="n">
        <f aca="false">AM7/SUM(AM6:AM7)</f>
        <v>0.86</v>
      </c>
      <c r="AN11" s="8" t="n">
        <f aca="false">AN7/SUM(AN6:AN7)</f>
        <v>0.95</v>
      </c>
      <c r="AO11" s="8" t="n">
        <f aca="false">AO7/SUM(AO6:AO7)</f>
        <v>0.85</v>
      </c>
      <c r="AP11" s="8" t="n">
        <f aca="false">AP7/SUM(AP6:AP7)</f>
        <v>0.8</v>
      </c>
      <c r="AQ11" s="8" t="n">
        <f aca="false">AQ7/SUM(AQ6:AQ7)</f>
        <v>0.83</v>
      </c>
      <c r="AR11" s="8" t="n">
        <f aca="false">AR7/SUM(AR6:AR7)</f>
        <v>0.82</v>
      </c>
      <c r="AS11" s="8" t="n">
        <f aca="false">AS7/SUM(AS6:AS7)</f>
        <v>0.77</v>
      </c>
      <c r="AT11" s="8" t="n">
        <f aca="false">AT7/SUM(AT6:AT7)</f>
        <v>0.655172413793104</v>
      </c>
      <c r="AU11" s="8" t="n">
        <f aca="false">AU7/SUM(AU6:AU7)</f>
        <v>0.82</v>
      </c>
      <c r="AV11" s="8" t="n">
        <f aca="false">AV7/SUM(AV6:AV7)</f>
        <v>0.702702702702703</v>
      </c>
      <c r="AW11" s="8" t="n">
        <f aca="false">AW7/SUM(AW6:AW7)</f>
        <v>0.64</v>
      </c>
      <c r="AX11" s="8" t="n">
        <f aca="false">AX7/SUM(AX6:AX7)</f>
        <v>0.83</v>
      </c>
      <c r="AY11" s="8" t="n">
        <f aca="false">AY7/SUM(AY6:AY7)</f>
        <v>0.84</v>
      </c>
      <c r="AZ11" s="8" t="n">
        <f aca="false">AZ7/SUM(AZ6:AZ7)</f>
        <v>0.92</v>
      </c>
      <c r="BA11" s="8" t="n">
        <f aca="false">BA7/SUM(BA6:BA7)</f>
        <v>0.95</v>
      </c>
      <c r="BB11" s="8" t="n">
        <f aca="false">BB7/SUM(BB6:BB7)</f>
        <v>0.83</v>
      </c>
      <c r="BC11" s="8" t="n">
        <f aca="false">BC7/SUM(BC6:BC7)</f>
        <v>0.65</v>
      </c>
      <c r="BD11" s="8" t="n">
        <f aca="false">BD7/SUM(BD6:BD7)</f>
        <v>0.8</v>
      </c>
      <c r="BE11" s="8" t="n">
        <f aca="false">BE7/SUM(BE6:BE7)</f>
        <v>0.76</v>
      </c>
      <c r="BF11" s="8" t="n">
        <f aca="false">BF7/SUM(BF6:BF7)</f>
        <v>0.83</v>
      </c>
      <c r="BG11" s="8" t="n">
        <f aca="false">BG7/SUM(BG6:BG7)</f>
        <v>0.73</v>
      </c>
      <c r="BH11" s="8" t="n">
        <f aca="false">BH7/SUM(BH6:BH7)</f>
        <v>0.71</v>
      </c>
      <c r="BI11" s="8" t="n">
        <f aca="false">BI7/SUM(BI6:BI7)</f>
        <v>0.67</v>
      </c>
      <c r="BJ11" s="8" t="n">
        <f aca="false">BJ7/SUM(BJ6:BJ7)</f>
        <v>0.624</v>
      </c>
      <c r="BK11" s="8" t="n">
        <f aca="false">BK7/SUM(BK6:BK7)</f>
        <v>0.67</v>
      </c>
      <c r="BL11" s="8" t="n">
        <f aca="false">BL7/SUM(BL6:BL7)</f>
        <v>0.6</v>
      </c>
      <c r="BM11" s="8" t="n">
        <f aca="false">BM7/SUM(BM6:BM7)</f>
        <v>0.84</v>
      </c>
      <c r="BN11" s="8" t="n">
        <f aca="false">BN7/SUM(BN6:BN7)</f>
        <v>0.62</v>
      </c>
      <c r="BO11" s="8" t="n">
        <f aca="false">BO7/SUM(BO6:BO7)</f>
        <v>0.83</v>
      </c>
      <c r="BP11" s="8" t="n">
        <f aca="false">BP7/SUM(BP6:BP7)</f>
        <v>0.79</v>
      </c>
      <c r="BQ11" s="8" t="n">
        <f aca="false">BQ7/SUM(BQ6:BQ7)</f>
        <v>0.68</v>
      </c>
      <c r="BR11" s="8" t="n">
        <f aca="false">BR7/SUM(BR6:BR7)</f>
        <v>0.74</v>
      </c>
      <c r="BS11" s="8" t="n">
        <f aca="false">BS7/SUM(BS6:BS7)</f>
        <v>0.73</v>
      </c>
      <c r="BT11" s="8" t="n">
        <f aca="false">BT7/SUM(BT6:BT7)</f>
        <v>0.78</v>
      </c>
      <c r="BU11" s="8" t="n">
        <f aca="false">BU7/SUM(BU6:BU7)</f>
        <v>0.85</v>
      </c>
      <c r="BV11" s="8" t="n">
        <f aca="false">BV7/SUM(BV6:BV7)</f>
        <v>0.72</v>
      </c>
      <c r="BW11" s="8" t="n">
        <f aca="false">BW7/SUM(BW6:BW7)</f>
        <v>0.87</v>
      </c>
      <c r="BX11" s="8" t="n">
        <f aca="false">BX7/SUM(BX6:BX7)</f>
        <v>0.82</v>
      </c>
      <c r="BY11" s="8" t="n">
        <f aca="false">BY7/SUM(BY6:BY7)</f>
        <v>0.85</v>
      </c>
      <c r="BZ11" s="8" t="n">
        <f aca="false">BZ7/SUM(BZ6:BZ7)</f>
        <v>0.93</v>
      </c>
      <c r="CA11" s="8" t="n">
        <f aca="false">CA7/SUM(CA6:CA7)</f>
        <v>0.82</v>
      </c>
      <c r="CB11" s="8" t="n">
        <f aca="false">CB7/SUM(CB6:CB7)</f>
        <v>0.66</v>
      </c>
      <c r="CC11" s="8" t="n">
        <f aca="false">CC7/SUM(CC6:CC7)</f>
        <v>0.87</v>
      </c>
      <c r="CD11" s="8" t="n">
        <f aca="false">CD7/SUM(CD6:CD7)</f>
        <v>0.85</v>
      </c>
      <c r="CE11" s="8" t="n">
        <f aca="false">CE7/SUM(CE6:CE7)</f>
        <v>0.91</v>
      </c>
      <c r="CF11" s="8" t="n">
        <f aca="false">CF7/SUM(CF6:CF7)</f>
        <v>0.898305084745762</v>
      </c>
      <c r="CG11" s="8" t="n">
        <f aca="false">CG7/SUM(CG6:CG7)</f>
        <v>0.984</v>
      </c>
      <c r="CH11" s="8" t="n">
        <f aca="false">CH7/SUM(CH6:CH7)</f>
        <v>0.61</v>
      </c>
      <c r="CI11" s="8" t="n">
        <f aca="false">CI7/SUM(CI6:CI7)</f>
        <v>0.67</v>
      </c>
      <c r="CJ11" s="8" t="n">
        <f aca="false">CJ7/SUM(CJ6:CJ7)</f>
        <v>0.81</v>
      </c>
      <c r="CK11" s="8" t="n">
        <f aca="false">CK7/SUM(CK6:CK7)</f>
        <v>0.58</v>
      </c>
      <c r="CL11" s="8" t="n">
        <f aca="false">CL7/SUM(CL6:CL7)</f>
        <v>0.66</v>
      </c>
      <c r="CM11" s="8" t="n">
        <f aca="false">CM7/SUM(CM6:CM7)</f>
        <v>0.9</v>
      </c>
      <c r="CN11" s="8" t="n">
        <f aca="false">CN7/SUM(CN6:CN7)</f>
        <v>0.7</v>
      </c>
      <c r="CO11" s="8" t="n">
        <f aca="false">CO7/SUM(CO6:CO7)</f>
        <v>0.82</v>
      </c>
      <c r="CP11" s="8" t="n">
        <f aca="false">CP7/SUM(CP6:CP7)</f>
        <v>0.92</v>
      </c>
      <c r="CQ11" s="8" t="n">
        <f aca="false">CQ7/SUM(CQ6:CQ7)</f>
        <v>0.78</v>
      </c>
      <c r="CR11" s="8" t="n">
        <f aca="false">CR7/SUM(CR6:CR7)</f>
        <v>0.799796044265948</v>
      </c>
      <c r="CS11" s="8" t="n">
        <f aca="false">CS7/SUM(CS6:CS7)</f>
        <v>0.94</v>
      </c>
      <c r="CT11" s="8" t="n">
        <f aca="false">CT7/SUM(CT6:CT7)</f>
        <v>0.71</v>
      </c>
      <c r="CU11" s="8" t="n">
        <f aca="false">CU7/SUM(CU6:CU7)</f>
        <v>0.77</v>
      </c>
      <c r="CV11" s="8" t="n">
        <f aca="false">CV7/SUM(CV6:CV7)</f>
        <v>0.71</v>
      </c>
      <c r="CW11" s="8" t="n">
        <f aca="false">CW7/SUM(CW6:CW7)</f>
        <v>0.81</v>
      </c>
      <c r="CX11" s="8" t="n">
        <f aca="false">CX7/SUM(CX6:CX7)</f>
        <v>0.71</v>
      </c>
      <c r="CY11" s="8" t="n">
        <f aca="false">CY7/SUM(CY6:CY7)</f>
        <v>0.76</v>
      </c>
      <c r="CZ11" s="8" t="n">
        <f aca="false">CZ7/SUM(CZ6:CZ7)</f>
        <v>0.89</v>
      </c>
      <c r="DA11" s="8" t="n">
        <f aca="false">DA7/SUM(DA6:DA7)</f>
        <v>0.81</v>
      </c>
      <c r="DB11" s="8" t="n">
        <f aca="false">DB7/SUM(DB6:DB7)</f>
        <v>0.9</v>
      </c>
      <c r="DC11" s="8" t="n">
        <f aca="false">DC7/SUM(DC6:DC7)</f>
        <v>0.76</v>
      </c>
      <c r="DD11" s="8" t="n">
        <f aca="false">DD7/SUM(DD6:DD7)</f>
        <v>0.51</v>
      </c>
      <c r="DE11" s="8" t="n">
        <f aca="false">DE7/SUM(DE6:DE7)</f>
        <v>0.946924004821366</v>
      </c>
      <c r="DF11" s="8" t="n">
        <f aca="false">DF7/SUM(DF6:DF7)</f>
        <v>0.962962962962963</v>
      </c>
      <c r="DG11" s="8" t="n">
        <f aca="false">DG7/SUM(DG6:DG7)</f>
        <v>0.77</v>
      </c>
      <c r="DH11" s="8" t="n">
        <f aca="false">DH7/SUM(DH6:DH7)</f>
        <v>0.96</v>
      </c>
      <c r="DI11" s="8" t="n">
        <f aca="false">DI7/SUM(DI6:DI7)</f>
        <v>0.82</v>
      </c>
      <c r="DJ11" s="8" t="n">
        <f aca="false">DJ7/SUM(DJ6:DJ7)</f>
        <v>0.87</v>
      </c>
      <c r="DK11" s="8" t="n">
        <f aca="false">DK7/SUM(DK6:DK7)</f>
        <v>0.9</v>
      </c>
      <c r="DL11" s="8" t="n">
        <f aca="false">DL7/SUM(DL6:DL7)</f>
        <v>0.81</v>
      </c>
      <c r="DM11" s="8" t="n">
        <f aca="false">DM7/SUM(DM6:DM7)</f>
        <v>0.77</v>
      </c>
      <c r="DN11" s="8" t="n">
        <f aca="false">DN7/SUM(DN6:DN7)</f>
        <v>0.86</v>
      </c>
      <c r="DO11" s="8" t="n">
        <f aca="false">DO7/SUM(DO6:DO7)</f>
        <v>0.94668400520156</v>
      </c>
      <c r="DP11" s="8" t="n">
        <f aca="false">DP7/SUM(DP6:DP7)</f>
        <v>0.67</v>
      </c>
      <c r="DQ11" s="8" t="n">
        <f aca="false">DQ7/SUM(DQ6:DQ7)</f>
        <v>0.819230769230769</v>
      </c>
      <c r="DR11" s="8" t="n">
        <f aca="false">DR7/SUM(DR6:DR7)</f>
        <v>0.93</v>
      </c>
      <c r="DS11" s="8" t="n">
        <f aca="false">DS7/SUM(DS6:DS7)</f>
        <v>0.88</v>
      </c>
      <c r="DT11" s="8" t="n">
        <f aca="false">DT7/SUM(DT6:DT7)</f>
        <v>0.95</v>
      </c>
      <c r="DU11" s="8" t="n">
        <f aca="false">DU7/SUM(DU6:DU7)</f>
        <v>0.71</v>
      </c>
      <c r="DV11" s="8" t="n">
        <f aca="false">DV7/SUM(DV6:DV7)</f>
        <v>0.77</v>
      </c>
      <c r="DW11" s="8" t="n">
        <f aca="false">DW7/SUM(DW6:DW7)</f>
        <v>0.93</v>
      </c>
      <c r="DX11" s="8" t="n">
        <f aca="false">DX7/SUM(DX6:DX7)</f>
        <v>0.84</v>
      </c>
      <c r="DY11" s="8"/>
      <c r="DZ11" s="38"/>
      <c r="EA11" s="38"/>
    </row>
    <row r="12" customFormat="false" ht="15" hidden="false" customHeight="false" outlineLevel="0" collapsed="false">
      <c r="AM12" s="5"/>
      <c r="DP12" s="38"/>
      <c r="DZ12" s="38"/>
      <c r="EA12" s="38"/>
    </row>
    <row r="13" customFormat="false" ht="15" hidden="false" customHeight="false" outlineLevel="0" collapsed="false">
      <c r="A13" s="5" t="s">
        <v>227</v>
      </c>
      <c r="B13" s="8" t="n">
        <f aca="false">B9*B10*B11</f>
        <v>0.042</v>
      </c>
      <c r="C13" s="8" t="n">
        <f aca="false">C9*C10*C11</f>
        <v>0.426337209302326</v>
      </c>
      <c r="D13" s="8" t="n">
        <f aca="false">D9*D10*D11</f>
        <v>0.2392</v>
      </c>
      <c r="E13" s="8" t="n">
        <f aca="false">E9*E10*E11</f>
        <v>0.413598</v>
      </c>
      <c r="F13" s="8" t="n">
        <f aca="false">F9*F10*F11</f>
        <v>0.196136111111111</v>
      </c>
      <c r="G13" s="8" t="n">
        <f aca="false">G9*G10*G11</f>
        <v>0.827694859038142</v>
      </c>
      <c r="H13" s="8" t="n">
        <f aca="false">H9*H10*H11</f>
        <v>0.437495857988166</v>
      </c>
      <c r="I13" s="8" t="n">
        <f aca="false">I9*I10*I11</f>
        <v>0.180290909090909</v>
      </c>
      <c r="J13" s="8" t="n">
        <f aca="false">J9*J10*J11</f>
        <v>0.2507</v>
      </c>
      <c r="K13" s="8" t="n">
        <f aca="false">K9*K10*K11</f>
        <v>0.0464333333284891</v>
      </c>
      <c r="L13" s="8" t="n">
        <f aca="false">L9*L10*L11</f>
        <v>0.3784</v>
      </c>
      <c r="M13" s="8" t="n">
        <f aca="false">M9*M10*M11</f>
        <v>0.142</v>
      </c>
      <c r="N13" s="8" t="n">
        <f aca="false">N9*N10*N11</f>
        <v>0.542274450341168</v>
      </c>
      <c r="O13" s="8" t="n">
        <f aca="false">O9*O10*O11</f>
        <v>0.214126470588235</v>
      </c>
      <c r="P13" s="8" t="n">
        <f aca="false">P9*P10*P11</f>
        <v>0.4464</v>
      </c>
      <c r="Q13" s="8" t="n">
        <f aca="false">Q9*Q10*Q11</f>
        <v>0.14529</v>
      </c>
      <c r="R13" s="8" t="n">
        <f aca="false">R9*R10*R11</f>
        <v>0.195538333333333</v>
      </c>
      <c r="S13" s="8" t="n">
        <f aca="false">S9*S10*S11</f>
        <v>0.700099411764706</v>
      </c>
      <c r="T13" s="8" t="n">
        <f aca="false">T9*T10*T11</f>
        <v>0.4235</v>
      </c>
      <c r="U13" s="8" t="n">
        <f aca="false">U9*U10*U11</f>
        <v>0.129601921351164</v>
      </c>
      <c r="V13" s="8" t="n">
        <f aca="false">V9*V10*V11</f>
        <v>0.4345</v>
      </c>
      <c r="W13" s="8" t="n">
        <f aca="false">W9*W10*W11</f>
        <v>0.486</v>
      </c>
      <c r="X13" s="8" t="n">
        <f aca="false">X9*X10*X11</f>
        <v>0.686038857142857</v>
      </c>
      <c r="Y13" s="8" t="n">
        <f aca="false">Y9*Y10*Y11</f>
        <v>0.162</v>
      </c>
      <c r="Z13" s="8" t="n">
        <f aca="false">Z9*Z10*Z11</f>
        <v>0.35</v>
      </c>
      <c r="AA13" s="8" t="n">
        <f aca="false">AA9*AA10*AA11</f>
        <v>0.2755</v>
      </c>
      <c r="AB13" s="8" t="n">
        <f aca="false">AB9*AB10*AB11</f>
        <v>0.214263636363636</v>
      </c>
      <c r="AC13" s="8" t="n">
        <f aca="false">AC9*AC10*AC11</f>
        <v>0.3276</v>
      </c>
      <c r="AD13" s="8" t="n">
        <f aca="false">AD9*AD10*AD11</f>
        <v>0.8265</v>
      </c>
      <c r="AE13" s="8" t="n">
        <f aca="false">AE9*AE10*AE11</f>
        <v>0.344633333333333</v>
      </c>
      <c r="AF13" s="8" t="n">
        <f aca="false">AF9*AF10*AF11</f>
        <v>0.22995</v>
      </c>
      <c r="AG13" s="8" t="n">
        <f aca="false">AG9*AG10*AG11</f>
        <v>0.150066</v>
      </c>
      <c r="AH13" s="8" t="n">
        <f aca="false">AH9*AH10*AH11</f>
        <v>0.34</v>
      </c>
      <c r="AI13" s="8" t="n">
        <f aca="false">AI9*AI10*AI11</f>
        <v>0.3776</v>
      </c>
      <c r="AJ13" s="8" t="n">
        <f aca="false">AJ9*AJ10*AJ11</f>
        <v>0.241857545454545</v>
      </c>
      <c r="AK13" s="8" t="n">
        <f aca="false">AK9*AK10*AK11</f>
        <v>0.2838</v>
      </c>
      <c r="AL13" s="8" t="n">
        <f aca="false">AL9*AL10*AL11</f>
        <v>0.59</v>
      </c>
      <c r="AM13" s="8" t="n">
        <f aca="false">AM9*AM10*AM11</f>
        <v>0.189301176470588</v>
      </c>
      <c r="AN13" s="8" t="n">
        <f aca="false">AN9*AN10*AN11</f>
        <v>0.439187878787879</v>
      </c>
      <c r="AO13" s="8" t="n">
        <f aca="false">AO9*AO10*AO11</f>
        <v>0.438834482758621</v>
      </c>
      <c r="AP13" s="8" t="n">
        <f aca="false">AP9*AP10*AP11</f>
        <v>0.183410216982744</v>
      </c>
      <c r="AQ13" s="8" t="n">
        <f aca="false">AQ9*AQ10*AQ11</f>
        <v>0.4482</v>
      </c>
      <c r="AR13" s="8" t="n">
        <f aca="false">AR9*AR10*AR11</f>
        <v>0.2542</v>
      </c>
      <c r="AS13" s="8" t="n">
        <f aca="false">AS9*AS10*AS11</f>
        <v>0.462</v>
      </c>
      <c r="AT13" s="8" t="n">
        <f aca="false">AT9*AT10*AT11</f>
        <v>0.19</v>
      </c>
      <c r="AU13" s="8" t="n">
        <f aca="false">AU9*AU10*AU11</f>
        <v>0.410428973843058</v>
      </c>
      <c r="AV13" s="8" t="n">
        <f aca="false">AV9*AV10*AV11</f>
        <v>0.52</v>
      </c>
      <c r="AW13" s="8" t="n">
        <f aca="false">AW9*AW10*AW11</f>
        <v>0.373265454545454</v>
      </c>
      <c r="AX13" s="8" t="n">
        <f aca="false">AX9*AX10*AX11</f>
        <v>0.1992</v>
      </c>
      <c r="AY13" s="8" t="n">
        <f aca="false">AY9*AY10*AY11</f>
        <v>0.2617125</v>
      </c>
      <c r="AZ13" s="8" t="n">
        <f aca="false">AZ9*AZ10*AZ11</f>
        <v>0.3128</v>
      </c>
      <c r="BA13" s="8" t="n">
        <f aca="false">BA9*BA10*BA11</f>
        <v>0.4525059</v>
      </c>
      <c r="BB13" s="8" t="n">
        <f aca="false">BB9*BB10*BB11</f>
        <v>0.242093773584906</v>
      </c>
      <c r="BC13" s="8" t="n">
        <f aca="false">BC9*BC10*BC11</f>
        <v>0.189049545454545</v>
      </c>
      <c r="BD13" s="8" t="n">
        <f aca="false">BD9*BD10*BD11</f>
        <v>0.462526315789474</v>
      </c>
      <c r="BE13" s="8" t="n">
        <f aca="false">BE9*BE10*BE11</f>
        <v>0.3952</v>
      </c>
      <c r="BF13" s="8" t="n">
        <f aca="false">BF9*BF10*BF11</f>
        <v>0.431774736842105</v>
      </c>
      <c r="BG13" s="8" t="n">
        <f aca="false">BG9*BG10*BG11</f>
        <v>0.288767142857143</v>
      </c>
      <c r="BH13" s="8" t="n">
        <f aca="false">BH9*BH10*BH11</f>
        <v>0.0630208529411765</v>
      </c>
      <c r="BI13" s="8" t="n">
        <f aca="false">BI9*BI10*BI11</f>
        <v>0.0589883098591549</v>
      </c>
      <c r="BJ13" s="8" t="n">
        <f aca="false">BJ9*BJ10*BJ11</f>
        <v>0.3826368</v>
      </c>
      <c r="BK13" s="8" t="n">
        <f aca="false">BK9*BK10*BK11</f>
        <v>0.210195172413793</v>
      </c>
      <c r="BL13" s="8" t="n">
        <f aca="false">BL9*BL10*BL11</f>
        <v>0.154069565217391</v>
      </c>
      <c r="BM13" s="8" t="n">
        <f aca="false">BM9*BM10*BM11</f>
        <v>0.4872</v>
      </c>
      <c r="BN13" s="8" t="n">
        <f aca="false">BN9*BN10*BN11</f>
        <v>0.133455</v>
      </c>
      <c r="BO13" s="8" t="n">
        <f aca="false">BO9*BO10*BO11</f>
        <v>0.235858333333333</v>
      </c>
      <c r="BP13" s="8" t="n">
        <f aca="false">BP9*BP10*BP11</f>
        <v>0.2844</v>
      </c>
      <c r="BQ13" s="8" t="n">
        <f aca="false">BQ9*BQ10*BQ11</f>
        <v>0.285274068965517</v>
      </c>
      <c r="BR13" s="8" t="n">
        <f aca="false">BR9*BR10*BR11</f>
        <v>0.199287692307692</v>
      </c>
      <c r="BS13" s="8" t="n">
        <f aca="false">BS9*BS10*BS11</f>
        <v>0.0202077272727273</v>
      </c>
      <c r="BT13" s="8" t="n">
        <f aca="false">BT9*BT10*BT11</f>
        <v>0.4758</v>
      </c>
      <c r="BU13" s="8" t="n">
        <f aca="false">BU9*BU10*BU11</f>
        <v>0.18445</v>
      </c>
      <c r="BV13" s="8" t="n">
        <f aca="false">BV9*BV10*BV11</f>
        <v>0.211477090909091</v>
      </c>
      <c r="BW13" s="8" t="n">
        <f aca="false">BW9*BW10*BW11</f>
        <v>0.1566</v>
      </c>
      <c r="BX13" s="8" t="n">
        <f aca="false">BX9*BX10*BX11</f>
        <v>0.2542</v>
      </c>
      <c r="BY13" s="8" t="n">
        <f aca="false">BY9*BY10*BY11</f>
        <v>0.49160175</v>
      </c>
      <c r="BZ13" s="8" t="n">
        <f aca="false">BZ9*BZ10*BZ11</f>
        <v>0.15159</v>
      </c>
      <c r="CA13" s="8" t="n">
        <f aca="false">CA9*CA10*CA11</f>
        <v>0.288264166666667</v>
      </c>
      <c r="CB13" s="8" t="n">
        <f aca="false">CB9*CB10*CB11</f>
        <v>0.348096257142857</v>
      </c>
      <c r="CC13" s="8" t="n">
        <f aca="false">CC9*CC10*CC11</f>
        <v>0.393097636363636</v>
      </c>
      <c r="CD13" s="8" t="n">
        <f aca="false">CD9*CD10*CD11</f>
        <v>0.5715655</v>
      </c>
      <c r="CE13" s="8" t="n">
        <f aca="false">CE9*CE10*CE11</f>
        <v>0.264115526315789</v>
      </c>
      <c r="CF13" s="8" t="n">
        <f aca="false">CF9*CF10*CF11</f>
        <v>0.610847457627119</v>
      </c>
      <c r="CG13" s="8" t="n">
        <f aca="false">CG9*CG10*CG11</f>
        <v>0.66912</v>
      </c>
      <c r="CH13" s="8" t="n">
        <f aca="false">CH9*CH10*CH11</f>
        <v>0.2013</v>
      </c>
      <c r="CI13" s="8" t="n">
        <f aca="false">CI9*CI10*CI11</f>
        <v>0.186431395348837</v>
      </c>
      <c r="CJ13" s="8" t="n">
        <f aca="false">CJ9*CJ10*CJ11</f>
        <v>0.1944</v>
      </c>
      <c r="CK13" s="8" t="n">
        <f aca="false">CK9*CK10*CK11</f>
        <v>0.0348</v>
      </c>
      <c r="CL13" s="8" t="n">
        <f aca="false">CL9*CL10*CL11</f>
        <v>0.3894</v>
      </c>
      <c r="CM13" s="8" t="n">
        <f aca="false">CM9*CM10*CM11</f>
        <v>0.468</v>
      </c>
      <c r="CN13" s="8" t="n">
        <f aca="false">CN9*CN10*CN11</f>
        <v>0.219223529411765</v>
      </c>
      <c r="CO13" s="8" t="n">
        <f aca="false">CO9*CO10*CO11</f>
        <v>0.458102461538461</v>
      </c>
      <c r="CP13" s="8" t="n">
        <f aca="false">CP9*CP10*CP11</f>
        <v>0.2484</v>
      </c>
      <c r="CQ13" s="8" t="n">
        <f aca="false">CQ9*CQ10*CQ11</f>
        <v>0.16224</v>
      </c>
      <c r="CR13" s="8" t="n">
        <f aca="false">CR9*CR10*CR11</f>
        <v>0.0920205730904976</v>
      </c>
      <c r="CS13" s="8" t="n">
        <f aca="false">CS9*CS10*CS11</f>
        <v>0.7426</v>
      </c>
      <c r="CT13" s="8" t="n">
        <f aca="false">CT9*CT10*CT11</f>
        <v>0.247861755978356</v>
      </c>
      <c r="CU13" s="8" t="n">
        <f aca="false">CU9*CU10*CU11</f>
        <v>0.3157</v>
      </c>
      <c r="CV13" s="8" t="n">
        <f aca="false">CV9*CV10*CV11</f>
        <v>0.1917</v>
      </c>
      <c r="CW13" s="8" t="n">
        <f aca="false">CW9*CW10*CW11</f>
        <v>0.0648</v>
      </c>
      <c r="CX13" s="8" t="n">
        <f aca="false">CX9*CX10*CX11</f>
        <v>0.340086820895522</v>
      </c>
      <c r="CY13" s="8" t="n">
        <f aca="false">CY9*CY10*CY11</f>
        <v>0.0836</v>
      </c>
      <c r="CZ13" s="8" t="n">
        <f aca="false">CZ9*CZ10*CZ11</f>
        <v>0.650293333333333</v>
      </c>
      <c r="DA13" s="8" t="n">
        <f aca="false">DA9*DA10*DA11</f>
        <v>0.151726829268293</v>
      </c>
      <c r="DB13" s="8" t="n">
        <f aca="false">DB9*DB10*DB11</f>
        <v>0.0691269230769231</v>
      </c>
      <c r="DC13" s="8" t="n">
        <f aca="false">DC9*DC10*DC11</f>
        <v>0.4104</v>
      </c>
      <c r="DD13" s="8" t="n">
        <f aca="false">DD9*DD10*DD11</f>
        <v>0.3417</v>
      </c>
      <c r="DE13" s="8" t="n">
        <f aca="false">DE9*DE10*DE11</f>
        <v>0.785000000013488</v>
      </c>
      <c r="DF13" s="8" t="n">
        <f aca="false">DF9*DF10*DF11</f>
        <v>0.684210526315789</v>
      </c>
      <c r="DG13" s="8" t="n">
        <f aca="false">DG9*DG10*DG11</f>
        <v>0.12695375</v>
      </c>
      <c r="DH13" s="8" t="n">
        <f aca="false">DH9*DH10*DH11</f>
        <v>0.624</v>
      </c>
      <c r="DI13" s="8" t="n">
        <f aca="false">DI9*DI10*DI11</f>
        <v>0.275689655172414</v>
      </c>
      <c r="DJ13" s="8" t="n">
        <f aca="false">DJ9*DJ10*DJ11</f>
        <v>0.3567</v>
      </c>
      <c r="DK13" s="8" t="n">
        <f aca="false">DK9*DK10*DK11</f>
        <v>0.5391</v>
      </c>
      <c r="DL13" s="8" t="n">
        <f aca="false">DL9*DL10*DL11</f>
        <v>0.2187</v>
      </c>
      <c r="DM13" s="8" t="n">
        <f aca="false">DM9*DM10*DM11</f>
        <v>0.4261961</v>
      </c>
      <c r="DN13" s="8" t="n">
        <f aca="false">DN9*DN10*DN11</f>
        <v>0.228048545454545</v>
      </c>
      <c r="DO13" s="8" t="n">
        <f aca="false">DO9*DO10*DO11</f>
        <v>0.702025072324012</v>
      </c>
      <c r="DP13" s="8" t="n">
        <f aca="false">DP9*DP10*DP11</f>
        <v>0.354895907692308</v>
      </c>
      <c r="DQ13" s="8" t="n">
        <f aca="false">DQ9*DQ10*DQ11</f>
        <v>0.37062</v>
      </c>
      <c r="DR13" s="8" t="n">
        <f aca="false">DR9*DR10*DR11</f>
        <v>0.558</v>
      </c>
      <c r="DS13" s="8" t="n">
        <f aca="false">DS9*DS10*DS11</f>
        <v>0.2368025</v>
      </c>
      <c r="DT13" s="8" t="n">
        <f aca="false">DT9*DT10*DT11</f>
        <v>0.537035</v>
      </c>
      <c r="DU13" s="8" t="n">
        <f aca="false">DU9*DU10*DU11</f>
        <v>0.28828272</v>
      </c>
      <c r="DV13" s="8" t="n">
        <f aca="false">DV9*DV10*DV11</f>
        <v>0.1063125</v>
      </c>
      <c r="DW13" s="8" t="n">
        <f aca="false">DW9*DW10*DW11</f>
        <v>0.5859</v>
      </c>
      <c r="DX13" s="8" t="n">
        <f aca="false">DX9*DX10*DX11</f>
        <v>0.5208</v>
      </c>
      <c r="DZ13" s="38"/>
      <c r="EA13" s="38"/>
      <c r="EB13" s="5" t="s">
        <v>228</v>
      </c>
      <c r="EC13" s="40" t="n">
        <f aca="false">DR7/EA18</f>
        <v>1.226149005E-006</v>
      </c>
    </row>
    <row r="14" customFormat="false" ht="15" hidden="false" customHeight="false" outlineLevel="0" collapsed="false">
      <c r="C14" s="5"/>
      <c r="D14" s="5"/>
      <c r="J14" s="5"/>
      <c r="AM14" s="5"/>
      <c r="DP14" s="38"/>
      <c r="DZ14" s="38"/>
      <c r="EA14" s="38"/>
      <c r="EB14" s="5" t="s">
        <v>229</v>
      </c>
      <c r="EC14" s="40" t="n">
        <f aca="false">EA8/EA20</f>
        <v>0.9989514438</v>
      </c>
    </row>
    <row r="15" s="5" customFormat="true" ht="15" hidden="false" customHeight="false" outlineLevel="0" collapsed="false">
      <c r="B15" s="5" t="n">
        <v>1</v>
      </c>
      <c r="C15" s="5" t="n">
        <f aca="false">B15+1</f>
        <v>2</v>
      </c>
      <c r="D15" s="5" t="n">
        <f aca="false">C15+1</f>
        <v>3</v>
      </c>
      <c r="E15" s="5" t="n">
        <f aca="false">D15+1</f>
        <v>4</v>
      </c>
      <c r="F15" s="5" t="n">
        <f aca="false">E15+1</f>
        <v>5</v>
      </c>
      <c r="G15" s="5" t="n">
        <f aca="false">F15+1</f>
        <v>6</v>
      </c>
      <c r="H15" s="5" t="n">
        <f aca="false">G15+1</f>
        <v>7</v>
      </c>
      <c r="I15" s="5" t="n">
        <f aca="false">H15+1</f>
        <v>8</v>
      </c>
      <c r="J15" s="5" t="n">
        <f aca="false">I15+1</f>
        <v>9</v>
      </c>
      <c r="K15" s="5" t="n">
        <f aca="false">J15+1</f>
        <v>10</v>
      </c>
      <c r="L15" s="5" t="n">
        <f aca="false">K15+1</f>
        <v>11</v>
      </c>
      <c r="M15" s="5" t="n">
        <f aca="false">L15+1</f>
        <v>12</v>
      </c>
      <c r="N15" s="5" t="n">
        <f aca="false">M15+1</f>
        <v>13</v>
      </c>
      <c r="O15" s="5" t="n">
        <f aca="false">N15+1</f>
        <v>14</v>
      </c>
      <c r="P15" s="5" t="n">
        <f aca="false">O15+1</f>
        <v>15</v>
      </c>
      <c r="Q15" s="5" t="n">
        <f aca="false">P15+1</f>
        <v>16</v>
      </c>
      <c r="R15" s="5" t="n">
        <f aca="false">Q15+1</f>
        <v>17</v>
      </c>
      <c r="S15" s="5" t="n">
        <f aca="false">R15+1</f>
        <v>18</v>
      </c>
      <c r="T15" s="5" t="n">
        <f aca="false">S15+1</f>
        <v>19</v>
      </c>
      <c r="U15" s="5" t="n">
        <f aca="false">T15+1</f>
        <v>20</v>
      </c>
      <c r="V15" s="5" t="n">
        <f aca="false">U15+1</f>
        <v>21</v>
      </c>
      <c r="W15" s="5" t="n">
        <f aca="false">V15+1</f>
        <v>22</v>
      </c>
      <c r="X15" s="5" t="n">
        <f aca="false">W15+1</f>
        <v>23</v>
      </c>
      <c r="Y15" s="5" t="n">
        <f aca="false">X15+1</f>
        <v>24</v>
      </c>
      <c r="Z15" s="5" t="n">
        <f aca="false">Y15+1</f>
        <v>25</v>
      </c>
      <c r="AA15" s="5" t="n">
        <f aca="false">Z15+1</f>
        <v>26</v>
      </c>
      <c r="AB15" s="5" t="n">
        <f aca="false">AA15+1</f>
        <v>27</v>
      </c>
      <c r="AC15" s="5" t="n">
        <f aca="false">AB15+1</f>
        <v>28</v>
      </c>
      <c r="AD15" s="5" t="n">
        <f aca="false">AC15+1</f>
        <v>29</v>
      </c>
      <c r="AE15" s="5" t="n">
        <f aca="false">AD15+1</f>
        <v>30</v>
      </c>
      <c r="AF15" s="5" t="n">
        <f aca="false">AE15+1</f>
        <v>31</v>
      </c>
      <c r="AG15" s="5" t="n">
        <f aca="false">AF15+1</f>
        <v>32</v>
      </c>
      <c r="AH15" s="5" t="n">
        <f aca="false">AG15+1</f>
        <v>33</v>
      </c>
      <c r="AI15" s="5" t="n">
        <f aca="false">AH15+1</f>
        <v>34</v>
      </c>
      <c r="AJ15" s="5" t="n">
        <f aca="false">AI15+1</f>
        <v>35</v>
      </c>
      <c r="AK15" s="5" t="n">
        <f aca="false">AJ15+1</f>
        <v>36</v>
      </c>
      <c r="AL15" s="5" t="n">
        <f aca="false">AK15+1</f>
        <v>37</v>
      </c>
      <c r="AM15" s="5" t="n">
        <f aca="false">AL15+1</f>
        <v>38</v>
      </c>
      <c r="AN15" s="5" t="n">
        <f aca="false">AM15+1</f>
        <v>39</v>
      </c>
      <c r="AO15" s="5" t="n">
        <f aca="false">AN15+1</f>
        <v>40</v>
      </c>
      <c r="AP15" s="5" t="n">
        <f aca="false">AO15+1</f>
        <v>41</v>
      </c>
      <c r="AQ15" s="5" t="n">
        <f aca="false">AP15+1</f>
        <v>42</v>
      </c>
      <c r="AR15" s="5" t="n">
        <f aca="false">AQ15+1</f>
        <v>43</v>
      </c>
      <c r="AS15" s="5" t="n">
        <f aca="false">AR15+1</f>
        <v>44</v>
      </c>
      <c r="AT15" s="5" t="n">
        <f aca="false">AS15+1</f>
        <v>45</v>
      </c>
      <c r="AU15" s="5" t="n">
        <f aca="false">AT15+1</f>
        <v>46</v>
      </c>
      <c r="AV15" s="5" t="n">
        <f aca="false">AU15+1</f>
        <v>47</v>
      </c>
      <c r="AW15" s="5" t="n">
        <f aca="false">AV15+1</f>
        <v>48</v>
      </c>
      <c r="AX15" s="5" t="n">
        <f aca="false">AW15+1</f>
        <v>49</v>
      </c>
      <c r="AY15" s="5" t="n">
        <f aca="false">AX15+1</f>
        <v>50</v>
      </c>
      <c r="AZ15" s="5" t="n">
        <f aca="false">AY15+1</f>
        <v>51</v>
      </c>
      <c r="BA15" s="5" t="n">
        <f aca="false">AZ15+1</f>
        <v>52</v>
      </c>
      <c r="BB15" s="5" t="n">
        <f aca="false">BA15+1</f>
        <v>53</v>
      </c>
      <c r="BC15" s="5" t="n">
        <f aca="false">BB15+1</f>
        <v>54</v>
      </c>
      <c r="BD15" s="5" t="n">
        <f aca="false">BC15+1</f>
        <v>55</v>
      </c>
      <c r="BE15" s="5" t="n">
        <f aca="false">BD15+1</f>
        <v>56</v>
      </c>
      <c r="BF15" s="5" t="n">
        <f aca="false">BE15+1</f>
        <v>57</v>
      </c>
      <c r="BG15" s="5" t="n">
        <f aca="false">BF15+1</f>
        <v>58</v>
      </c>
      <c r="BH15" s="5" t="n">
        <f aca="false">BG15+1</f>
        <v>59</v>
      </c>
      <c r="BI15" s="5" t="n">
        <f aca="false">BH15+1</f>
        <v>60</v>
      </c>
      <c r="BJ15" s="5" t="n">
        <f aca="false">BI15+1</f>
        <v>61</v>
      </c>
      <c r="BK15" s="5" t="n">
        <f aca="false">BJ15+1</f>
        <v>62</v>
      </c>
      <c r="BL15" s="5" t="n">
        <f aca="false">BK15+1</f>
        <v>63</v>
      </c>
      <c r="BM15" s="5" t="n">
        <f aca="false">BL15+1</f>
        <v>64</v>
      </c>
      <c r="BN15" s="5" t="n">
        <f aca="false">BM15+1</f>
        <v>65</v>
      </c>
      <c r="BO15" s="5" t="n">
        <f aca="false">BN15+1</f>
        <v>66</v>
      </c>
      <c r="BP15" s="5" t="n">
        <f aca="false">BO15+1</f>
        <v>67</v>
      </c>
      <c r="BQ15" s="5" t="n">
        <f aca="false">BP15+1</f>
        <v>68</v>
      </c>
      <c r="BR15" s="5" t="n">
        <f aca="false">BQ15+1</f>
        <v>69</v>
      </c>
      <c r="BS15" s="5" t="n">
        <f aca="false">BR15+1</f>
        <v>70</v>
      </c>
      <c r="BT15" s="5" t="n">
        <f aca="false">BS15+1</f>
        <v>71</v>
      </c>
      <c r="BU15" s="5" t="n">
        <f aca="false">BT15+1</f>
        <v>72</v>
      </c>
      <c r="BV15" s="5" t="n">
        <f aca="false">BU15+1</f>
        <v>73</v>
      </c>
      <c r="BW15" s="5" t="n">
        <f aca="false">BV15+1</f>
        <v>74</v>
      </c>
      <c r="BX15" s="5" t="n">
        <f aca="false">BW15+1</f>
        <v>75</v>
      </c>
      <c r="BY15" s="5" t="n">
        <f aca="false">BX15+1</f>
        <v>76</v>
      </c>
      <c r="BZ15" s="5" t="n">
        <f aca="false">BY15+1</f>
        <v>77</v>
      </c>
      <c r="CA15" s="5" t="n">
        <f aca="false">BZ15+1</f>
        <v>78</v>
      </c>
      <c r="CB15" s="5" t="n">
        <f aca="false">CA15+1</f>
        <v>79</v>
      </c>
      <c r="CC15" s="5" t="n">
        <f aca="false">CB15+1</f>
        <v>80</v>
      </c>
      <c r="CD15" s="5" t="n">
        <f aca="false">CC15+1</f>
        <v>81</v>
      </c>
      <c r="CE15" s="5" t="n">
        <f aca="false">CD15+1</f>
        <v>82</v>
      </c>
      <c r="CF15" s="5" t="n">
        <f aca="false">CE15+1</f>
        <v>83</v>
      </c>
      <c r="CG15" s="5" t="n">
        <f aca="false">CF15+1</f>
        <v>84</v>
      </c>
      <c r="CH15" s="5" t="n">
        <f aca="false">CG15+1</f>
        <v>85</v>
      </c>
      <c r="CI15" s="5" t="n">
        <f aca="false">CH15+1</f>
        <v>86</v>
      </c>
      <c r="CJ15" s="5" t="n">
        <f aca="false">CI15+1</f>
        <v>87</v>
      </c>
      <c r="CK15" s="5" t="n">
        <f aca="false">CJ15+1</f>
        <v>88</v>
      </c>
      <c r="CL15" s="5" t="n">
        <f aca="false">CK15+1</f>
        <v>89</v>
      </c>
      <c r="CM15" s="5" t="n">
        <f aca="false">CL15+1</f>
        <v>90</v>
      </c>
      <c r="CN15" s="5" t="n">
        <f aca="false">CM15+1</f>
        <v>91</v>
      </c>
      <c r="CO15" s="5" t="n">
        <f aca="false">CN15+1</f>
        <v>92</v>
      </c>
      <c r="CP15" s="5" t="n">
        <f aca="false">CO15+1</f>
        <v>93</v>
      </c>
      <c r="CQ15" s="5" t="n">
        <f aca="false">CP15+1</f>
        <v>94</v>
      </c>
      <c r="CR15" s="5" t="n">
        <f aca="false">CQ15+1</f>
        <v>95</v>
      </c>
      <c r="CS15" s="5" t="n">
        <f aca="false">CR15+1</f>
        <v>96</v>
      </c>
      <c r="CT15" s="5" t="n">
        <f aca="false">CS15+1</f>
        <v>97</v>
      </c>
      <c r="CU15" s="5" t="n">
        <f aca="false">CT15+1</f>
        <v>98</v>
      </c>
      <c r="CV15" s="5" t="n">
        <f aca="false">CU15+1</f>
        <v>99</v>
      </c>
      <c r="CW15" s="5" t="n">
        <f aca="false">CV15+1</f>
        <v>100</v>
      </c>
      <c r="CX15" s="5" t="n">
        <f aca="false">CW15+1</f>
        <v>101</v>
      </c>
      <c r="CY15" s="5" t="n">
        <f aca="false">CX15+1</f>
        <v>102</v>
      </c>
      <c r="CZ15" s="5" t="n">
        <f aca="false">CY15+1</f>
        <v>103</v>
      </c>
      <c r="DA15" s="5" t="n">
        <f aca="false">CZ15+1</f>
        <v>104</v>
      </c>
      <c r="DB15" s="5" t="n">
        <f aca="false">DA15+1</f>
        <v>105</v>
      </c>
      <c r="DC15" s="5" t="n">
        <f aca="false">DB15+1</f>
        <v>106</v>
      </c>
      <c r="DD15" s="5" t="n">
        <f aca="false">DC15+1</f>
        <v>107</v>
      </c>
      <c r="DF15" s="5" t="n">
        <f aca="false">DD15+1</f>
        <v>108</v>
      </c>
      <c r="DG15" s="5" t="n">
        <f aca="false">DF15+1</f>
        <v>109</v>
      </c>
      <c r="DH15" s="5" t="n">
        <f aca="false">DG15+1</f>
        <v>110</v>
      </c>
      <c r="DI15" s="5" t="n">
        <f aca="false">DH15+1</f>
        <v>111</v>
      </c>
      <c r="DJ15" s="5" t="n">
        <f aca="false">DI15+1</f>
        <v>112</v>
      </c>
      <c r="DK15" s="5" t="n">
        <f aca="false">DJ15+1</f>
        <v>113</v>
      </c>
      <c r="DL15" s="5" t="n">
        <f aca="false">DK15+1</f>
        <v>114</v>
      </c>
      <c r="DM15" s="5" t="n">
        <f aca="false">DL15+1</f>
        <v>115</v>
      </c>
      <c r="DN15" s="5" t="n">
        <f aca="false">DM15+1</f>
        <v>116</v>
      </c>
      <c r="DO15" s="5" t="n">
        <f aca="false">DN15+1</f>
        <v>117</v>
      </c>
      <c r="DP15" s="5" t="n">
        <f aca="false">DO15+1</f>
        <v>118</v>
      </c>
      <c r="DQ15" s="5" t="n">
        <f aca="false">DP15+1</f>
        <v>119</v>
      </c>
      <c r="DR15" s="5" t="n">
        <f aca="false">DQ15+1</f>
        <v>120</v>
      </c>
      <c r="DS15" s="5" t="n">
        <f aca="false">DR15+1</f>
        <v>121</v>
      </c>
      <c r="DT15" s="5" t="n">
        <f aca="false">DS15+1</f>
        <v>122</v>
      </c>
      <c r="DU15" s="5" t="n">
        <f aca="false">DT15+1</f>
        <v>123</v>
      </c>
      <c r="DV15" s="5" t="n">
        <f aca="false">DU15+1</f>
        <v>124</v>
      </c>
      <c r="DW15" s="5" t="n">
        <f aca="false">DV15+1</f>
        <v>125</v>
      </c>
      <c r="DX15" s="5" t="n">
        <f aca="false">DW15+1</f>
        <v>126</v>
      </c>
      <c r="DZ15" s="38"/>
      <c r="EA15" s="38"/>
      <c r="AKL15" s="8"/>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8" customFormat="true" ht="15" hidden="false" customHeight="false" outlineLevel="0" collapsed="false">
      <c r="A16" s="5"/>
      <c r="B16" s="5"/>
      <c r="C16" s="5"/>
      <c r="D16" s="5"/>
      <c r="J16" s="5"/>
      <c r="AM16" s="5"/>
      <c r="AN16" s="0"/>
      <c r="DP16" s="38"/>
      <c r="DQ16" s="0"/>
      <c r="DR16" s="0"/>
      <c r="DS16" s="0"/>
      <c r="DT16" s="0"/>
      <c r="DZ16" s="38"/>
      <c r="EA16" s="38"/>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5"/>
      <c r="J17" s="5"/>
      <c r="AM17" s="5"/>
      <c r="DP17" s="38"/>
      <c r="DZ17" s="38"/>
      <c r="EA17" s="38"/>
    </row>
    <row r="18" customFormat="false" ht="15" hidden="false" customHeight="false" outlineLevel="0" collapsed="false">
      <c r="A18" s="5"/>
      <c r="C18" s="5"/>
      <c r="D18" s="5"/>
      <c r="AM18" s="5"/>
      <c r="DP18" s="38"/>
      <c r="DZ18" s="38" t="s">
        <v>230</v>
      </c>
      <c r="EA18" s="41" t="n">
        <v>3754437659</v>
      </c>
    </row>
    <row r="19" customFormat="false" ht="15" hidden="false" customHeight="false" outlineLevel="0" collapsed="false">
      <c r="A19" s="5"/>
      <c r="C19" s="5"/>
      <c r="D19" s="5"/>
      <c r="AM19" s="5"/>
      <c r="BK19" s="5"/>
      <c r="BL19" s="5"/>
      <c r="BM19" s="5"/>
      <c r="BN19" s="5"/>
      <c r="DP19" s="38"/>
      <c r="DZ19" s="38" t="s">
        <v>231</v>
      </c>
      <c r="EA19" s="39" t="n">
        <v>0.008</v>
      </c>
    </row>
    <row r="20" customFormat="false" ht="15" hidden="false" customHeight="false" outlineLevel="0" collapsed="false">
      <c r="A20" s="5"/>
      <c r="C20" s="5"/>
      <c r="D20" s="5"/>
      <c r="E20" s="5"/>
      <c r="F20" s="5"/>
      <c r="H20" s="5"/>
      <c r="I20" s="5"/>
      <c r="J20" s="5"/>
      <c r="K20" s="5"/>
      <c r="CH20" s="5"/>
      <c r="CI20" s="5"/>
      <c r="CJ20" s="5"/>
      <c r="CK20" s="5"/>
      <c r="DD20" s="5"/>
      <c r="DE20" s="5"/>
      <c r="DF20" s="5"/>
      <c r="DG20" s="5"/>
      <c r="DP20" s="38"/>
      <c r="DZ20" s="38" t="s">
        <v>232</v>
      </c>
      <c r="EA20" s="42" t="n">
        <f aca="false">EA19*EA18</f>
        <v>30035501.27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22"/>
  <sheetViews>
    <sheetView showFormulas="false" showGridLines="true" showRowColHeaders="true" showZeros="true" rightToLeft="false" tabSelected="false" showOutlineSymbols="true" defaultGridColor="true" view="normal" topLeftCell="A95" colorId="64" zoomScale="100" zoomScaleNormal="100" zoomScalePageLayoutView="100" workbookViewId="0">
      <selection pane="topLeft" activeCell="A119" activeCellId="0" sqref="A119"/>
    </sheetView>
  </sheetViews>
  <sheetFormatPr defaultRowHeight="15"/>
  <cols>
    <col collapsed="false" hidden="false" max="6" min="1" style="0" width="8.50510204081633"/>
    <col collapsed="false" hidden="false" max="7" min="7" style="0" width="18.3571428571429"/>
    <col collapsed="false" hidden="false" max="8" min="8" style="0" width="27.8061224489796"/>
    <col collapsed="false" hidden="false" max="9" min="9" style="0" width="15.1173469387755"/>
    <col collapsed="false" hidden="false" max="1025" min="10" style="0" width="8.50510204081633"/>
  </cols>
  <sheetData>
    <row r="1" customFormat="false" ht="15" hidden="false" customHeight="false" outlineLevel="0" collapsed="false">
      <c r="A1" s="43" t="s">
        <v>214</v>
      </c>
      <c r="B1" s="44" t="s">
        <v>222</v>
      </c>
      <c r="C1" s="44" t="s">
        <v>224</v>
      </c>
      <c r="D1" s="44" t="s">
        <v>226</v>
      </c>
      <c r="E1" s="7" t="s">
        <v>233</v>
      </c>
      <c r="F1" s="7" t="s">
        <v>234</v>
      </c>
      <c r="G1" s="45" t="s">
        <v>235</v>
      </c>
      <c r="H1" s="45" t="s">
        <v>236</v>
      </c>
      <c r="I1" s="45" t="s">
        <v>237</v>
      </c>
    </row>
    <row r="2" customFormat="false" ht="15" hidden="false" customHeight="false" outlineLevel="0" collapsed="false">
      <c r="A2" s="46" t="s">
        <v>0</v>
      </c>
      <c r="B2" s="47" t="n">
        <v>0.0499999999931487</v>
      </c>
      <c r="C2" s="47" t="n">
        <v>1</v>
      </c>
      <c r="D2" s="47" t="n">
        <v>0.839999999976922</v>
      </c>
      <c r="E2" s="48" t="n">
        <f aca="false">(B2*C2)</f>
        <v>0.0499999999931487</v>
      </c>
      <c r="F2" s="48" t="n">
        <f aca="false">(B2*C2*D2)</f>
        <v>0.041999999993091</v>
      </c>
      <c r="G2" s="7" t="n">
        <v>1</v>
      </c>
      <c r="H2" s="7" t="n">
        <v>1</v>
      </c>
      <c r="I2" s="7" t="n">
        <v>1</v>
      </c>
    </row>
    <row r="3" customFormat="false" ht="15" hidden="false" customHeight="false" outlineLevel="0" collapsed="false">
      <c r="A3" s="46" t="s">
        <v>1</v>
      </c>
      <c r="B3" s="47" t="n">
        <v>0.93</v>
      </c>
      <c r="C3" s="47" t="n">
        <v>0.916854213553388</v>
      </c>
      <c r="D3" s="47" t="n">
        <v>0.5</v>
      </c>
      <c r="E3" s="48" t="n">
        <f aca="false">(B3*C3)</f>
        <v>0.852674418604651</v>
      </c>
      <c r="F3" s="48" t="n">
        <f aca="false">(B3*C3*D3)</f>
        <v>0.426337209302326</v>
      </c>
      <c r="G3" s="7" t="n">
        <v>1</v>
      </c>
      <c r="H3" s="7" t="n">
        <v>1</v>
      </c>
      <c r="I3" s="7" t="n">
        <v>1</v>
      </c>
    </row>
    <row r="4" customFormat="false" ht="15" hidden="false" customHeight="false" outlineLevel="0" collapsed="false">
      <c r="A4" s="46" t="s">
        <v>2</v>
      </c>
      <c r="B4" s="47" t="n">
        <v>0.26</v>
      </c>
      <c r="C4" s="47" t="n">
        <v>1</v>
      </c>
      <c r="D4" s="47" t="n">
        <v>0.92</v>
      </c>
      <c r="E4" s="48" t="n">
        <f aca="false">(B4*C4)</f>
        <v>0.26</v>
      </c>
      <c r="F4" s="48" t="n">
        <f aca="false">(B4*C4*D4)</f>
        <v>0.2392</v>
      </c>
      <c r="G4" s="7" t="n">
        <v>1</v>
      </c>
      <c r="H4" s="7" t="n">
        <v>1</v>
      </c>
      <c r="I4" s="7" t="n">
        <v>0</v>
      </c>
    </row>
    <row r="5" customFormat="false" ht="15" hidden="false" customHeight="false" outlineLevel="0" collapsed="false">
      <c r="A5" s="46" t="s">
        <v>3</v>
      </c>
      <c r="B5" s="47" t="n">
        <v>0.79</v>
      </c>
      <c r="C5" s="47" t="n">
        <v>0.793245109268016</v>
      </c>
      <c r="D5" s="47" t="n">
        <v>0.660000000044132</v>
      </c>
      <c r="E5" s="48" t="n">
        <f aca="false">(B5*C5)</f>
        <v>0.626663636321733</v>
      </c>
      <c r="F5" s="48" t="n">
        <f aca="false">(B5*C5*D5)</f>
        <v>0.413598</v>
      </c>
      <c r="G5" s="7" t="n">
        <v>0</v>
      </c>
      <c r="H5" s="7" t="n">
        <v>0</v>
      </c>
      <c r="I5" s="7" t="n">
        <v>0</v>
      </c>
    </row>
    <row r="6" customFormat="false" ht="15" hidden="false" customHeight="false" outlineLevel="0" collapsed="false">
      <c r="A6" s="46" t="s">
        <v>4</v>
      </c>
      <c r="B6" s="47" t="n">
        <v>0.46</v>
      </c>
      <c r="C6" s="47" t="n">
        <v>0.553743961336734</v>
      </c>
      <c r="D6" s="47" t="n">
        <v>0.770000000007764</v>
      </c>
      <c r="E6" s="48" t="n">
        <f aca="false">(B6*C6)</f>
        <v>0.254722222214898</v>
      </c>
      <c r="F6" s="48" t="n">
        <f aca="false">(B6*C6*D6)</f>
        <v>0.196136111107449</v>
      </c>
      <c r="G6" s="7" t="n">
        <v>1</v>
      </c>
      <c r="H6" s="7" t="n">
        <v>1</v>
      </c>
      <c r="I6" s="7" t="n">
        <v>1</v>
      </c>
    </row>
    <row r="7" customFormat="false" ht="15" hidden="false" customHeight="false" outlineLevel="0" collapsed="false">
      <c r="A7" s="46" t="s">
        <v>5</v>
      </c>
      <c r="B7" s="47" t="n">
        <v>0.899999999986897</v>
      </c>
      <c r="C7" s="47" t="n">
        <v>0.993827160492928</v>
      </c>
      <c r="D7" s="47" t="n">
        <v>0.925373134340019</v>
      </c>
      <c r="E7" s="48" t="n">
        <f aca="false">(B7*C7)</f>
        <v>0.894444444430614</v>
      </c>
      <c r="F7" s="48" t="n">
        <f aca="false">(B7*C7*D7)</f>
        <v>0.827694859035774</v>
      </c>
      <c r="G7" s="7" t="n">
        <v>1</v>
      </c>
      <c r="H7" s="7" t="n">
        <v>1</v>
      </c>
      <c r="I7" s="7" t="n">
        <v>1</v>
      </c>
    </row>
    <row r="8" customFormat="false" ht="15" hidden="false" customHeight="false" outlineLevel="0" collapsed="false">
      <c r="A8" s="46" t="s">
        <v>7</v>
      </c>
      <c r="B8" s="47" t="n">
        <v>0.349999999988182</v>
      </c>
      <c r="C8" s="47" t="n">
        <v>0.768831168814437</v>
      </c>
      <c r="D8" s="47" t="n">
        <v>0.669999999991892</v>
      </c>
      <c r="E8" s="48" t="n">
        <f aca="false">(B8*C8)</f>
        <v>0.269090909075967</v>
      </c>
      <c r="F8" s="48" t="n">
        <f aca="false">(B8*C8*D8)</f>
        <v>0.180290909078716</v>
      </c>
      <c r="G8" s="7" t="n">
        <v>1</v>
      </c>
      <c r="H8" s="7" t="n">
        <v>1</v>
      </c>
      <c r="I8" s="7" t="n">
        <v>1</v>
      </c>
    </row>
    <row r="9" customFormat="false" ht="15" hidden="false" customHeight="false" outlineLevel="0" collapsed="false">
      <c r="A9" s="46" t="s">
        <v>9</v>
      </c>
      <c r="B9" s="47" t="n">
        <v>0.360000000005</v>
      </c>
      <c r="C9" s="47" t="n">
        <v>0.416069295058901</v>
      </c>
      <c r="D9" s="47" t="n">
        <v>0.309999999995132</v>
      </c>
      <c r="E9" s="48" t="n">
        <f aca="false">(B9*C9)</f>
        <v>0.149784946223285</v>
      </c>
      <c r="F9" s="48" t="n">
        <f aca="false">(B9*C9*D9)</f>
        <v>0.0464333333284891</v>
      </c>
      <c r="G9" s="7" t="n">
        <v>1</v>
      </c>
      <c r="H9" s="7" t="n">
        <v>1</v>
      </c>
      <c r="I9" s="7" t="n">
        <v>1</v>
      </c>
    </row>
    <row r="10" customFormat="false" ht="15" hidden="false" customHeight="false" outlineLevel="0" collapsed="false">
      <c r="A10" s="46" t="s">
        <v>10</v>
      </c>
      <c r="B10" s="47" t="n">
        <v>0.85</v>
      </c>
      <c r="C10" s="47" t="n">
        <v>0.505882352941176</v>
      </c>
      <c r="D10" s="47" t="n">
        <v>0.88</v>
      </c>
      <c r="E10" s="48" t="n">
        <f aca="false">(B10*C10)</f>
        <v>0.43</v>
      </c>
      <c r="F10" s="48" t="n">
        <f aca="false">(B10*C10*D10)</f>
        <v>0.3784</v>
      </c>
      <c r="G10" s="7" t="n">
        <v>1</v>
      </c>
      <c r="H10" s="7" t="n">
        <v>1</v>
      </c>
      <c r="I10" s="7" t="n">
        <v>1</v>
      </c>
    </row>
    <row r="11" customFormat="false" ht="15" hidden="false" customHeight="false" outlineLevel="0" collapsed="false">
      <c r="A11" s="46" t="s">
        <v>11</v>
      </c>
      <c r="B11" s="47" t="n">
        <v>0.2</v>
      </c>
      <c r="C11" s="47" t="n">
        <v>1</v>
      </c>
      <c r="D11" s="47" t="n">
        <v>0.71</v>
      </c>
      <c r="E11" s="48" t="n">
        <f aca="false">(B11*C11)</f>
        <v>0.2</v>
      </c>
      <c r="F11" s="48" t="n">
        <f aca="false">(B11*C11*D11)</f>
        <v>0.142</v>
      </c>
      <c r="G11" s="7" t="n">
        <v>1</v>
      </c>
      <c r="H11" s="7" t="n">
        <v>1</v>
      </c>
      <c r="I11" s="7" t="n">
        <v>1</v>
      </c>
    </row>
    <row r="12" customFormat="false" ht="15" hidden="false" customHeight="false" outlineLevel="0" collapsed="false">
      <c r="A12" s="46" t="s">
        <v>12</v>
      </c>
      <c r="B12" s="47" t="n">
        <v>0.799999999980794</v>
      </c>
      <c r="C12" s="47" t="n">
        <v>0.744882486752667</v>
      </c>
      <c r="D12" s="47" t="n">
        <v>0.910000000000806</v>
      </c>
      <c r="E12" s="48" t="n">
        <f aca="false">(B12*C12)</f>
        <v>0.595905989387828</v>
      </c>
      <c r="F12" s="48" t="n">
        <f aca="false">(B12*C12*D12)</f>
        <v>0.542274450343404</v>
      </c>
      <c r="G12" s="7" t="n">
        <v>1</v>
      </c>
      <c r="H12" s="7" t="n">
        <v>1</v>
      </c>
      <c r="I12" s="7" t="n">
        <v>1</v>
      </c>
    </row>
    <row r="13" customFormat="false" ht="15" hidden="false" customHeight="false" outlineLevel="0" collapsed="false">
      <c r="A13" s="46" t="s">
        <v>13</v>
      </c>
      <c r="B13" s="47" t="n">
        <v>0.460000000011077</v>
      </c>
      <c r="C13" s="47" t="n">
        <v>0.99040920716505</v>
      </c>
      <c r="D13" s="47" t="n">
        <v>0.46999999999925</v>
      </c>
      <c r="E13" s="48" t="n">
        <f aca="false">(B13*C13)</f>
        <v>0.455588235306894</v>
      </c>
      <c r="F13" s="48" t="n">
        <f aca="false">(B13*C13*D13)</f>
        <v>0.214126470593898</v>
      </c>
      <c r="G13" s="7" t="n">
        <v>0</v>
      </c>
      <c r="H13" s="7" t="n">
        <v>0</v>
      </c>
      <c r="I13" s="7" t="n">
        <v>0</v>
      </c>
    </row>
    <row r="14" customFormat="false" ht="15" hidden="false" customHeight="false" outlineLevel="0" collapsed="false">
      <c r="A14" s="46" t="s">
        <v>14</v>
      </c>
      <c r="B14" s="47" t="n">
        <v>0.48</v>
      </c>
      <c r="C14" s="47" t="n">
        <v>1</v>
      </c>
      <c r="D14" s="47" t="n">
        <v>0.93</v>
      </c>
      <c r="E14" s="48" t="n">
        <f aca="false">(B14*C14)</f>
        <v>0.48</v>
      </c>
      <c r="F14" s="48" t="n">
        <f aca="false">(B14*C14*D14)</f>
        <v>0.4464</v>
      </c>
      <c r="G14" s="7" t="n">
        <v>1</v>
      </c>
      <c r="H14" s="7" t="n">
        <v>1</v>
      </c>
      <c r="I14" s="49" t="n">
        <v>0</v>
      </c>
    </row>
    <row r="15" customFormat="false" ht="15" hidden="false" customHeight="false" outlineLevel="0" collapsed="false">
      <c r="A15" s="46" t="s">
        <v>15</v>
      </c>
      <c r="B15" s="47" t="n">
        <v>0.403</v>
      </c>
      <c r="C15" s="47" t="n">
        <v>0.41439205955335</v>
      </c>
      <c r="D15" s="47" t="n">
        <v>0.87</v>
      </c>
      <c r="E15" s="48" t="n">
        <f aca="false">(B15*C15)</f>
        <v>0.167</v>
      </c>
      <c r="F15" s="48" t="n">
        <f aca="false">(B15*C15*D15)</f>
        <v>0.14529</v>
      </c>
      <c r="G15" s="7" t="n">
        <v>1</v>
      </c>
      <c r="H15" s="7" t="n">
        <v>1</v>
      </c>
      <c r="I15" s="7" t="n">
        <v>1</v>
      </c>
    </row>
    <row r="16" customFormat="false" ht="15" hidden="false" customHeight="false" outlineLevel="0" collapsed="false">
      <c r="A16" s="46" t="s">
        <v>16</v>
      </c>
      <c r="B16" s="47" t="n">
        <v>0.29</v>
      </c>
      <c r="C16" s="47" t="n">
        <v>0.9772030651341</v>
      </c>
      <c r="D16" s="47" t="n">
        <v>0.69</v>
      </c>
      <c r="E16" s="48" t="n">
        <f aca="false">(B16*C16)</f>
        <v>0.283388888888889</v>
      </c>
      <c r="F16" s="48" t="n">
        <f aca="false">(B16*C16*D16)</f>
        <v>0.195538333333333</v>
      </c>
      <c r="G16" s="7" t="n">
        <v>0</v>
      </c>
      <c r="H16" s="7" t="n">
        <v>0</v>
      </c>
      <c r="I16" s="7" t="n">
        <v>0</v>
      </c>
    </row>
    <row r="17" customFormat="false" ht="15" hidden="false" customHeight="false" outlineLevel="0" collapsed="false">
      <c r="A17" s="46" t="s">
        <v>17</v>
      </c>
      <c r="B17" s="47" t="n">
        <v>0.799999999968714</v>
      </c>
      <c r="C17" s="47" t="n">
        <v>0.972360294111719</v>
      </c>
      <c r="D17" s="47" t="n">
        <v>0.899999999977148</v>
      </c>
      <c r="E17" s="48" t="n">
        <f aca="false">(B17*C17)</f>
        <v>0.777888235258954</v>
      </c>
      <c r="F17" s="48" t="n">
        <f aca="false">(B17*C17*D17)</f>
        <v>0.700099411715282</v>
      </c>
      <c r="G17" s="7" t="n">
        <v>1</v>
      </c>
      <c r="H17" s="7" t="n">
        <v>1</v>
      </c>
      <c r="I17" s="7" t="n">
        <v>1</v>
      </c>
    </row>
    <row r="18" customFormat="false" ht="15" hidden="false" customHeight="false" outlineLevel="0" collapsed="false">
      <c r="A18" s="50" t="s">
        <v>18</v>
      </c>
      <c r="B18" s="47" t="n">
        <v>0.55</v>
      </c>
      <c r="C18" s="47" t="n">
        <v>1</v>
      </c>
      <c r="D18" s="47" t="n">
        <v>0.77</v>
      </c>
      <c r="E18" s="48" t="n">
        <f aca="false">(B18*C18)</f>
        <v>0.55</v>
      </c>
      <c r="F18" s="48" t="n">
        <f aca="false">(B18*C18*D18)</f>
        <v>0.4235</v>
      </c>
      <c r="G18" s="7" t="n">
        <v>1</v>
      </c>
      <c r="H18" s="7" t="n">
        <v>1</v>
      </c>
      <c r="I18" s="7" t="n">
        <v>1</v>
      </c>
      <c r="J18" s="7"/>
    </row>
    <row r="19" customFormat="false" ht="15" hidden="false" customHeight="false" outlineLevel="0" collapsed="false">
      <c r="A19" s="46" t="s">
        <v>20</v>
      </c>
      <c r="B19" s="47" t="n">
        <v>0.83</v>
      </c>
      <c r="C19" s="47" t="n">
        <v>0.662650602409639</v>
      </c>
      <c r="D19" s="47" t="n">
        <v>0.79</v>
      </c>
      <c r="E19" s="48" t="n">
        <f aca="false">(B19*C19)</f>
        <v>0.55</v>
      </c>
      <c r="F19" s="48" t="n">
        <f aca="false">(B19*C19*D19)</f>
        <v>0.4345</v>
      </c>
      <c r="G19" s="7" t="n">
        <v>0</v>
      </c>
      <c r="H19" s="49" t="n">
        <v>1</v>
      </c>
      <c r="I19" s="7" t="n">
        <v>0</v>
      </c>
    </row>
    <row r="20" customFormat="false" ht="15" hidden="false" customHeight="false" outlineLevel="0" collapsed="false">
      <c r="A20" s="46" t="s">
        <v>21</v>
      </c>
      <c r="B20" s="47" t="n">
        <v>0.54</v>
      </c>
      <c r="C20" s="47" t="n">
        <v>1</v>
      </c>
      <c r="D20" s="47" t="n">
        <v>0.9</v>
      </c>
      <c r="E20" s="48" t="n">
        <f aca="false">(B20*C20)</f>
        <v>0.54</v>
      </c>
      <c r="F20" s="48" t="n">
        <f aca="false">(B20*C20*D20)</f>
        <v>0.486</v>
      </c>
      <c r="G20" s="7" t="n">
        <v>0</v>
      </c>
      <c r="H20" s="7" t="n">
        <v>0</v>
      </c>
      <c r="I20" s="7" t="n">
        <v>0</v>
      </c>
    </row>
    <row r="21" customFormat="false" ht="15" hidden="false" customHeight="false" outlineLevel="0" collapsed="false">
      <c r="A21" s="46" t="s">
        <v>22</v>
      </c>
      <c r="B21" s="47" t="n">
        <v>0.820000000003561</v>
      </c>
      <c r="C21" s="47" t="n">
        <v>0.890034843215121</v>
      </c>
      <c r="D21" s="47" t="n">
        <v>0.940000000005963</v>
      </c>
      <c r="E21" s="48" t="n">
        <f aca="false">(B21*C21)</f>
        <v>0.729828571439568</v>
      </c>
      <c r="F21" s="48" t="n">
        <f aca="false">(B21*C21*D21)</f>
        <v>0.686038857157546</v>
      </c>
      <c r="G21" s="7" t="n">
        <v>0</v>
      </c>
      <c r="H21" s="7" t="n">
        <v>0</v>
      </c>
      <c r="I21" s="7" t="n">
        <v>0</v>
      </c>
    </row>
    <row r="22" customFormat="false" ht="15" hidden="false" customHeight="false" outlineLevel="0" collapsed="false">
      <c r="A22" s="46" t="s">
        <v>23</v>
      </c>
      <c r="B22" s="47" t="n">
        <v>0.27</v>
      </c>
      <c r="C22" s="47" t="n">
        <v>1</v>
      </c>
      <c r="D22" s="47" t="n">
        <v>0.6</v>
      </c>
      <c r="E22" s="48" t="n">
        <f aca="false">(B22*C22)</f>
        <v>0.27</v>
      </c>
      <c r="F22" s="48" t="n">
        <f aca="false">(B22*C22*D22)</f>
        <v>0.162</v>
      </c>
      <c r="G22" s="7" t="n">
        <v>0</v>
      </c>
      <c r="H22" s="49" t="n">
        <v>1</v>
      </c>
      <c r="I22" s="7" t="n">
        <v>0</v>
      </c>
    </row>
    <row r="23" customFormat="false" ht="15" hidden="false" customHeight="false" outlineLevel="0" collapsed="false">
      <c r="A23" s="46" t="s">
        <v>24</v>
      </c>
      <c r="B23" s="47" t="n">
        <v>0.789999999974818</v>
      </c>
      <c r="C23" s="47" t="n">
        <v>0.645569620255288</v>
      </c>
      <c r="D23" s="47" t="n">
        <v>0.686274509732582</v>
      </c>
      <c r="E23" s="48" t="n">
        <f aca="false">(B23*C23)</f>
        <v>0.509999999985421</v>
      </c>
      <c r="F23" s="48" t="n">
        <f aca="false">(B23*C23*D23)</f>
        <v>0.349999999953612</v>
      </c>
      <c r="G23" s="7" t="n">
        <v>0</v>
      </c>
      <c r="H23" s="7" t="n">
        <v>0</v>
      </c>
      <c r="I23" s="7" t="n">
        <v>0</v>
      </c>
    </row>
    <row r="24" customFormat="false" ht="15" hidden="false" customHeight="false" outlineLevel="0" collapsed="false">
      <c r="A24" s="46" t="s">
        <v>25</v>
      </c>
      <c r="B24" s="47" t="n">
        <v>0.29</v>
      </c>
      <c r="C24" s="47" t="n">
        <v>1</v>
      </c>
      <c r="D24" s="47" t="n">
        <v>0.95</v>
      </c>
      <c r="E24" s="48" t="n">
        <f aca="false">(B24*C24)</f>
        <v>0.29</v>
      </c>
      <c r="F24" s="48" t="n">
        <f aca="false">(B24*C24*D24)</f>
        <v>0.2755</v>
      </c>
      <c r="G24" s="7" t="n">
        <v>0</v>
      </c>
      <c r="H24" s="7" t="n">
        <v>0</v>
      </c>
      <c r="I24" s="7" t="n">
        <v>0</v>
      </c>
    </row>
    <row r="25" customFormat="false" ht="15" hidden="false" customHeight="false" outlineLevel="0" collapsed="false">
      <c r="A25" s="46" t="s">
        <v>26</v>
      </c>
      <c r="B25" s="47" t="n">
        <v>0.239999999970463</v>
      </c>
      <c r="C25" s="47" t="n">
        <v>0.981060606055436</v>
      </c>
      <c r="D25" s="47" t="n">
        <v>0.909999999980665</v>
      </c>
      <c r="E25" s="48" t="n">
        <f aca="false">(B25*C25)</f>
        <v>0.235454545424328</v>
      </c>
      <c r="F25" s="48" t="n">
        <f aca="false">(B25*C25*D25)</f>
        <v>0.214263636331585</v>
      </c>
      <c r="G25" s="7" t="n">
        <v>0</v>
      </c>
      <c r="H25" s="7" t="n">
        <v>0</v>
      </c>
      <c r="I25" s="7" t="n">
        <v>0</v>
      </c>
    </row>
    <row r="26" customFormat="false" ht="15" hidden="false" customHeight="false" outlineLevel="0" collapsed="false">
      <c r="A26" s="46" t="s">
        <v>27</v>
      </c>
      <c r="B26" s="47" t="n">
        <v>0.36</v>
      </c>
      <c r="C26" s="47" t="n">
        <v>1</v>
      </c>
      <c r="D26" s="47" t="n">
        <v>0.91</v>
      </c>
      <c r="E26" s="48" t="n">
        <f aca="false">(B26*C26)</f>
        <v>0.36</v>
      </c>
      <c r="F26" s="48" t="n">
        <f aca="false">(B26*C26*D26)</f>
        <v>0.3276</v>
      </c>
      <c r="G26" s="7" t="n">
        <v>0</v>
      </c>
      <c r="H26" s="7" t="n">
        <v>0</v>
      </c>
      <c r="I26" s="7" t="n">
        <v>0</v>
      </c>
    </row>
    <row r="27" customFormat="false" ht="15" hidden="false" customHeight="false" outlineLevel="0" collapsed="false">
      <c r="A27" s="46" t="s">
        <v>28</v>
      </c>
      <c r="B27" s="47" t="n">
        <v>0.9</v>
      </c>
      <c r="C27" s="47" t="n">
        <v>0.966666666666667</v>
      </c>
      <c r="D27" s="47" t="n">
        <v>0.95</v>
      </c>
      <c r="E27" s="48" t="n">
        <f aca="false">(B27*C27)</f>
        <v>0.87</v>
      </c>
      <c r="F27" s="48" t="n">
        <f aca="false">(B27*C27*D27)</f>
        <v>0.8265</v>
      </c>
      <c r="G27" s="7" t="n">
        <v>1</v>
      </c>
      <c r="H27" s="7" t="n">
        <v>1</v>
      </c>
      <c r="I27" s="7" t="n">
        <v>1</v>
      </c>
    </row>
    <row r="28" customFormat="false" ht="15" hidden="false" customHeight="false" outlineLevel="0" collapsed="false">
      <c r="A28" s="46" t="s">
        <v>29</v>
      </c>
      <c r="B28" s="47" t="n">
        <v>0.641923076928959</v>
      </c>
      <c r="C28" s="47" t="n">
        <v>0.589974036237827</v>
      </c>
      <c r="D28" s="47" t="n">
        <v>0.910000000019842</v>
      </c>
      <c r="E28" s="48" t="n">
        <f aca="false">(B28*C28)</f>
        <v>0.378717948649983</v>
      </c>
      <c r="F28" s="48" t="n">
        <f aca="false">(B28*C28*D28)</f>
        <v>0.344633333278999</v>
      </c>
      <c r="G28" s="7" t="n">
        <v>1</v>
      </c>
      <c r="H28" s="7" t="n">
        <v>1</v>
      </c>
      <c r="I28" s="7" t="n">
        <v>1</v>
      </c>
    </row>
    <row r="29" customFormat="false" ht="15" hidden="false" customHeight="false" outlineLevel="0" collapsed="false">
      <c r="A29" s="46" t="s">
        <v>32</v>
      </c>
      <c r="B29" s="47" t="n">
        <v>0.56</v>
      </c>
      <c r="C29" s="47" t="n">
        <v>1</v>
      </c>
      <c r="D29" s="47" t="n">
        <v>0.607142857142857</v>
      </c>
      <c r="E29" s="48" t="n">
        <f aca="false">(B29*C29)</f>
        <v>0.56</v>
      </c>
      <c r="F29" s="48" t="n">
        <f aca="false">(B29*C29*D29)</f>
        <v>0.34</v>
      </c>
      <c r="G29" s="7" t="n">
        <v>1</v>
      </c>
      <c r="H29" s="7" t="n">
        <v>1</v>
      </c>
      <c r="I29" s="49" t="n">
        <v>0</v>
      </c>
    </row>
    <row r="30" customFormat="false" ht="15" hidden="false" customHeight="false" outlineLevel="0" collapsed="false">
      <c r="A30" s="46" t="s">
        <v>33</v>
      </c>
      <c r="B30" s="47" t="n">
        <v>0.64</v>
      </c>
      <c r="C30" s="47" t="n">
        <v>1</v>
      </c>
      <c r="D30" s="47" t="n">
        <v>0.590000000005682</v>
      </c>
      <c r="E30" s="48" t="n">
        <f aca="false">(B30*C30)</f>
        <v>0.64</v>
      </c>
      <c r="F30" s="48" t="n">
        <f aca="false">(B30*C30*D30)</f>
        <v>0.377600000003636</v>
      </c>
      <c r="G30" s="7" t="n">
        <v>1</v>
      </c>
      <c r="H30" s="7" t="n">
        <v>1</v>
      </c>
      <c r="I30" s="7" t="n">
        <v>1</v>
      </c>
    </row>
    <row r="31" customFormat="false" ht="15" hidden="false" customHeight="false" outlineLevel="0" collapsed="false">
      <c r="A31" s="46" t="s">
        <v>35</v>
      </c>
      <c r="B31" s="47" t="n">
        <v>0.33</v>
      </c>
      <c r="C31" s="47" t="n">
        <v>1</v>
      </c>
      <c r="D31" s="47" t="n">
        <v>0.86</v>
      </c>
      <c r="E31" s="48" t="n">
        <f aca="false">(B31*C31)</f>
        <v>0.33</v>
      </c>
      <c r="F31" s="48" t="n">
        <f aca="false">(B31*C31*D31)</f>
        <v>0.2838</v>
      </c>
      <c r="G31" s="7" t="n">
        <v>0</v>
      </c>
      <c r="H31" s="7" t="n">
        <v>0</v>
      </c>
      <c r="I31" s="7" t="n">
        <v>0</v>
      </c>
    </row>
    <row r="32" customFormat="false" ht="15" hidden="false" customHeight="false" outlineLevel="0" collapsed="false">
      <c r="A32" s="46" t="s">
        <v>36</v>
      </c>
      <c r="B32" s="47" t="n">
        <v>0.849999999993876</v>
      </c>
      <c r="C32" s="47" t="n">
        <v>0.729411764724107</v>
      </c>
      <c r="D32" s="47" t="n">
        <v>0.951612903234569</v>
      </c>
      <c r="E32" s="48" t="n">
        <f aca="false">(B32*C32)</f>
        <v>0.620000000011024</v>
      </c>
      <c r="F32" s="48" t="n">
        <f aca="false">(B32*C32*D32)</f>
        <v>0.590000000015923</v>
      </c>
      <c r="G32" s="7" t="n">
        <v>0</v>
      </c>
      <c r="H32" s="49" t="n">
        <v>1</v>
      </c>
      <c r="I32" s="7" t="n">
        <v>0</v>
      </c>
    </row>
    <row r="33" customFormat="false" ht="15" hidden="false" customHeight="false" outlineLevel="0" collapsed="false">
      <c r="A33" s="46" t="s">
        <v>37</v>
      </c>
      <c r="B33" s="47" t="n">
        <v>0.699999999984407</v>
      </c>
      <c r="C33" s="47" t="n">
        <v>0.31445378150538</v>
      </c>
      <c r="D33" s="47" t="n">
        <v>0.860000000014167</v>
      </c>
      <c r="E33" s="48" t="n">
        <f aca="false">(B33*C33)</f>
        <v>0.220117647048863</v>
      </c>
      <c r="F33" s="48" t="n">
        <f aca="false">(B33*C33*D33)</f>
        <v>0.18930117646514</v>
      </c>
      <c r="G33" s="7" t="n">
        <v>0</v>
      </c>
      <c r="H33" s="7" t="n">
        <v>0</v>
      </c>
      <c r="I33" s="7" t="n">
        <v>0</v>
      </c>
    </row>
    <row r="34" customFormat="false" ht="15" hidden="false" customHeight="false" outlineLevel="0" collapsed="false">
      <c r="A34" s="46" t="s">
        <v>38</v>
      </c>
      <c r="B34" s="47" t="n">
        <v>0.469999999953244</v>
      </c>
      <c r="C34" s="47" t="n">
        <v>0.983623468727252</v>
      </c>
      <c r="D34" s="47" t="n">
        <v>0.949999999988074</v>
      </c>
      <c r="E34" s="48" t="n">
        <f aca="false">(B34*C34)</f>
        <v>0.462303030255818</v>
      </c>
      <c r="F34" s="48" t="n">
        <f aca="false">(B34*C34*D34)</f>
        <v>0.439187878737513</v>
      </c>
      <c r="G34" s="7" t="n">
        <v>0</v>
      </c>
      <c r="H34" s="7" t="n">
        <v>0</v>
      </c>
      <c r="I34" s="7" t="n">
        <v>0</v>
      </c>
    </row>
    <row r="35" customFormat="false" ht="15" hidden="false" customHeight="false" outlineLevel="0" collapsed="false">
      <c r="A35" s="46" t="s">
        <v>113</v>
      </c>
      <c r="B35" s="47" t="n">
        <v>0.4375</v>
      </c>
      <c r="C35" s="47" t="n">
        <v>0.768472906399578</v>
      </c>
      <c r="D35" s="47" t="n">
        <v>0.819999999985732</v>
      </c>
      <c r="E35" s="48" t="n">
        <f aca="false">(B35*C35)</f>
        <v>0.336206896549815</v>
      </c>
      <c r="F35" s="48" t="n">
        <f aca="false">(B35*C35*D35)</f>
        <v>0.275689655166052</v>
      </c>
      <c r="G35" s="7" t="n">
        <v>1</v>
      </c>
      <c r="H35" s="7" t="n">
        <v>1</v>
      </c>
      <c r="I35" s="7" t="n">
        <v>1</v>
      </c>
    </row>
    <row r="36" customFormat="false" ht="15" hidden="false" customHeight="false" outlineLevel="0" collapsed="false">
      <c r="A36" s="46" t="s">
        <v>39</v>
      </c>
      <c r="B36" s="47" t="n">
        <v>0.53000000004804</v>
      </c>
      <c r="C36" s="47" t="n">
        <v>0.974105400131537</v>
      </c>
      <c r="D36" s="47" t="n">
        <v>0.849999999992385</v>
      </c>
      <c r="E36" s="48" t="n">
        <f aca="false">(B36*C36)</f>
        <v>0.516275862116511</v>
      </c>
      <c r="F36" s="48" t="n">
        <f aca="false">(B36*C36*D36)</f>
        <v>0.438834482795103</v>
      </c>
      <c r="G36" s="7" t="n">
        <v>0</v>
      </c>
      <c r="H36" s="7" t="n">
        <v>0</v>
      </c>
      <c r="I36" s="7" t="n">
        <v>0</v>
      </c>
    </row>
    <row r="37" customFormat="false" ht="15" hidden="false" customHeight="false" outlineLevel="0" collapsed="false">
      <c r="A37" s="46" t="s">
        <v>40</v>
      </c>
      <c r="B37" s="47" t="n">
        <v>0.405774816333504</v>
      </c>
      <c r="C37" s="47" t="n">
        <v>0.565</v>
      </c>
      <c r="D37" s="47" t="n">
        <v>0.8</v>
      </c>
      <c r="E37" s="48" t="n">
        <f aca="false">(B37*C37)</f>
        <v>0.22926277122843</v>
      </c>
      <c r="F37" s="48" t="n">
        <f aca="false">(B37*C37*D37)</f>
        <v>0.183410216982744</v>
      </c>
      <c r="G37" s="7" t="n">
        <v>1</v>
      </c>
      <c r="H37" s="7" t="n">
        <v>1</v>
      </c>
      <c r="I37" s="7" t="n">
        <v>1</v>
      </c>
    </row>
    <row r="38" customFormat="false" ht="15" hidden="false" customHeight="false" outlineLevel="0" collapsed="false">
      <c r="A38" s="12" t="s">
        <v>41</v>
      </c>
      <c r="B38" s="47" t="n">
        <v>0.54</v>
      </c>
      <c r="C38" s="47" t="n">
        <v>1</v>
      </c>
      <c r="D38" s="47" t="n">
        <v>0.83</v>
      </c>
      <c r="E38" s="48" t="n">
        <f aca="false">(B38*C38)</f>
        <v>0.54</v>
      </c>
      <c r="F38" s="48" t="n">
        <f aca="false">(B38*C38*D38)</f>
        <v>0.4482</v>
      </c>
      <c r="G38" s="7" t="n">
        <v>0</v>
      </c>
      <c r="H38" s="7" t="n">
        <v>0</v>
      </c>
      <c r="I38" s="7" t="n">
        <v>0</v>
      </c>
    </row>
    <row r="39" customFormat="false" ht="15" hidden="false" customHeight="false" outlineLevel="0" collapsed="false">
      <c r="A39" s="12" t="s">
        <v>42</v>
      </c>
      <c r="B39" s="47" t="n">
        <v>0.31</v>
      </c>
      <c r="C39" s="47" t="n">
        <v>1</v>
      </c>
      <c r="D39" s="47" t="n">
        <v>0.82</v>
      </c>
      <c r="F39" s="48" t="n">
        <f aca="false">(B39*C39*D39)</f>
        <v>0.2542</v>
      </c>
      <c r="G39" s="7" t="n">
        <v>0</v>
      </c>
      <c r="H39" s="7" t="n">
        <v>0</v>
      </c>
      <c r="I39" s="7" t="n">
        <v>0</v>
      </c>
    </row>
    <row r="40" customFormat="false" ht="15" hidden="false" customHeight="false" outlineLevel="0" collapsed="false">
      <c r="A40" s="46" t="s">
        <v>43</v>
      </c>
      <c r="B40" s="47" t="n">
        <v>0.6</v>
      </c>
      <c r="C40" s="47" t="n">
        <v>1</v>
      </c>
      <c r="D40" s="47" t="n">
        <v>0.77</v>
      </c>
      <c r="E40" s="48" t="n">
        <f aca="false">(B40*C40)</f>
        <v>0.6</v>
      </c>
      <c r="F40" s="48" t="n">
        <f aca="false">(B40*C40*D40)</f>
        <v>0.462</v>
      </c>
      <c r="G40" s="7" t="n">
        <v>0</v>
      </c>
      <c r="H40" s="7" t="n">
        <v>0</v>
      </c>
      <c r="I40" s="7" t="n">
        <v>0</v>
      </c>
    </row>
    <row r="41" customFormat="false" ht="15" hidden="false" customHeight="false" outlineLevel="0" collapsed="false">
      <c r="A41" s="46" t="s">
        <v>44</v>
      </c>
      <c r="B41" s="47" t="n">
        <v>0.8699999999884</v>
      </c>
      <c r="C41" s="47" t="n">
        <v>0.333333333311111</v>
      </c>
      <c r="D41" s="47" t="n">
        <v>0.655172413765517</v>
      </c>
      <c r="E41" s="48" t="n">
        <f aca="false">(B41*C41)</f>
        <v>0.289999999976799</v>
      </c>
      <c r="F41" s="48" t="n">
        <f aca="false">(B41*C41*D41)</f>
        <v>0.189999999976799</v>
      </c>
      <c r="G41" s="7" t="n">
        <v>0</v>
      </c>
      <c r="H41" s="7" t="n">
        <v>0</v>
      </c>
      <c r="I41" s="7" t="n">
        <v>0</v>
      </c>
    </row>
    <row r="42" customFormat="false" ht="15" hidden="false" customHeight="false" outlineLevel="0" collapsed="false">
      <c r="A42" s="12" t="s">
        <v>45</v>
      </c>
      <c r="B42" s="47" t="n">
        <v>0.714900000034505</v>
      </c>
      <c r="C42" s="47" t="n">
        <v>0.700130282263703</v>
      </c>
      <c r="D42" s="47" t="n">
        <v>0.82000000001589</v>
      </c>
      <c r="E42" s="48" t="n">
        <f aca="false">(B42*C42)</f>
        <v>0.500523138814479</v>
      </c>
      <c r="F42" s="48" t="n">
        <f aca="false">(B42*C42*D42)</f>
        <v>0.410428973835826</v>
      </c>
      <c r="G42" s="7" t="n">
        <v>0</v>
      </c>
      <c r="H42" s="7" t="n">
        <v>0</v>
      </c>
      <c r="I42" s="7" t="n">
        <v>0</v>
      </c>
    </row>
    <row r="43" customFormat="false" ht="15" hidden="false" customHeight="false" outlineLevel="0" collapsed="false">
      <c r="A43" s="12" t="s">
        <v>46</v>
      </c>
      <c r="B43" s="47" t="n">
        <v>0.809999999997277</v>
      </c>
      <c r="C43" s="47" t="n">
        <v>0.913580246903205</v>
      </c>
      <c r="D43" s="47" t="n">
        <v>0.70270270274248</v>
      </c>
      <c r="E43" s="48" t="n">
        <f aca="false">(B43*C43)</f>
        <v>0.739999999989109</v>
      </c>
      <c r="F43" s="48" t="n">
        <f aca="false">(B43*C43*D43)</f>
        <v>0.520000000021782</v>
      </c>
      <c r="G43" s="7" t="n">
        <v>0</v>
      </c>
      <c r="H43" s="7" t="n">
        <v>0</v>
      </c>
      <c r="I43" s="7" t="n">
        <v>0</v>
      </c>
    </row>
    <row r="44" customFormat="false" ht="15" hidden="false" customHeight="false" outlineLevel="0" collapsed="false">
      <c r="A44" s="12" t="s">
        <v>47</v>
      </c>
      <c r="B44" s="47" t="n">
        <v>0.850000000013786</v>
      </c>
      <c r="C44" s="47" t="n">
        <v>0.68614973264115</v>
      </c>
      <c r="D44" s="47" t="n">
        <v>0.640000000054628</v>
      </c>
      <c r="E44" s="48" t="n">
        <f aca="false">(B44*C44)</f>
        <v>0.583227272754436</v>
      </c>
      <c r="F44" s="48" t="n">
        <f aca="false">(B44*C44*D44)</f>
        <v>0.3732654545947</v>
      </c>
      <c r="G44" s="7" t="n">
        <v>0</v>
      </c>
      <c r="H44" s="7" t="n">
        <v>0</v>
      </c>
      <c r="I44" s="7" t="n">
        <v>0</v>
      </c>
    </row>
    <row r="45" customFormat="false" ht="15" hidden="false" customHeight="false" outlineLevel="0" collapsed="false">
      <c r="A45" s="12" t="s">
        <v>48</v>
      </c>
      <c r="B45" s="47" t="n">
        <v>0.24</v>
      </c>
      <c r="C45" s="47" t="n">
        <v>1</v>
      </c>
      <c r="D45" s="47" t="n">
        <v>0.83</v>
      </c>
      <c r="E45" s="48" t="n">
        <f aca="false">(B45*C45)</f>
        <v>0.24</v>
      </c>
      <c r="F45" s="48" t="n">
        <f aca="false">(B45*C45*D45)</f>
        <v>0.1992</v>
      </c>
      <c r="G45" s="7" t="n">
        <v>0</v>
      </c>
      <c r="H45" s="7" t="n">
        <v>0</v>
      </c>
      <c r="I45" s="7" t="n">
        <v>0</v>
      </c>
    </row>
    <row r="46" customFormat="false" ht="15" hidden="false" customHeight="false" outlineLevel="0" collapsed="false">
      <c r="A46" s="12" t="s">
        <v>49</v>
      </c>
      <c r="B46" s="47" t="n">
        <v>0.43</v>
      </c>
      <c r="C46" s="47" t="n">
        <v>0.724563953488372</v>
      </c>
      <c r="D46" s="47" t="n">
        <v>0.84</v>
      </c>
      <c r="E46" s="48" t="n">
        <f aca="false">(B46*C46)</f>
        <v>0.3115625</v>
      </c>
      <c r="F46" s="48" t="n">
        <f aca="false">(B46*C46*D46)</f>
        <v>0.2617125</v>
      </c>
      <c r="G46" s="7" t="n">
        <v>1</v>
      </c>
      <c r="H46" s="7" t="n">
        <v>1</v>
      </c>
      <c r="I46" s="7" t="n">
        <v>1</v>
      </c>
    </row>
    <row r="47" customFormat="false" ht="15" hidden="false" customHeight="false" outlineLevel="0" collapsed="false">
      <c r="A47" s="12" t="s">
        <v>50</v>
      </c>
      <c r="B47" s="47" t="n">
        <v>0.34</v>
      </c>
      <c r="C47" s="47" t="n">
        <v>1</v>
      </c>
      <c r="D47" s="47" t="n">
        <v>0.92</v>
      </c>
      <c r="E47" s="48" t="n">
        <f aca="false">(B47*C47)</f>
        <v>0.34</v>
      </c>
      <c r="F47" s="48" t="n">
        <f aca="false">(B47*C47*D47)</f>
        <v>0.3128</v>
      </c>
      <c r="G47" s="7" t="n">
        <v>0</v>
      </c>
      <c r="H47" s="7" t="n">
        <v>0</v>
      </c>
      <c r="I47" s="7" t="n">
        <v>0</v>
      </c>
    </row>
    <row r="48" customFormat="false" ht="15" hidden="false" customHeight="false" outlineLevel="0" collapsed="false">
      <c r="A48" s="12" t="s">
        <v>51</v>
      </c>
      <c r="B48" s="47" t="n">
        <v>0.902125000003346</v>
      </c>
      <c r="C48" s="47" t="n">
        <v>0.528000000017888</v>
      </c>
      <c r="D48" s="47" t="n">
        <v>0.950000000003589</v>
      </c>
      <c r="E48" s="48" t="n">
        <f aca="false">(B48*C48)</f>
        <v>0.476322000017904</v>
      </c>
      <c r="F48" s="48" t="n">
        <f aca="false">(B48*C48*D48)</f>
        <v>0.452505900018718</v>
      </c>
      <c r="G48" s="7" t="n">
        <v>1</v>
      </c>
      <c r="H48" s="7" t="n">
        <v>1</v>
      </c>
      <c r="I48" s="7" t="n">
        <v>1</v>
      </c>
    </row>
    <row r="49" customFormat="false" ht="15" hidden="false" customHeight="false" outlineLevel="0" collapsed="false">
      <c r="A49" s="12" t="s">
        <v>52</v>
      </c>
      <c r="B49" s="47" t="n">
        <v>0.380000000024873</v>
      </c>
      <c r="C49" s="47" t="n">
        <v>0.767576961277712</v>
      </c>
      <c r="D49" s="47" t="n">
        <v>0.830000000022006</v>
      </c>
      <c r="E49" s="48" t="n">
        <f aca="false">(B49*C49)</f>
        <v>0.291679245304622</v>
      </c>
      <c r="F49" s="48" t="n">
        <f aca="false">(B49*C49*D49)</f>
        <v>0.242093773609255</v>
      </c>
      <c r="G49" s="7" t="n">
        <v>0</v>
      </c>
      <c r="H49" s="7" t="n">
        <v>0</v>
      </c>
      <c r="I49" s="7" t="n">
        <v>0</v>
      </c>
    </row>
    <row r="50" customFormat="false" ht="15" hidden="false" customHeight="false" outlineLevel="0" collapsed="false">
      <c r="A50" s="12" t="s">
        <v>53</v>
      </c>
      <c r="B50" s="47" t="n">
        <v>0.32000000002877</v>
      </c>
      <c r="C50" s="47" t="n">
        <v>0.908892045481615</v>
      </c>
      <c r="D50" s="47" t="n">
        <v>0.650000000060005</v>
      </c>
      <c r="E50" s="48" t="n">
        <f aca="false">(B50*C50)</f>
        <v>0.290845454580265</v>
      </c>
      <c r="F50" s="48" t="n">
        <f aca="false">(B50*C50*D50)</f>
        <v>0.189049545494625</v>
      </c>
      <c r="G50" s="7" t="n">
        <v>0</v>
      </c>
      <c r="H50" s="49" t="n">
        <v>1</v>
      </c>
      <c r="I50" s="7" t="n">
        <v>0</v>
      </c>
    </row>
    <row r="51" customFormat="false" ht="15" hidden="false" customHeight="false" outlineLevel="0" collapsed="false">
      <c r="A51" s="12" t="s">
        <v>54</v>
      </c>
      <c r="B51" s="47" t="n">
        <v>0.579999999979391</v>
      </c>
      <c r="C51" s="47" t="n">
        <v>0.996823956441181</v>
      </c>
      <c r="D51" s="47" t="n">
        <v>0.799999999976587</v>
      </c>
      <c r="E51" s="48" t="n">
        <f aca="false">(B51*C51)</f>
        <v>0.578157894715341</v>
      </c>
      <c r="F51" s="48" t="n">
        <f aca="false">(B51*C51*D51)</f>
        <v>0.462526315758737</v>
      </c>
      <c r="G51" s="7" t="n">
        <v>1</v>
      </c>
      <c r="H51" s="7" t="n">
        <v>1</v>
      </c>
      <c r="I51" s="7" t="n">
        <v>1</v>
      </c>
    </row>
    <row r="52" customFormat="false" ht="15" hidden="false" customHeight="false" outlineLevel="0" collapsed="false">
      <c r="A52" s="12" t="s">
        <v>55</v>
      </c>
      <c r="B52" s="47" t="n">
        <v>0.54</v>
      </c>
      <c r="C52" s="47" t="n">
        <v>0.962962962962963</v>
      </c>
      <c r="D52" s="47" t="n">
        <v>0.76</v>
      </c>
      <c r="E52" s="48" t="n">
        <f aca="false">(B52*C52)</f>
        <v>0.52</v>
      </c>
      <c r="F52" s="48" t="n">
        <f aca="false">(B52*C52*D52)</f>
        <v>0.3952</v>
      </c>
      <c r="G52" s="7" t="n">
        <v>0</v>
      </c>
      <c r="H52" s="7" t="n">
        <v>0</v>
      </c>
      <c r="I52" s="7" t="n">
        <v>0</v>
      </c>
    </row>
    <row r="53" customFormat="false" ht="15" hidden="false" customHeight="false" outlineLevel="0" collapsed="false">
      <c r="A53" s="12" t="s">
        <v>56</v>
      </c>
      <c r="B53" s="47" t="n">
        <v>0.559999999995</v>
      </c>
      <c r="C53" s="47" t="n">
        <v>0.928947368423883</v>
      </c>
      <c r="D53" s="47" t="n">
        <v>0.829999999968326</v>
      </c>
      <c r="E53" s="48" t="n">
        <f aca="false">(B53*C53)</f>
        <v>0.52021052631273</v>
      </c>
      <c r="F53" s="48" t="n">
        <f aca="false">(B53*C53*D53)</f>
        <v>0.431774736823088</v>
      </c>
      <c r="G53" s="7" t="n">
        <v>0</v>
      </c>
      <c r="H53" s="7" t="n">
        <v>0</v>
      </c>
      <c r="I53" s="7" t="n">
        <v>0</v>
      </c>
    </row>
    <row r="54" customFormat="false" ht="15" hidden="false" customHeight="false" outlineLevel="0" collapsed="false">
      <c r="A54" s="12" t="s">
        <v>57</v>
      </c>
      <c r="B54" s="47" t="n">
        <v>0.952380952371908</v>
      </c>
      <c r="C54" s="47" t="n">
        <v>0.415350000037912</v>
      </c>
      <c r="D54" s="47" t="n">
        <v>0.730000000026408</v>
      </c>
      <c r="E54" s="48" t="n">
        <f aca="false">(B54*C54)</f>
        <v>0.395571428603778</v>
      </c>
      <c r="F54" s="48" t="n">
        <f aca="false">(B54*C54*D54)</f>
        <v>0.288767142891205</v>
      </c>
      <c r="G54" s="7" t="n">
        <v>0</v>
      </c>
      <c r="H54" s="7" t="n">
        <v>0</v>
      </c>
      <c r="I54" s="7" t="n">
        <v>0</v>
      </c>
    </row>
    <row r="55" customFormat="false" ht="15" hidden="false" customHeight="false" outlineLevel="0" collapsed="false">
      <c r="A55" s="12" t="s">
        <v>58</v>
      </c>
      <c r="B55" s="47" t="n">
        <v>0.0899999999921091</v>
      </c>
      <c r="C55" s="47" t="n">
        <v>0.986241830064322</v>
      </c>
      <c r="D55" s="47" t="n">
        <v>0.710000000049674</v>
      </c>
      <c r="E55" s="48" t="n">
        <f aca="false">(B55*C55)</f>
        <v>0.0887617646980066</v>
      </c>
      <c r="F55" s="48" t="n">
        <f aca="false">(B55*C55*D55)</f>
        <v>0.0630208529399939</v>
      </c>
      <c r="G55" s="7" t="n">
        <v>1</v>
      </c>
      <c r="H55" s="7" t="n">
        <v>1</v>
      </c>
      <c r="I55" s="7" t="n">
        <v>1</v>
      </c>
    </row>
    <row r="56" customFormat="false" ht="15" hidden="false" customHeight="false" outlineLevel="0" collapsed="false">
      <c r="A56" s="12" t="s">
        <v>59</v>
      </c>
      <c r="B56" s="47" t="n">
        <v>0.309999999941265</v>
      </c>
      <c r="C56" s="47" t="n">
        <v>0.284007269555119</v>
      </c>
      <c r="D56" s="47" t="n">
        <v>0.669999999970995</v>
      </c>
      <c r="E56" s="48" t="n">
        <f aca="false">(B56*C56)</f>
        <v>0.0880422535454059</v>
      </c>
      <c r="F56" s="48" t="n">
        <f aca="false">(B56*C56*D56)</f>
        <v>0.0589883098728683</v>
      </c>
      <c r="G56" s="7" t="n">
        <v>1</v>
      </c>
      <c r="H56" s="7" t="n">
        <v>1</v>
      </c>
      <c r="I56" s="49" t="n">
        <v>0</v>
      </c>
    </row>
    <row r="57" customFormat="false" ht="15" hidden="false" customHeight="false" outlineLevel="0" collapsed="false">
      <c r="A57" s="12" t="s">
        <v>34</v>
      </c>
      <c r="B57" s="47" t="n">
        <v>0.51</v>
      </c>
      <c r="C57" s="47" t="n">
        <v>0.687290552605386</v>
      </c>
      <c r="D57" s="47" t="n">
        <v>0.690000000019893</v>
      </c>
      <c r="E57" s="48" t="n">
        <f aca="false">(B57*C57)</f>
        <v>0.350518181828747</v>
      </c>
      <c r="F57" s="48" t="n">
        <f aca="false">(B57*C57*D57)</f>
        <v>0.241857545468808</v>
      </c>
      <c r="G57" s="7" t="n">
        <v>0</v>
      </c>
      <c r="H57" s="7" t="n">
        <v>0</v>
      </c>
      <c r="I57" s="7" t="n">
        <v>0</v>
      </c>
    </row>
    <row r="58" customFormat="false" ht="15" hidden="false" customHeight="false" outlineLevel="0" collapsed="false">
      <c r="A58" s="12" t="s">
        <v>62</v>
      </c>
      <c r="B58" s="47" t="n">
        <v>0.329999999991431</v>
      </c>
      <c r="C58" s="47" t="n">
        <v>0.950679205848372</v>
      </c>
      <c r="D58" s="47" t="n">
        <v>0.670000000009512</v>
      </c>
      <c r="E58" s="48" t="n">
        <f aca="false">(B58*C58)</f>
        <v>0.313724137921816</v>
      </c>
      <c r="F58" s="48" t="n">
        <f aca="false">(B58*C58*D58)</f>
        <v>0.210195172410601</v>
      </c>
      <c r="G58" s="7" t="n">
        <v>0</v>
      </c>
      <c r="H58" s="7" t="n">
        <v>0</v>
      </c>
      <c r="I58" s="7" t="n">
        <v>0</v>
      </c>
    </row>
    <row r="59" customFormat="false" ht="15" hidden="false" customHeight="false" outlineLevel="0" collapsed="false">
      <c r="A59" s="12" t="s">
        <v>63</v>
      </c>
      <c r="B59" s="47" t="n">
        <v>0.719999999984422</v>
      </c>
      <c r="C59" s="47" t="n">
        <v>0.356642512051099</v>
      </c>
      <c r="D59" s="47" t="n">
        <v>0.600000000043333</v>
      </c>
      <c r="E59" s="48" t="n">
        <f aca="false">(B59*C59)</f>
        <v>0.256782608671235</v>
      </c>
      <c r="F59" s="48" t="n">
        <f aca="false">(B59*C59*D59)</f>
        <v>0.154069565213868</v>
      </c>
      <c r="G59" s="7" t="n">
        <v>1</v>
      </c>
      <c r="H59" s="7" t="n">
        <v>1</v>
      </c>
      <c r="I59" s="7" t="n">
        <v>1</v>
      </c>
    </row>
    <row r="60" customFormat="false" ht="15" hidden="false" customHeight="false" outlineLevel="0" collapsed="false">
      <c r="A60" s="12" t="s">
        <v>64</v>
      </c>
      <c r="B60" s="47" t="n">
        <v>0.58</v>
      </c>
      <c r="C60" s="47" t="n">
        <v>1</v>
      </c>
      <c r="D60" s="47" t="n">
        <v>0.84</v>
      </c>
      <c r="E60" s="48" t="n">
        <f aca="false">(B60*C60)</f>
        <v>0.58</v>
      </c>
      <c r="F60" s="48" t="n">
        <f aca="false">(B60*C60*D60)</f>
        <v>0.4872</v>
      </c>
      <c r="G60" s="7" t="n">
        <v>1</v>
      </c>
      <c r="H60" s="7" t="n">
        <v>1</v>
      </c>
      <c r="I60" s="49" t="n">
        <v>0</v>
      </c>
    </row>
    <row r="61" customFormat="false" ht="15" hidden="false" customHeight="false" outlineLevel="0" collapsed="false">
      <c r="A61" s="12" t="s">
        <v>65</v>
      </c>
      <c r="B61" s="47" t="n">
        <v>0.5</v>
      </c>
      <c r="C61" s="47" t="n">
        <v>0.4305</v>
      </c>
      <c r="D61" s="47" t="n">
        <v>0.62</v>
      </c>
      <c r="E61" s="48" t="n">
        <f aca="false">(B61*C61)</f>
        <v>0.21525</v>
      </c>
      <c r="F61" s="48" t="n">
        <f aca="false">(B61*C61*D61)</f>
        <v>0.133455</v>
      </c>
      <c r="G61" s="7" t="n">
        <v>1</v>
      </c>
      <c r="H61" s="7" t="n">
        <v>1</v>
      </c>
      <c r="I61" s="7" t="n">
        <v>1</v>
      </c>
    </row>
    <row r="62" customFormat="false" ht="15" hidden="false" customHeight="false" outlineLevel="0" collapsed="false">
      <c r="A62" s="12" t="s">
        <v>66</v>
      </c>
      <c r="B62" s="47" t="n">
        <v>0.62</v>
      </c>
      <c r="C62" s="47" t="n">
        <v>0.458333333333333</v>
      </c>
      <c r="D62" s="47" t="n">
        <v>0.83</v>
      </c>
      <c r="E62" s="48" t="n">
        <f aca="false">(B62*C62)</f>
        <v>0.284166666666667</v>
      </c>
      <c r="F62" s="48" t="n">
        <f aca="false">(B62*C62*D62)</f>
        <v>0.235858333333333</v>
      </c>
      <c r="G62" s="7" t="n">
        <v>1</v>
      </c>
      <c r="H62" s="7" t="n">
        <v>1</v>
      </c>
      <c r="I62" s="7" t="n">
        <v>1</v>
      </c>
    </row>
    <row r="63" customFormat="false" ht="15" hidden="false" customHeight="false" outlineLevel="0" collapsed="false">
      <c r="A63" s="12" t="s">
        <v>67</v>
      </c>
      <c r="B63" s="47" t="n">
        <v>0.36000000003</v>
      </c>
      <c r="C63" s="47" t="n">
        <v>1</v>
      </c>
      <c r="D63" s="47" t="n">
        <v>0.790000000009259</v>
      </c>
      <c r="E63" s="48" t="n">
        <f aca="false">(B63*C63)</f>
        <v>0.36000000003</v>
      </c>
      <c r="F63" s="48" t="n">
        <f aca="false">(B63*C63*D63)</f>
        <v>0.284400000027033</v>
      </c>
      <c r="G63" s="7" t="n">
        <v>1</v>
      </c>
      <c r="H63" s="7" t="n">
        <v>1</v>
      </c>
      <c r="I63" s="7" t="n">
        <v>1</v>
      </c>
    </row>
    <row r="64" customFormat="false" ht="15" hidden="false" customHeight="false" outlineLevel="0" collapsed="false">
      <c r="A64" s="12" t="s">
        <v>68</v>
      </c>
      <c r="B64" s="47" t="n">
        <v>0.67</v>
      </c>
      <c r="C64" s="47" t="n">
        <v>0.626150283051455</v>
      </c>
      <c r="D64" s="47" t="n">
        <v>0.679999999996302</v>
      </c>
      <c r="E64" s="48" t="n">
        <f aca="false">(B64*C64)</f>
        <v>0.419520689644475</v>
      </c>
      <c r="F64" s="48" t="n">
        <f aca="false">(B64*C64*D64)</f>
        <v>0.285274068956692</v>
      </c>
      <c r="G64" s="7" t="n">
        <v>1</v>
      </c>
      <c r="H64" s="7" t="n">
        <v>1</v>
      </c>
      <c r="I64" s="7" t="n">
        <v>1</v>
      </c>
    </row>
    <row r="65" customFormat="false" ht="15" hidden="false" customHeight="false" outlineLevel="0" collapsed="false">
      <c r="A65" s="12" t="s">
        <v>69</v>
      </c>
      <c r="B65" s="47" t="n">
        <v>0.41</v>
      </c>
      <c r="C65" s="47" t="n">
        <v>0.656848030026732</v>
      </c>
      <c r="D65" s="47" t="n">
        <v>0.740000000003155</v>
      </c>
      <c r="E65" s="48" t="n">
        <f aca="false">(B65*C65)</f>
        <v>0.26930769231096</v>
      </c>
      <c r="F65" s="48" t="n">
        <f aca="false">(B65*C65*D65)</f>
        <v>0.19928769231096</v>
      </c>
      <c r="G65" s="7" t="n">
        <v>0</v>
      </c>
      <c r="H65" s="7" t="n">
        <v>0</v>
      </c>
      <c r="I65" s="7" t="n">
        <v>0</v>
      </c>
    </row>
    <row r="66" customFormat="false" ht="15" hidden="false" customHeight="false" outlineLevel="0" collapsed="false">
      <c r="A66" s="12" t="s">
        <v>70</v>
      </c>
      <c r="B66" s="47" t="n">
        <v>0.04</v>
      </c>
      <c r="C66" s="47" t="n">
        <v>0.692045454545455</v>
      </c>
      <c r="D66" s="47" t="n">
        <v>0.73</v>
      </c>
      <c r="E66" s="48" t="n">
        <f aca="false">(B66*C66)</f>
        <v>0.0276818181818182</v>
      </c>
      <c r="F66" s="48" t="n">
        <f aca="false">(B66*C66*D66)</f>
        <v>0.0202077272727273</v>
      </c>
      <c r="G66" s="7" t="n">
        <v>1</v>
      </c>
      <c r="H66" s="7" t="n">
        <v>1</v>
      </c>
      <c r="I66" s="7" t="n">
        <v>1</v>
      </c>
    </row>
    <row r="67" customFormat="false" ht="15" hidden="false" customHeight="false" outlineLevel="0" collapsed="false">
      <c r="A67" s="12" t="s">
        <v>71</v>
      </c>
      <c r="B67" s="47" t="n">
        <v>0.61</v>
      </c>
      <c r="C67" s="47" t="n">
        <v>1</v>
      </c>
      <c r="D67" s="47" t="n">
        <v>0.78</v>
      </c>
      <c r="E67" s="48" t="n">
        <f aca="false">(B67*C67)</f>
        <v>0.61</v>
      </c>
      <c r="F67" s="48" t="n">
        <f aca="false">(B67*C67*D67)</f>
        <v>0.4758</v>
      </c>
      <c r="G67" s="7" t="n">
        <v>0</v>
      </c>
      <c r="H67" s="7" t="n">
        <v>0</v>
      </c>
      <c r="I67" s="7" t="n">
        <v>0</v>
      </c>
    </row>
    <row r="68" customFormat="false" ht="15" hidden="false" customHeight="false" outlineLevel="0" collapsed="false">
      <c r="A68" s="12" t="s">
        <v>72</v>
      </c>
      <c r="B68" s="47" t="n">
        <v>0.881</v>
      </c>
      <c r="C68" s="47" t="n">
        <v>0.246311010215664</v>
      </c>
      <c r="D68" s="47" t="n">
        <v>0.85</v>
      </c>
      <c r="E68" s="48" t="n">
        <f aca="false">(B68*C68)</f>
        <v>0.217</v>
      </c>
      <c r="F68" s="48" t="n">
        <f aca="false">(B68*C68*D68)</f>
        <v>0.18445</v>
      </c>
      <c r="G68" s="7" t="n">
        <v>0</v>
      </c>
      <c r="H68" s="7" t="n">
        <v>0</v>
      </c>
      <c r="I68" s="7" t="n">
        <v>0</v>
      </c>
    </row>
    <row r="69" customFormat="false" ht="15" hidden="false" customHeight="false" outlineLevel="0" collapsed="false">
      <c r="A69" s="12" t="s">
        <v>73</v>
      </c>
      <c r="B69" s="47" t="n">
        <v>0.709999999994294</v>
      </c>
      <c r="C69" s="47" t="n">
        <v>0.41368758004715</v>
      </c>
      <c r="D69" s="47" t="n">
        <v>0.719999999994641</v>
      </c>
      <c r="E69" s="48" t="n">
        <f aca="false">(B69*C69)</f>
        <v>0.293718181831116</v>
      </c>
      <c r="F69" s="48" t="n">
        <f aca="false">(B69*C69*D69)</f>
        <v>0.211477090916829</v>
      </c>
      <c r="G69" s="7" t="n">
        <v>1</v>
      </c>
      <c r="H69" s="7" t="n">
        <v>1</v>
      </c>
      <c r="I69" s="49" t="n">
        <v>0</v>
      </c>
    </row>
    <row r="70" customFormat="false" ht="15" hidden="false" customHeight="false" outlineLevel="0" collapsed="false">
      <c r="A70" s="12" t="s">
        <v>74</v>
      </c>
      <c r="B70" s="47" t="n">
        <v>0.18</v>
      </c>
      <c r="C70" s="47" t="n">
        <v>1</v>
      </c>
      <c r="D70" s="47" t="n">
        <v>0.87</v>
      </c>
      <c r="E70" s="48" t="n">
        <f aca="false">(B70*C70)</f>
        <v>0.18</v>
      </c>
      <c r="F70" s="48" t="n">
        <f aca="false">(B70*C70*D70)</f>
        <v>0.1566</v>
      </c>
      <c r="G70" s="7" t="n">
        <v>0</v>
      </c>
      <c r="H70" s="7" t="n">
        <v>0</v>
      </c>
      <c r="I70" s="7" t="n">
        <v>0</v>
      </c>
    </row>
    <row r="71" customFormat="false" ht="15" hidden="false" customHeight="false" outlineLevel="0" collapsed="false">
      <c r="A71" s="12" t="s">
        <v>75</v>
      </c>
      <c r="B71" s="47" t="n">
        <v>0.65</v>
      </c>
      <c r="C71" s="47" t="n">
        <v>0.476923076923077</v>
      </c>
      <c r="D71" s="47" t="n">
        <v>0.82</v>
      </c>
      <c r="E71" s="48" t="n">
        <f aca="false">(B71*C71)</f>
        <v>0.31</v>
      </c>
      <c r="F71" s="48" t="n">
        <f aca="false">(B71*C71*D71)</f>
        <v>0.2542</v>
      </c>
      <c r="G71" s="7" t="n">
        <v>0</v>
      </c>
      <c r="H71" s="7" t="n">
        <v>0</v>
      </c>
      <c r="I71" s="7" t="n">
        <v>0</v>
      </c>
    </row>
    <row r="72" customFormat="false" ht="15" hidden="false" customHeight="false" outlineLevel="0" collapsed="false">
      <c r="A72" s="12" t="s">
        <v>76</v>
      </c>
      <c r="B72" s="47" t="n">
        <v>0.58</v>
      </c>
      <c r="C72" s="47" t="n">
        <v>0.997163793103448</v>
      </c>
      <c r="D72" s="47" t="n">
        <v>0.849999999974917</v>
      </c>
      <c r="E72" s="48" t="n">
        <f aca="false">(B72*C72)</f>
        <v>0.578355</v>
      </c>
      <c r="F72" s="48" t="n">
        <f aca="false">(B72*C72*D72)</f>
        <v>0.491601749985493</v>
      </c>
      <c r="G72" s="7" t="n">
        <v>1</v>
      </c>
      <c r="H72" s="7" t="n">
        <v>1</v>
      </c>
      <c r="I72" s="7" t="n">
        <v>1</v>
      </c>
    </row>
    <row r="73" customFormat="false" ht="15" hidden="false" customHeight="false" outlineLevel="0" collapsed="false">
      <c r="A73" s="12" t="s">
        <v>94</v>
      </c>
      <c r="B73" s="47" t="n">
        <v>0.41</v>
      </c>
      <c r="C73" s="47" t="n">
        <v>0.507317073170732</v>
      </c>
      <c r="D73" s="47" t="n">
        <v>0.78</v>
      </c>
      <c r="E73" s="48" t="n">
        <f aca="false">(B73*C73)</f>
        <v>0.208</v>
      </c>
      <c r="F73" s="48" t="n">
        <f aca="false">(B73*C73*D73)</f>
        <v>0.16224</v>
      </c>
      <c r="G73" s="7" t="n">
        <v>1</v>
      </c>
      <c r="H73" s="7" t="n">
        <v>1</v>
      </c>
      <c r="I73" s="7" t="n">
        <v>1</v>
      </c>
    </row>
    <row r="74" customFormat="false" ht="15" hidden="false" customHeight="false" outlineLevel="0" collapsed="false">
      <c r="A74" s="12" t="s">
        <v>77</v>
      </c>
      <c r="B74" s="47" t="n">
        <v>0.410000000088341</v>
      </c>
      <c r="C74" s="47" t="n">
        <v>0.397560975599599</v>
      </c>
      <c r="D74" s="47" t="n">
        <v>0.929999999996096</v>
      </c>
      <c r="E74" s="48" t="n">
        <f aca="false">(B74*C74)</f>
        <v>0.163000000030956</v>
      </c>
      <c r="F74" s="48" t="n">
        <f aca="false">(B74*C74*D74)</f>
        <v>0.151590000028153</v>
      </c>
      <c r="G74" s="7" t="n">
        <v>0</v>
      </c>
      <c r="H74" s="7" t="n">
        <v>0</v>
      </c>
      <c r="I74" s="7" t="n">
        <v>0</v>
      </c>
    </row>
    <row r="75" customFormat="false" ht="15" hidden="false" customHeight="false" outlineLevel="0" collapsed="false">
      <c r="A75" s="12" t="s">
        <v>78</v>
      </c>
      <c r="B75" s="47" t="n">
        <v>0.46</v>
      </c>
      <c r="C75" s="47" t="n">
        <v>0.764221014453069</v>
      </c>
      <c r="D75" s="47" t="n">
        <v>0.819999999990653</v>
      </c>
      <c r="E75" s="48" t="n">
        <f aca="false">(B75*C75)</f>
        <v>0.351541666648412</v>
      </c>
      <c r="F75" s="48" t="n">
        <f aca="false">(B75*C75*D75)</f>
        <v>0.288264166648412</v>
      </c>
      <c r="G75" s="7" t="n">
        <v>0</v>
      </c>
      <c r="H75" s="7" t="n">
        <v>0</v>
      </c>
      <c r="I75" s="7" t="n">
        <v>0</v>
      </c>
    </row>
    <row r="76" customFormat="false" ht="15" hidden="false" customHeight="false" outlineLevel="0" collapsed="false">
      <c r="A76" s="12" t="s">
        <v>79</v>
      </c>
      <c r="B76" s="47" t="n">
        <v>0.52999999998216</v>
      </c>
      <c r="C76" s="47" t="n">
        <v>0.995129380053559</v>
      </c>
      <c r="D76" s="47" t="n">
        <v>0.660000000025909</v>
      </c>
      <c r="E76" s="48" t="n">
        <f aca="false">(B76*C76)</f>
        <v>0.527418571410633</v>
      </c>
      <c r="F76" s="48" t="n">
        <f aca="false">(B76*C76*D76)</f>
        <v>0.348096257144683</v>
      </c>
      <c r="G76" s="7" t="n">
        <v>1</v>
      </c>
      <c r="H76" s="7" t="n">
        <v>1</v>
      </c>
      <c r="I76" s="49" t="n">
        <v>0</v>
      </c>
    </row>
    <row r="77" customFormat="false" ht="15" hidden="false" customHeight="false" outlineLevel="0" collapsed="false">
      <c r="A77" s="12" t="s">
        <v>80</v>
      </c>
      <c r="B77" s="47" t="n">
        <v>0.470000000015926</v>
      </c>
      <c r="C77" s="47" t="n">
        <v>0.961353965188714</v>
      </c>
      <c r="D77" s="47" t="n">
        <v>0.869999999965799</v>
      </c>
      <c r="E77" s="48" t="n">
        <f aca="false">(B77*C77)</f>
        <v>0.451836363654006</v>
      </c>
      <c r="F77" s="48" t="n">
        <f aca="false">(B77*C77*D77)</f>
        <v>0.393097636363532</v>
      </c>
      <c r="G77" s="7" t="n">
        <v>0</v>
      </c>
      <c r="H77" s="7" t="n">
        <v>0</v>
      </c>
      <c r="I77" s="7" t="n">
        <v>0</v>
      </c>
    </row>
    <row r="78" customFormat="false" ht="15" hidden="false" customHeight="false" outlineLevel="0" collapsed="false">
      <c r="A78" s="12" t="s">
        <v>81</v>
      </c>
      <c r="B78" s="47" t="n">
        <v>0.69</v>
      </c>
      <c r="C78" s="47" t="n">
        <v>0.974536231884058</v>
      </c>
      <c r="D78" s="47" t="n">
        <v>0.850000000026248</v>
      </c>
      <c r="E78" s="48" t="n">
        <f aca="false">(B78*C78)</f>
        <v>0.67243</v>
      </c>
      <c r="F78" s="48" t="n">
        <f aca="false">(B78*C78*D78)</f>
        <v>0.57156550001765</v>
      </c>
      <c r="G78" s="7" t="n">
        <v>1</v>
      </c>
      <c r="H78" s="7" t="n">
        <v>1</v>
      </c>
      <c r="I78" s="49" t="n">
        <v>0</v>
      </c>
    </row>
    <row r="79" customFormat="false" ht="15" hidden="false" customHeight="false" outlineLevel="0" collapsed="false">
      <c r="A79" s="12" t="s">
        <v>82</v>
      </c>
      <c r="B79" s="47" t="n">
        <v>0.57000000000146</v>
      </c>
      <c r="C79" s="47" t="n">
        <v>0.509187442295996</v>
      </c>
      <c r="D79" s="47" t="n">
        <v>0.910000000002223</v>
      </c>
      <c r="E79" s="48" t="n">
        <f aca="false">(B79*C79)</f>
        <v>0.290236842109461</v>
      </c>
      <c r="F79" s="48" t="n">
        <f aca="false">(B79*C79*D79)</f>
        <v>0.264115526320255</v>
      </c>
      <c r="G79" s="7" t="n">
        <v>0</v>
      </c>
      <c r="H79" s="7" t="n">
        <v>0</v>
      </c>
      <c r="I79" s="7" t="n">
        <v>0</v>
      </c>
    </row>
    <row r="80" customFormat="false" ht="15" hidden="false" customHeight="false" outlineLevel="0" collapsed="false">
      <c r="A80" s="12" t="s">
        <v>83</v>
      </c>
      <c r="B80" s="47" t="n">
        <v>0.729999999981073</v>
      </c>
      <c r="C80" s="47" t="n">
        <v>0.931506849287365</v>
      </c>
      <c r="D80" s="47" t="n">
        <v>0.898305084712739</v>
      </c>
      <c r="E80" s="48" t="n">
        <f aca="false">(B80*C80)</f>
        <v>0.679999999962145</v>
      </c>
      <c r="F80" s="48" t="n">
        <f aca="false">(B80*C80*D80)</f>
        <v>0.610847457570658</v>
      </c>
      <c r="G80" s="7" t="n">
        <v>1</v>
      </c>
      <c r="H80" s="7" t="n">
        <v>1</v>
      </c>
      <c r="I80" s="7" t="n">
        <v>1</v>
      </c>
    </row>
    <row r="81" customFormat="false" ht="15" hidden="false" customHeight="false" outlineLevel="0" collapsed="false">
      <c r="A81" s="12" t="s">
        <v>84</v>
      </c>
      <c r="B81" s="47" t="n">
        <v>0.849999999988281</v>
      </c>
      <c r="C81" s="47" t="n">
        <v>0.799999999981618</v>
      </c>
      <c r="D81" s="47" t="n">
        <v>0.983999999996875</v>
      </c>
      <c r="E81" s="48" t="n">
        <f aca="false">(B81*C81)</f>
        <v>0.679999999975</v>
      </c>
      <c r="F81" s="48" t="n">
        <f aca="false">(B81*C81*D81)</f>
        <v>0.669119999973275</v>
      </c>
      <c r="G81" s="7" t="n">
        <v>1</v>
      </c>
      <c r="H81" s="7" t="n">
        <v>1</v>
      </c>
      <c r="I81" s="7" t="n">
        <v>1</v>
      </c>
    </row>
    <row r="82" customFormat="false" ht="15" hidden="false" customHeight="false" outlineLevel="0" collapsed="false">
      <c r="A82" s="12" t="s">
        <v>85</v>
      </c>
      <c r="B82" s="47" t="n">
        <v>0.47</v>
      </c>
      <c r="C82" s="47" t="n">
        <v>0.702127659574468</v>
      </c>
      <c r="D82" s="47" t="n">
        <v>0.61</v>
      </c>
      <c r="E82" s="48" t="n">
        <f aca="false">(B82*C82)</f>
        <v>0.33</v>
      </c>
      <c r="F82" s="48" t="n">
        <f aca="false">(B82*C82*D82)</f>
        <v>0.2013</v>
      </c>
      <c r="G82" s="7" t="n">
        <v>0</v>
      </c>
      <c r="H82" s="7" t="n">
        <v>0</v>
      </c>
      <c r="I82" s="7" t="n">
        <v>0</v>
      </c>
    </row>
    <row r="83" customFormat="false" ht="15" hidden="false" customHeight="false" outlineLevel="0" collapsed="false">
      <c r="A83" s="2" t="s">
        <v>86</v>
      </c>
      <c r="B83" s="47" t="n">
        <v>0.280000000005044</v>
      </c>
      <c r="C83" s="47" t="n">
        <v>0.993770764119674</v>
      </c>
      <c r="D83" s="47" t="n">
        <v>0.669999999974824</v>
      </c>
      <c r="E83" s="48" t="n">
        <f aca="false">(B83*C83)</f>
        <v>0.278255813958521</v>
      </c>
      <c r="F83" s="48" t="n">
        <f aca="false">(B83*C83*D83)</f>
        <v>0.186431395345204</v>
      </c>
      <c r="G83" s="7" t="n">
        <v>0</v>
      </c>
      <c r="H83" s="7" t="n">
        <v>0</v>
      </c>
      <c r="I83" s="7" t="n">
        <v>0</v>
      </c>
    </row>
    <row r="84" customFormat="false" ht="15" hidden="false" customHeight="false" outlineLevel="0" collapsed="false">
      <c r="A84" s="12" t="s">
        <v>87</v>
      </c>
      <c r="B84" s="47" t="n">
        <v>0.58</v>
      </c>
      <c r="C84" s="47" t="n">
        <v>0.413793103448276</v>
      </c>
      <c r="D84" s="47" t="n">
        <v>0.81</v>
      </c>
      <c r="E84" s="48" t="n">
        <f aca="false">(B84*C84)</f>
        <v>0.24</v>
      </c>
      <c r="F84" s="48" t="n">
        <f aca="false">(B84*C84*D84)</f>
        <v>0.1944</v>
      </c>
      <c r="G84" s="7" t="n">
        <v>0</v>
      </c>
      <c r="H84" s="49" t="n">
        <v>1</v>
      </c>
      <c r="I84" s="7" t="n">
        <v>0</v>
      </c>
    </row>
    <row r="85" customFormat="false" ht="15" hidden="false" customHeight="false" outlineLevel="0" collapsed="false">
      <c r="A85" s="12" t="s">
        <v>88</v>
      </c>
      <c r="B85" s="47" t="n">
        <v>0.0599999999974</v>
      </c>
      <c r="C85" s="47" t="n">
        <v>1</v>
      </c>
      <c r="D85" s="47" t="n">
        <v>0.57999999997</v>
      </c>
      <c r="E85" s="48" t="n">
        <f aca="false">(B85*C85)</f>
        <v>0.0599999999974</v>
      </c>
      <c r="F85" s="48" t="n">
        <f aca="false">(B85*C85*D85)</f>
        <v>0.034799999996692</v>
      </c>
      <c r="G85" s="7" t="n">
        <v>1</v>
      </c>
      <c r="H85" s="7" t="n">
        <v>1</v>
      </c>
      <c r="I85" s="7" t="n">
        <v>1</v>
      </c>
    </row>
    <row r="86" customFormat="false" ht="15" hidden="false" customHeight="false" outlineLevel="0" collapsed="false">
      <c r="A86" s="12" t="s">
        <v>89</v>
      </c>
      <c r="B86" s="47" t="n">
        <v>0.59</v>
      </c>
      <c r="C86" s="47" t="n">
        <v>1</v>
      </c>
      <c r="D86" s="47" t="n">
        <v>0.66</v>
      </c>
      <c r="E86" s="48" t="n">
        <f aca="false">(B86*C86)</f>
        <v>0.59</v>
      </c>
      <c r="F86" s="48" t="n">
        <f aca="false">(B86*C86*D86)</f>
        <v>0.3894</v>
      </c>
      <c r="G86" s="7" t="n">
        <v>1</v>
      </c>
      <c r="H86" s="7" t="n">
        <v>1</v>
      </c>
      <c r="I86" s="49" t="n">
        <v>0</v>
      </c>
    </row>
    <row r="87" customFormat="false" ht="15" hidden="false" customHeight="false" outlineLevel="0" collapsed="false">
      <c r="A87" s="12" t="s">
        <v>90</v>
      </c>
      <c r="B87" s="47" t="n">
        <v>0.81</v>
      </c>
      <c r="C87" s="47" t="n">
        <v>0.641975308641975</v>
      </c>
      <c r="D87" s="47" t="n">
        <v>0.9</v>
      </c>
      <c r="E87" s="48" t="n">
        <f aca="false">(B87*C87)</f>
        <v>0.52</v>
      </c>
      <c r="F87" s="48" t="n">
        <f aca="false">(B87*C87*D87)</f>
        <v>0.468</v>
      </c>
      <c r="G87" s="7" t="n">
        <v>1</v>
      </c>
      <c r="H87" s="7" t="n">
        <v>1</v>
      </c>
      <c r="I87" s="49" t="n">
        <v>0</v>
      </c>
    </row>
    <row r="88" customFormat="false" ht="15" hidden="false" customHeight="false" outlineLevel="0" collapsed="false">
      <c r="A88" s="12" t="s">
        <v>91</v>
      </c>
      <c r="B88" s="47" t="n">
        <v>0.71</v>
      </c>
      <c r="C88" s="47" t="n">
        <v>0.44109362054681</v>
      </c>
      <c r="D88" s="47" t="n">
        <v>0.7</v>
      </c>
      <c r="E88" s="48" t="n">
        <f aca="false">(B88*C88)</f>
        <v>0.313176470588235</v>
      </c>
      <c r="F88" s="48" t="n">
        <f aca="false">(B88*C88*D88)</f>
        <v>0.219223529411765</v>
      </c>
      <c r="G88" s="7" t="n">
        <v>0</v>
      </c>
      <c r="H88" s="49" t="n">
        <v>1</v>
      </c>
      <c r="I88" s="7" t="n">
        <v>0</v>
      </c>
    </row>
    <row r="89" customFormat="false" ht="15" hidden="false" customHeight="false" outlineLevel="0" collapsed="false">
      <c r="A89" s="12" t="s">
        <v>92</v>
      </c>
      <c r="B89" s="47" t="n">
        <v>0.640000000028639</v>
      </c>
      <c r="C89" s="47" t="n">
        <v>0.872908653866733</v>
      </c>
      <c r="D89" s="47" t="n">
        <v>0.820000000015664</v>
      </c>
      <c r="E89" s="48" t="n">
        <f aca="false">(B89*C89)</f>
        <v>0.558661538499709</v>
      </c>
      <c r="F89" s="48" t="n">
        <f aca="false">(B89*C89*D89)</f>
        <v>0.458102461578512</v>
      </c>
      <c r="G89" s="7" t="n">
        <v>1</v>
      </c>
      <c r="H89" s="7" t="n">
        <v>1</v>
      </c>
      <c r="I89" s="7" t="n">
        <v>1</v>
      </c>
    </row>
    <row r="90" customFormat="false" ht="15" hidden="false" customHeight="false" outlineLevel="0" collapsed="false">
      <c r="A90" s="12" t="s">
        <v>93</v>
      </c>
      <c r="B90" s="47" t="n">
        <v>0.629999999986449</v>
      </c>
      <c r="C90" s="47" t="n">
        <v>0.428571428549652</v>
      </c>
      <c r="D90" s="47" t="n">
        <v>0.919999999992886</v>
      </c>
      <c r="E90" s="48" t="n">
        <f aca="false">(B90*C90)</f>
        <v>0.269999999980473</v>
      </c>
      <c r="F90" s="48" t="n">
        <f aca="false">(B90*C90*D90)</f>
        <v>0.248399999980115</v>
      </c>
      <c r="G90" s="7" t="n">
        <v>1</v>
      </c>
      <c r="H90" s="7" t="n">
        <v>1</v>
      </c>
      <c r="I90" s="7" t="n">
        <v>1</v>
      </c>
    </row>
    <row r="91" customFormat="false" ht="15" hidden="false" customHeight="false" outlineLevel="0" collapsed="false">
      <c r="A91" s="46" t="s">
        <v>31</v>
      </c>
      <c r="B91" s="47" t="n">
        <v>0.374</v>
      </c>
      <c r="C91" s="47" t="n">
        <v>0.505347593582888</v>
      </c>
      <c r="D91" s="47" t="n">
        <v>0.794</v>
      </c>
      <c r="E91" s="48" t="n">
        <f aca="false">(B91*C91)</f>
        <v>0.189</v>
      </c>
      <c r="F91" s="48" t="n">
        <f aca="false">(B91*C91*D91)</f>
        <v>0.150066</v>
      </c>
      <c r="G91" s="7" t="n">
        <v>0</v>
      </c>
      <c r="H91" s="7" t="n">
        <v>0</v>
      </c>
      <c r="I91" s="7" t="n">
        <v>0</v>
      </c>
    </row>
    <row r="92" customFormat="false" ht="15" hidden="false" customHeight="false" outlineLevel="0" collapsed="false">
      <c r="A92" s="12" t="s">
        <v>95</v>
      </c>
      <c r="B92" s="47" t="n">
        <v>0.490000220047795</v>
      </c>
      <c r="C92" s="47" t="n">
        <v>0.234806117093576</v>
      </c>
      <c r="D92" s="47" t="n">
        <v>0.7997960443037</v>
      </c>
      <c r="E92" s="48" t="n">
        <f aca="false">(B92*C92)</f>
        <v>0.115055049044421</v>
      </c>
      <c r="F92" s="48" t="n">
        <f aca="false">(B92*C92*D92)</f>
        <v>0.0920205731028959</v>
      </c>
      <c r="G92" s="7" t="n">
        <v>0</v>
      </c>
      <c r="H92" s="7" t="n">
        <v>0</v>
      </c>
      <c r="I92" s="7" t="n">
        <v>0</v>
      </c>
    </row>
    <row r="93" customFormat="false" ht="15" hidden="false" customHeight="false" outlineLevel="0" collapsed="false">
      <c r="A93" s="12" t="s">
        <v>96</v>
      </c>
      <c r="B93" s="47" t="n">
        <v>0.85</v>
      </c>
      <c r="C93" s="47" t="n">
        <v>0.929411764705882</v>
      </c>
      <c r="D93" s="47" t="n">
        <v>0.94</v>
      </c>
      <c r="E93" s="48" t="n">
        <f aca="false">(B93*C93)</f>
        <v>0.79</v>
      </c>
      <c r="F93" s="48" t="n">
        <f aca="false">(B93*C93*D93)</f>
        <v>0.7426</v>
      </c>
      <c r="G93" s="7" t="n">
        <v>1</v>
      </c>
      <c r="H93" s="7" t="n">
        <v>1</v>
      </c>
      <c r="I93" s="7" t="n">
        <v>1</v>
      </c>
    </row>
    <row r="94" customFormat="false" ht="15" hidden="false" customHeight="false" outlineLevel="0" collapsed="false">
      <c r="A94" s="12" t="s">
        <v>97</v>
      </c>
      <c r="B94" s="47" t="n">
        <v>0.49746901728415</v>
      </c>
      <c r="C94" s="47" t="n">
        <v>0.701754385949165</v>
      </c>
      <c r="D94" s="47" t="n">
        <v>0.709999999987209</v>
      </c>
      <c r="E94" s="48" t="n">
        <f aca="false">(B94*C94)</f>
        <v>0.349101064752973</v>
      </c>
      <c r="F94" s="48" t="n">
        <f aca="false">(B94*C94*D94)</f>
        <v>0.247861755970146</v>
      </c>
      <c r="G94" s="7" t="n">
        <v>1</v>
      </c>
      <c r="H94" s="7" t="n">
        <v>1</v>
      </c>
      <c r="I94" s="7" t="n">
        <v>1</v>
      </c>
    </row>
    <row r="95" customFormat="false" ht="15" hidden="false" customHeight="false" outlineLevel="0" collapsed="false">
      <c r="A95" s="12" t="s">
        <v>99</v>
      </c>
      <c r="B95" s="47" t="n">
        <v>0.56</v>
      </c>
      <c r="C95" s="47" t="n">
        <v>0.732142857142857</v>
      </c>
      <c r="D95" s="47" t="n">
        <v>0.77</v>
      </c>
      <c r="E95" s="48" t="n">
        <f aca="false">(B95*C95)</f>
        <v>0.41</v>
      </c>
      <c r="F95" s="48" t="n">
        <f aca="false">(B95*C95*D95)</f>
        <v>0.3157</v>
      </c>
      <c r="G95" s="7" t="n">
        <v>0</v>
      </c>
      <c r="H95" s="7" t="n">
        <v>0</v>
      </c>
      <c r="I95" s="7" t="n">
        <v>0</v>
      </c>
    </row>
    <row r="96" customFormat="false" ht="15" hidden="false" customHeight="false" outlineLevel="0" collapsed="false">
      <c r="A96" s="12" t="s">
        <v>100</v>
      </c>
      <c r="B96" s="47" t="n">
        <v>0.27</v>
      </c>
      <c r="C96" s="47" t="n">
        <v>1</v>
      </c>
      <c r="D96" s="47" t="n">
        <v>0.71</v>
      </c>
      <c r="E96" s="48" t="n">
        <f aca="false">(B96*C96)</f>
        <v>0.27</v>
      </c>
      <c r="F96" s="48" t="n">
        <f aca="false">(B96*C96*D96)</f>
        <v>0.1917</v>
      </c>
      <c r="G96" s="7" t="n">
        <v>0</v>
      </c>
      <c r="H96" s="7" t="n">
        <v>0</v>
      </c>
      <c r="I96" s="7" t="n">
        <v>0</v>
      </c>
    </row>
    <row r="97" customFormat="false" ht="15" hidden="false" customHeight="false" outlineLevel="0" collapsed="false">
      <c r="A97" s="12" t="s">
        <v>101</v>
      </c>
      <c r="B97" s="47" t="n">
        <v>0.08</v>
      </c>
      <c r="C97" s="47" t="n">
        <v>1</v>
      </c>
      <c r="D97" s="47" t="n">
        <v>0.81</v>
      </c>
      <c r="E97" s="48" t="n">
        <f aca="false">(B97*C97)</f>
        <v>0.08</v>
      </c>
      <c r="F97" s="48" t="n">
        <f aca="false">(B97*C97*D97)</f>
        <v>0.0648</v>
      </c>
      <c r="G97" s="7" t="n">
        <v>1</v>
      </c>
      <c r="H97" s="7" t="n">
        <v>1</v>
      </c>
      <c r="I97" s="49" t="n">
        <v>0</v>
      </c>
    </row>
    <row r="98" customFormat="false" ht="15" hidden="false" customHeight="false" outlineLevel="0" collapsed="false">
      <c r="A98" s="12" t="s">
        <v>102</v>
      </c>
      <c r="B98" s="47" t="n">
        <v>0.570000000029763</v>
      </c>
      <c r="C98" s="47" t="n">
        <v>0.840343021739232</v>
      </c>
      <c r="D98" s="47" t="n">
        <v>0.710000000035403</v>
      </c>
      <c r="E98" s="48" t="n">
        <f aca="false">(B98*C98)</f>
        <v>0.478995522416373</v>
      </c>
      <c r="F98" s="48" t="n">
        <f aca="false">(B98*C98*D98)</f>
        <v>0.340086820932583</v>
      </c>
      <c r="G98" s="7" t="n">
        <v>1</v>
      </c>
      <c r="H98" s="7" t="n">
        <v>1</v>
      </c>
      <c r="I98" s="7" t="n">
        <v>1</v>
      </c>
    </row>
    <row r="99" customFormat="false" ht="15" hidden="false" customHeight="false" outlineLevel="0" collapsed="false">
      <c r="A99" s="12" t="s">
        <v>103</v>
      </c>
      <c r="B99" s="47" t="n">
        <v>0.11</v>
      </c>
      <c r="C99" s="47" t="n">
        <v>1</v>
      </c>
      <c r="D99" s="47" t="n">
        <v>0.76</v>
      </c>
      <c r="E99" s="48" t="n">
        <f aca="false">(B99*C99)</f>
        <v>0.11</v>
      </c>
      <c r="F99" s="48" t="n">
        <f aca="false">(B99*C99*D99)</f>
        <v>0.0836</v>
      </c>
      <c r="G99" s="7" t="n">
        <v>0</v>
      </c>
      <c r="H99" s="49" t="n">
        <v>1</v>
      </c>
      <c r="I99" s="7" t="n">
        <v>0</v>
      </c>
    </row>
    <row r="100" customFormat="false" ht="15" hidden="false" customHeight="false" outlineLevel="0" collapsed="false">
      <c r="A100" s="12" t="s">
        <v>104</v>
      </c>
      <c r="B100" s="47" t="n">
        <v>0.740000000011175</v>
      </c>
      <c r="C100" s="47" t="n">
        <v>0.987387387387597</v>
      </c>
      <c r="D100" s="47" t="n">
        <v>0.890000000001113</v>
      </c>
      <c r="E100" s="48" t="n">
        <f aca="false">(B100*C100)</f>
        <v>0.730666666677856</v>
      </c>
      <c r="F100" s="48" t="n">
        <f aca="false">(B100*C100*D100)</f>
        <v>0.650293333344105</v>
      </c>
      <c r="G100" s="7" t="n">
        <v>0</v>
      </c>
      <c r="H100" s="7" t="n">
        <v>0</v>
      </c>
      <c r="I100" s="7" t="n">
        <v>0</v>
      </c>
    </row>
    <row r="101" customFormat="false" ht="15" hidden="false" customHeight="false" outlineLevel="0" collapsed="false">
      <c r="A101" s="12" t="s">
        <v>105</v>
      </c>
      <c r="B101" s="47" t="n">
        <v>0.450000000016495</v>
      </c>
      <c r="C101" s="47" t="n">
        <v>0.416260162616147</v>
      </c>
      <c r="D101" s="47" t="n">
        <v>0.809999999990394</v>
      </c>
      <c r="E101" s="48" t="n">
        <f aca="false">(B101*C101)</f>
        <v>0.187317073184132</v>
      </c>
      <c r="F101" s="48" t="n">
        <f aca="false">(B101*C101*D101)</f>
        <v>0.151726829277348</v>
      </c>
      <c r="G101" s="7" t="n">
        <v>1</v>
      </c>
      <c r="H101" s="7" t="n">
        <v>1</v>
      </c>
      <c r="I101" s="7" t="n">
        <v>1</v>
      </c>
    </row>
    <row r="102" customFormat="false" ht="15" hidden="false" customHeight="false" outlineLevel="0" collapsed="false">
      <c r="A102" s="12" t="s">
        <v>106</v>
      </c>
      <c r="B102" s="47" t="n">
        <v>0.0800000000031161</v>
      </c>
      <c r="C102" s="47" t="n">
        <v>0.960096153852728</v>
      </c>
      <c r="D102" s="47" t="n">
        <v>0.900000000006614</v>
      </c>
      <c r="E102" s="48" t="n">
        <f aca="false">(B102*C102)</f>
        <v>0.07680769231121</v>
      </c>
      <c r="F102" s="48" t="n">
        <f aca="false">(B102*C102*D102)</f>
        <v>0.069126923080597</v>
      </c>
      <c r="G102" s="7" t="n">
        <v>0</v>
      </c>
      <c r="H102" s="49" t="n">
        <v>1</v>
      </c>
      <c r="I102" s="7" t="n">
        <v>0</v>
      </c>
    </row>
    <row r="103" customFormat="false" ht="15" hidden="false" customHeight="false" outlineLevel="0" collapsed="false">
      <c r="A103" s="12" t="s">
        <v>107</v>
      </c>
      <c r="B103" s="47" t="n">
        <v>0.54</v>
      </c>
      <c r="C103" s="47" t="n">
        <v>1</v>
      </c>
      <c r="D103" s="47" t="n">
        <v>0.76</v>
      </c>
      <c r="E103" s="48" t="n">
        <f aca="false">(B103*C103)</f>
        <v>0.54</v>
      </c>
      <c r="F103" s="48" t="n">
        <f aca="false">(B103*C103*D103)</f>
        <v>0.4104</v>
      </c>
      <c r="G103" s="7" t="n">
        <v>0</v>
      </c>
      <c r="H103" s="7" t="n">
        <v>0</v>
      </c>
      <c r="I103" s="7" t="n">
        <v>0</v>
      </c>
    </row>
    <row r="104" customFormat="false" ht="15" hidden="false" customHeight="false" outlineLevel="0" collapsed="false">
      <c r="A104" s="12" t="s">
        <v>108</v>
      </c>
      <c r="B104" s="47" t="n">
        <v>0.67</v>
      </c>
      <c r="C104" s="47" t="n">
        <v>1</v>
      </c>
      <c r="D104" s="47" t="n">
        <v>0.51</v>
      </c>
      <c r="E104" s="48" t="n">
        <f aca="false">(B104*C104)</f>
        <v>0.67</v>
      </c>
      <c r="F104" s="48" t="n">
        <f aca="false">(B104*C104*D104)</f>
        <v>0.3417</v>
      </c>
      <c r="G104" s="7" t="n">
        <v>1</v>
      </c>
      <c r="H104" s="7" t="n">
        <v>1</v>
      </c>
      <c r="I104" s="7" t="n">
        <v>1</v>
      </c>
    </row>
    <row r="105" customFormat="false" ht="15" hidden="false" customHeight="false" outlineLevel="0" collapsed="false">
      <c r="A105" s="12" t="s">
        <v>111</v>
      </c>
      <c r="B105" s="47" t="n">
        <v>0.339999999990154</v>
      </c>
      <c r="C105" s="47" t="n">
        <v>0.484926470565636</v>
      </c>
      <c r="D105" s="47" t="n">
        <v>0.76999999995657</v>
      </c>
      <c r="E105" s="48" t="n">
        <f aca="false">(B105*C105)</f>
        <v>0.164874999987542</v>
      </c>
      <c r="F105" s="48" t="n">
        <f aca="false">(B105*C105*D105)</f>
        <v>0.126953749983247</v>
      </c>
      <c r="G105" s="7" t="n">
        <v>1</v>
      </c>
      <c r="H105" s="7" t="n">
        <v>1</v>
      </c>
      <c r="I105" s="7" t="n">
        <v>1</v>
      </c>
    </row>
    <row r="106" customFormat="false" ht="15" hidden="false" customHeight="false" outlineLevel="0" collapsed="false">
      <c r="A106" s="12" t="s">
        <v>112</v>
      </c>
      <c r="B106" s="47" t="n">
        <v>0.83</v>
      </c>
      <c r="C106" s="47" t="n">
        <v>0.783132530120482</v>
      </c>
      <c r="D106" s="47" t="n">
        <v>0.96</v>
      </c>
      <c r="E106" s="48" t="n">
        <f aca="false">(B106*C106)</f>
        <v>0.65</v>
      </c>
      <c r="F106" s="48" t="n">
        <f aca="false">(B106*C106*D106)</f>
        <v>0.624</v>
      </c>
      <c r="G106" s="7" t="n">
        <v>0</v>
      </c>
      <c r="H106" s="7" t="n">
        <v>0</v>
      </c>
      <c r="I106" s="7" t="n">
        <v>0</v>
      </c>
    </row>
    <row r="107" customFormat="false" ht="15" hidden="false" customHeight="false" outlineLevel="0" collapsed="false">
      <c r="A107" s="46" t="s">
        <v>8</v>
      </c>
      <c r="B107" s="47" t="n">
        <v>0.369999999997174</v>
      </c>
      <c r="C107" s="47" t="n">
        <v>0.981981981980416</v>
      </c>
      <c r="D107" s="47" t="n">
        <v>0.690000000009465</v>
      </c>
      <c r="E107" s="48" t="n">
        <f aca="false">(B107*C107)</f>
        <v>0.363333333329979</v>
      </c>
      <c r="F107" s="48" t="n">
        <f aca="false">(B107*C107*D107)</f>
        <v>0.250700000001124</v>
      </c>
      <c r="G107" s="7" t="n">
        <v>0</v>
      </c>
      <c r="H107" s="49" t="n">
        <v>1</v>
      </c>
      <c r="I107" s="7" t="n">
        <v>0</v>
      </c>
    </row>
    <row r="108" customFormat="false" ht="15" hidden="false" customHeight="false" outlineLevel="0" collapsed="false">
      <c r="A108" s="12" t="s">
        <v>114</v>
      </c>
      <c r="B108" s="47" t="n">
        <v>0.41</v>
      </c>
      <c r="C108" s="47" t="n">
        <v>1</v>
      </c>
      <c r="D108" s="47" t="n">
        <v>0.87</v>
      </c>
      <c r="E108" s="48" t="n">
        <f aca="false">(B108*C108)</f>
        <v>0.41</v>
      </c>
      <c r="F108" s="48" t="n">
        <f aca="false">(B108*C108*D108)</f>
        <v>0.3567</v>
      </c>
      <c r="G108" s="7" t="n">
        <v>0</v>
      </c>
      <c r="H108" s="7" t="n">
        <v>0</v>
      </c>
      <c r="I108" s="7" t="n">
        <v>0</v>
      </c>
    </row>
    <row r="109" customFormat="false" ht="15" hidden="false" customHeight="false" outlineLevel="0" collapsed="false">
      <c r="A109" s="12" t="s">
        <v>115</v>
      </c>
      <c r="B109" s="47" t="n">
        <v>0.62</v>
      </c>
      <c r="C109" s="47" t="n">
        <v>0.966129032258064</v>
      </c>
      <c r="D109" s="47" t="n">
        <v>0.9</v>
      </c>
      <c r="E109" s="48" t="n">
        <f aca="false">(B109*C109)</f>
        <v>0.599</v>
      </c>
      <c r="F109" s="48" t="n">
        <f aca="false">(B109*C109*D109)</f>
        <v>0.5391</v>
      </c>
      <c r="G109" s="7" t="n">
        <v>0</v>
      </c>
      <c r="H109" s="7" t="n">
        <v>0</v>
      </c>
      <c r="I109" s="7" t="n">
        <v>0</v>
      </c>
    </row>
    <row r="110" customFormat="false" ht="15" hidden="false" customHeight="false" outlineLevel="0" collapsed="false">
      <c r="A110" s="12" t="s">
        <v>116</v>
      </c>
      <c r="B110" s="47" t="n">
        <v>0.610000000046923</v>
      </c>
      <c r="C110" s="47" t="n">
        <v>0.442622950819672</v>
      </c>
      <c r="D110" s="47" t="n">
        <v>0.809999999991453</v>
      </c>
      <c r="E110" s="48" t="n">
        <f aca="false">(B110*C110)</f>
        <v>0.270000000020769</v>
      </c>
      <c r="F110" s="48" t="n">
        <f aca="false">(B110*C110*D110)</f>
        <v>0.218700000014515</v>
      </c>
      <c r="G110" s="7" t="n">
        <v>1</v>
      </c>
      <c r="H110" s="7" t="n">
        <v>1</v>
      </c>
      <c r="I110" s="7" t="n">
        <v>1</v>
      </c>
    </row>
    <row r="111" customFormat="false" ht="15" hidden="false" customHeight="false" outlineLevel="0" collapsed="false">
      <c r="A111" s="12" t="s">
        <v>117</v>
      </c>
      <c r="B111" s="47" t="n">
        <v>0.630000000014921</v>
      </c>
      <c r="C111" s="47" t="n">
        <v>0.878573696156555</v>
      </c>
      <c r="D111" s="47" t="n">
        <v>0.769999999947543</v>
      </c>
      <c r="E111" s="48" t="n">
        <f aca="false">(B111*C111)</f>
        <v>0.553501428591739</v>
      </c>
      <c r="F111" s="48" t="n">
        <f aca="false">(B111*C111*D111)</f>
        <v>0.426196099986603</v>
      </c>
      <c r="G111" s="7" t="n">
        <v>1</v>
      </c>
      <c r="H111" s="7" t="n">
        <v>1</v>
      </c>
      <c r="I111" s="49" t="n">
        <v>0</v>
      </c>
    </row>
    <row r="112" customFormat="false" ht="15" hidden="false" customHeight="false" outlineLevel="0" collapsed="false">
      <c r="A112" s="12" t="s">
        <v>118</v>
      </c>
      <c r="B112" s="47" t="n">
        <v>0.270000000009363</v>
      </c>
      <c r="C112" s="47" t="n">
        <v>0.982121212122925</v>
      </c>
      <c r="D112" s="47" t="n">
        <v>0.86000000001393</v>
      </c>
      <c r="E112" s="48" t="n">
        <f aca="false">(B112*C112)</f>
        <v>0.265172727282385</v>
      </c>
      <c r="F112" s="48" t="n">
        <f aca="false">(B112*C112*D112)</f>
        <v>0.228048545466545</v>
      </c>
      <c r="G112" s="7" t="n">
        <v>0</v>
      </c>
      <c r="H112" s="7" t="n">
        <v>0</v>
      </c>
      <c r="I112" s="7" t="n">
        <v>0</v>
      </c>
    </row>
    <row r="113" customFormat="false" ht="15" hidden="false" customHeight="false" outlineLevel="0" collapsed="false">
      <c r="A113" s="12" t="s">
        <v>119</v>
      </c>
      <c r="B113" s="47" t="n">
        <v>0.825458052077655</v>
      </c>
      <c r="C113" s="47" t="n">
        <v>0.898364485983702</v>
      </c>
      <c r="D113" s="47" t="n">
        <v>0.946684005195807</v>
      </c>
      <c r="E113" s="48" t="n">
        <f aca="false">(B113*C113)</f>
        <v>0.741562198655851</v>
      </c>
      <c r="F113" s="48" t="n">
        <f aca="false">(B113*C113*D113)</f>
        <v>0.70202507232533</v>
      </c>
      <c r="G113" s="7" t="n">
        <v>1</v>
      </c>
      <c r="H113" s="7" t="n">
        <v>1</v>
      </c>
      <c r="I113" s="7" t="n">
        <v>1</v>
      </c>
    </row>
    <row r="114" customFormat="false" ht="15" hidden="false" customHeight="false" outlineLevel="0" collapsed="false">
      <c r="A114" s="12" t="s">
        <v>120</v>
      </c>
      <c r="B114" s="47" t="n">
        <v>0.529863704167173</v>
      </c>
      <c r="C114" s="47" t="n">
        <v>0.999424423887893</v>
      </c>
      <c r="D114" s="47" t="n">
        <v>0.66996699669967</v>
      </c>
      <c r="E114" s="48" t="n">
        <f aca="false">(B114*C114)</f>
        <v>0.529558727276382</v>
      </c>
      <c r="F114" s="48" t="n">
        <f aca="false">(B114*C114*D114)</f>
        <v>0.354786870089457</v>
      </c>
      <c r="G114" s="7" t="n">
        <v>0</v>
      </c>
      <c r="H114" s="7" t="n">
        <v>0</v>
      </c>
      <c r="I114" s="7" t="n">
        <v>0</v>
      </c>
    </row>
    <row r="115" customFormat="false" ht="15" hidden="false" customHeight="false" outlineLevel="0" collapsed="false">
      <c r="A115" s="12" t="s">
        <v>121</v>
      </c>
      <c r="B115" s="47" t="n">
        <v>0.870000000014058</v>
      </c>
      <c r="C115" s="47" t="n">
        <v>0.519999999968511</v>
      </c>
      <c r="D115" s="47" t="n">
        <v>0.819230769249463</v>
      </c>
      <c r="E115" s="48" t="n">
        <f aca="false">(B115*C115)</f>
        <v>0.452399999979915</v>
      </c>
      <c r="F115" s="48" t="n">
        <f aca="false">(B115*C115*D115)</f>
        <v>0.370619999992003</v>
      </c>
      <c r="G115" s="7" t="n">
        <v>0</v>
      </c>
      <c r="H115" s="49" t="n">
        <v>1</v>
      </c>
      <c r="I115" s="7" t="n">
        <v>0</v>
      </c>
    </row>
    <row r="116" customFormat="false" ht="15" hidden="false" customHeight="false" outlineLevel="0" collapsed="false">
      <c r="A116" s="12" t="s">
        <v>122</v>
      </c>
      <c r="B116" s="47" t="n">
        <v>0.6</v>
      </c>
      <c r="C116" s="47" t="n">
        <v>1</v>
      </c>
      <c r="D116" s="47" t="n">
        <v>0.93</v>
      </c>
      <c r="E116" s="48" t="n">
        <f aca="false">(B116*C116)</f>
        <v>0.6</v>
      </c>
      <c r="F116" s="48" t="n">
        <f aca="false">(B116*C116*D116)</f>
        <v>0.558</v>
      </c>
      <c r="G116" s="7" t="n">
        <v>1</v>
      </c>
      <c r="H116" s="7" t="n">
        <v>1</v>
      </c>
      <c r="I116" s="7" t="n">
        <v>1</v>
      </c>
    </row>
    <row r="117" customFormat="false" ht="15" hidden="false" customHeight="false" outlineLevel="0" collapsed="false">
      <c r="A117" s="12" t="s">
        <v>123</v>
      </c>
      <c r="B117" s="47" t="n">
        <v>0.6</v>
      </c>
      <c r="C117" s="47" t="n">
        <v>0.448489583333333</v>
      </c>
      <c r="D117" s="47" t="n">
        <v>0.88</v>
      </c>
      <c r="E117" s="48" t="n">
        <f aca="false">(B117*C117)</f>
        <v>0.26909375</v>
      </c>
      <c r="F117" s="48" t="n">
        <f aca="false">(B117*C117*D117)</f>
        <v>0.2368025</v>
      </c>
      <c r="G117" s="7" t="n">
        <v>0</v>
      </c>
      <c r="H117" s="7" t="n">
        <v>0</v>
      </c>
      <c r="I117" s="7" t="n">
        <v>0</v>
      </c>
    </row>
    <row r="118" customFormat="false" ht="15" hidden="false" customHeight="false" outlineLevel="0" collapsed="false">
      <c r="A118" s="12" t="s">
        <v>124</v>
      </c>
      <c r="B118" s="47" t="n">
        <v>0.580000000025518</v>
      </c>
      <c r="C118" s="47" t="n">
        <v>0.974655172416448</v>
      </c>
      <c r="D118" s="47" t="n">
        <v>0.950000000005374</v>
      </c>
      <c r="E118" s="48" t="n">
        <f aca="false">(B118*C118)</f>
        <v>0.565300000026411</v>
      </c>
      <c r="F118" s="48" t="n">
        <f aca="false">(B118*C118*D118)</f>
        <v>0.537035000028128</v>
      </c>
      <c r="G118" s="7" t="n">
        <v>1</v>
      </c>
      <c r="H118" s="7" t="n">
        <v>1</v>
      </c>
      <c r="I118" s="7" t="n">
        <v>1</v>
      </c>
    </row>
    <row r="119" customFormat="false" ht="15" hidden="false" customHeight="false" outlineLevel="0" collapsed="false">
      <c r="A119" s="12" t="s">
        <v>125</v>
      </c>
      <c r="B119" s="47" t="n">
        <v>0.800000000031254</v>
      </c>
      <c r="C119" s="47" t="n">
        <v>0.50753999990086</v>
      </c>
      <c r="D119" s="47" t="n">
        <v>0.710000000015395</v>
      </c>
      <c r="E119" s="48" t="n">
        <f aca="false">(B119*C119)</f>
        <v>0.40603199993655</v>
      </c>
      <c r="F119" s="48" t="n">
        <f aca="false">(B119*C119*D119)</f>
        <v>0.288282719961201</v>
      </c>
      <c r="G119" s="7" t="n">
        <v>0</v>
      </c>
      <c r="H119" s="7" t="n">
        <v>0</v>
      </c>
      <c r="I119" s="7" t="n">
        <v>0</v>
      </c>
    </row>
    <row r="120" customFormat="false" ht="15" hidden="false" customHeight="false" outlineLevel="0" collapsed="false">
      <c r="A120" s="12" t="s">
        <v>126</v>
      </c>
      <c r="B120" s="47" t="n">
        <v>0.13999999999975</v>
      </c>
      <c r="C120" s="47" t="n">
        <v>0.986201298697576</v>
      </c>
      <c r="D120" s="47" t="n">
        <v>0.769999999985185</v>
      </c>
      <c r="E120" s="48" t="n">
        <f aca="false">(B120*C120)</f>
        <v>0.138068181817414</v>
      </c>
      <c r="F120" s="48" t="n">
        <f aca="false">(B120*C120*D120)</f>
        <v>0.106312499997363</v>
      </c>
      <c r="G120" s="7" t="n">
        <v>1</v>
      </c>
      <c r="H120" s="7" t="n">
        <v>1</v>
      </c>
      <c r="I120" s="7" t="n">
        <v>1</v>
      </c>
    </row>
    <row r="121" customFormat="false" ht="15" hidden="false" customHeight="false" outlineLevel="0" collapsed="false">
      <c r="A121" s="12" t="s">
        <v>127</v>
      </c>
      <c r="B121" s="47" t="n">
        <v>0.73</v>
      </c>
      <c r="C121" s="47" t="n">
        <v>0.863013698630137</v>
      </c>
      <c r="D121" s="47" t="n">
        <v>0.93</v>
      </c>
      <c r="E121" s="48" t="n">
        <f aca="false">(B121*C121)</f>
        <v>0.63</v>
      </c>
      <c r="F121" s="48" t="n">
        <f aca="false">(B121*C121*D121)</f>
        <v>0.5859</v>
      </c>
      <c r="G121" s="7" t="n">
        <v>1</v>
      </c>
      <c r="H121" s="7" t="n">
        <v>1</v>
      </c>
      <c r="I121" s="7" t="n">
        <v>1</v>
      </c>
    </row>
    <row r="122" customFormat="false" ht="15" hidden="false" customHeight="false" outlineLevel="0" collapsed="false">
      <c r="A122" s="12" t="s">
        <v>128</v>
      </c>
      <c r="B122" s="47" t="n">
        <v>0.64</v>
      </c>
      <c r="C122" s="47" t="n">
        <v>0.96875</v>
      </c>
      <c r="D122" s="47" t="n">
        <v>0.84</v>
      </c>
      <c r="E122" s="48" t="n">
        <f aca="false">(B122*C122)</f>
        <v>0.62</v>
      </c>
      <c r="F122" s="48" t="n">
        <f aca="false">(B122*C122*D122)</f>
        <v>0.5208</v>
      </c>
      <c r="G122" s="7" t="n">
        <v>1</v>
      </c>
      <c r="H122" s="7" t="n">
        <v>1</v>
      </c>
      <c r="I122" s="7" t="n">
        <v>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86"/>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84" activeCellId="0" sqref="A84"/>
    </sheetView>
  </sheetViews>
  <sheetFormatPr defaultRowHeight="15"/>
  <cols>
    <col collapsed="false" hidden="false" max="1025" min="1" style="0" width="8.50510204081633"/>
  </cols>
  <sheetData>
    <row r="1" customFormat="false" ht="15" hidden="false" customHeight="false" outlineLevel="0" collapsed="false">
      <c r="A1" s="7" t="s">
        <v>214</v>
      </c>
      <c r="B1" s="51" t="s">
        <v>238</v>
      </c>
      <c r="C1" s="51" t="s">
        <v>239</v>
      </c>
      <c r="D1" s="51" t="s">
        <v>240</v>
      </c>
    </row>
    <row r="2" customFormat="false" ht="15" hidden="false" customHeight="false" outlineLevel="0" collapsed="false">
      <c r="A2" s="7" t="s">
        <v>0</v>
      </c>
      <c r="B2" s="52" t="n">
        <v>0.3015873016</v>
      </c>
      <c r="C2" s="52" t="n">
        <v>0.1478947368</v>
      </c>
      <c r="D2" s="53" t="n">
        <v>0.962</v>
      </c>
    </row>
    <row r="3" customFormat="false" ht="15" hidden="false" customHeight="false" outlineLevel="0" collapsed="false">
      <c r="A3" s="7" t="s">
        <v>3</v>
      </c>
      <c r="B3" s="52" t="n">
        <v>0.6416666667</v>
      </c>
      <c r="C3" s="52" t="n">
        <v>0.775987013</v>
      </c>
      <c r="D3" s="53" t="n">
        <v>0.66</v>
      </c>
    </row>
    <row r="4" customFormat="false" ht="15" hidden="false" customHeight="false" outlineLevel="0" collapsed="false">
      <c r="A4" s="7" t="s">
        <v>4</v>
      </c>
      <c r="B4" s="32"/>
      <c r="C4" s="53" t="n">
        <v>0.44</v>
      </c>
      <c r="D4" s="52" t="n">
        <v>0.86</v>
      </c>
    </row>
    <row r="5" customFormat="false" ht="15" hidden="false" customHeight="false" outlineLevel="0" collapsed="false">
      <c r="A5" s="7" t="s">
        <v>5</v>
      </c>
      <c r="B5" s="52" t="n">
        <v>0.834718</v>
      </c>
      <c r="C5" s="53" t="n">
        <v>0.7662337662</v>
      </c>
      <c r="D5" s="53" t="n">
        <v>0.9378531073</v>
      </c>
    </row>
    <row r="6" customFormat="false" ht="15" hidden="false" customHeight="false" outlineLevel="0" collapsed="false">
      <c r="A6" s="7" t="s">
        <v>8</v>
      </c>
      <c r="B6" s="53" t="n">
        <v>0.437085</v>
      </c>
      <c r="C6" s="53" t="n">
        <v>0.594849</v>
      </c>
      <c r="D6" s="52" t="n">
        <v>0.59</v>
      </c>
    </row>
    <row r="7" customFormat="false" ht="15" hidden="false" customHeight="false" outlineLevel="0" collapsed="false">
      <c r="A7" s="7" t="s">
        <v>9</v>
      </c>
      <c r="B7" s="52" t="n">
        <v>0.3604651163</v>
      </c>
      <c r="C7" s="52" t="n">
        <v>0.4151612903</v>
      </c>
      <c r="D7" s="52" t="n">
        <v>0.87</v>
      </c>
    </row>
    <row r="8" customFormat="false" ht="15" hidden="false" customHeight="false" outlineLevel="0" collapsed="false">
      <c r="A8" s="7" t="s">
        <v>12</v>
      </c>
      <c r="B8" s="53" t="n">
        <v>0.8</v>
      </c>
      <c r="C8" s="53" t="n">
        <v>0.744882</v>
      </c>
      <c r="D8" s="52" t="n">
        <v>0.91</v>
      </c>
    </row>
    <row r="9" customFormat="false" ht="15" hidden="false" customHeight="false" outlineLevel="0" collapsed="false">
      <c r="A9" s="7" t="s">
        <v>13</v>
      </c>
      <c r="B9" s="53" t="n">
        <v>0.48</v>
      </c>
      <c r="C9" s="54" t="n">
        <v>1.2003205128</v>
      </c>
      <c r="D9" s="52" t="n">
        <v>0.48</v>
      </c>
    </row>
    <row r="10" customFormat="false" ht="15" hidden="false" customHeight="false" outlineLevel="0" collapsed="false">
      <c r="A10" s="7" t="s">
        <v>14</v>
      </c>
      <c r="B10" s="52" t="n">
        <v>0.6398428571</v>
      </c>
      <c r="C10" s="52" t="n">
        <v>0.6441313715</v>
      </c>
      <c r="D10" s="52" t="n">
        <v>0.93</v>
      </c>
    </row>
    <row r="11" customFormat="false" ht="15" hidden="false" customHeight="false" outlineLevel="0" collapsed="false">
      <c r="A11" s="7" t="s">
        <v>15</v>
      </c>
      <c r="B11" s="53" t="n">
        <v>0.403</v>
      </c>
      <c r="C11" s="53" t="n">
        <v>0.389578</v>
      </c>
      <c r="D11" s="52" t="n">
        <v>0.87</v>
      </c>
    </row>
    <row r="12" customFormat="false" ht="15" hidden="false" customHeight="false" outlineLevel="0" collapsed="false">
      <c r="A12" s="7" t="s">
        <v>17</v>
      </c>
      <c r="B12" s="55" t="n">
        <v>0.749</v>
      </c>
      <c r="C12" s="55" t="n">
        <v>0.6082</v>
      </c>
      <c r="D12" s="55" t="n">
        <v>0.977</v>
      </c>
    </row>
    <row r="13" customFormat="false" ht="15" hidden="false" customHeight="false" outlineLevel="0" collapsed="false">
      <c r="A13" s="7" t="s">
        <v>18</v>
      </c>
      <c r="B13" s="52" t="n">
        <v>0.8</v>
      </c>
      <c r="C13" s="52" t="n">
        <v>0.6</v>
      </c>
      <c r="D13" s="56" t="n">
        <v>0.74</v>
      </c>
    </row>
    <row r="14" customFormat="false" ht="15" hidden="false" customHeight="false" outlineLevel="0" collapsed="false">
      <c r="A14" s="7" t="s">
        <v>20</v>
      </c>
      <c r="B14" s="53" t="n">
        <v>0.41</v>
      </c>
      <c r="C14" s="57" t="n">
        <v>1.2415253109</v>
      </c>
      <c r="D14" s="52" t="n">
        <v>0.79</v>
      </c>
    </row>
    <row r="15" customFormat="false" ht="15" hidden="false" customHeight="false" outlineLevel="0" collapsed="false">
      <c r="A15" s="7" t="s">
        <v>21</v>
      </c>
      <c r="B15" s="52" t="n">
        <v>0.5977571429</v>
      </c>
      <c r="C15" s="52" t="n">
        <v>0.8815811486</v>
      </c>
      <c r="D15" s="52" t="n">
        <v>0.91</v>
      </c>
    </row>
    <row r="16" customFormat="false" ht="15" hidden="false" customHeight="false" outlineLevel="0" collapsed="false">
      <c r="A16" s="7" t="s">
        <v>22</v>
      </c>
      <c r="B16" s="52" t="n">
        <v>0.8401594203</v>
      </c>
      <c r="C16" s="52" t="n">
        <v>0.9126459782</v>
      </c>
      <c r="D16" s="56" t="n">
        <v>0.76</v>
      </c>
    </row>
    <row r="17" customFormat="false" ht="15" hidden="false" customHeight="false" outlineLevel="0" collapsed="false">
      <c r="A17" s="7" t="s">
        <v>23</v>
      </c>
      <c r="B17" s="52" t="n">
        <v>0.5438866667</v>
      </c>
      <c r="C17" s="52" t="n">
        <v>0.4444492112</v>
      </c>
      <c r="D17" s="52" t="n">
        <v>0.81</v>
      </c>
    </row>
    <row r="18" customFormat="false" ht="15" hidden="false" customHeight="false" outlineLevel="0" collapsed="false">
      <c r="A18" s="7" t="s">
        <v>24</v>
      </c>
      <c r="B18" s="53" t="n">
        <v>0.787814</v>
      </c>
      <c r="C18" s="53" t="n">
        <v>0.634667115</v>
      </c>
      <c r="D18" s="53" t="n">
        <v>0.7</v>
      </c>
    </row>
    <row r="19" customFormat="false" ht="15" hidden="false" customHeight="false" outlineLevel="0" collapsed="false">
      <c r="A19" s="7" t="s">
        <v>27</v>
      </c>
      <c r="B19" s="52" t="n">
        <v>0.4315789474</v>
      </c>
      <c r="C19" s="56" t="n">
        <v>0.594597561</v>
      </c>
      <c r="D19" s="52" t="n">
        <v>0.91</v>
      </c>
    </row>
    <row r="20" customFormat="false" ht="15" hidden="false" customHeight="false" outlineLevel="0" collapsed="false">
      <c r="A20" s="7" t="s">
        <v>29</v>
      </c>
      <c r="B20" s="53" t="n">
        <v>0.618148</v>
      </c>
      <c r="C20" s="52" t="n">
        <v>0.5898901538</v>
      </c>
      <c r="D20" s="56" t="n">
        <v>0.84</v>
      </c>
    </row>
    <row r="21" customFormat="false" ht="15" hidden="false" customHeight="false" outlineLevel="0" collapsed="false">
      <c r="A21" s="7" t="s">
        <v>31</v>
      </c>
      <c r="B21" s="52" t="n">
        <v>0.2514714286</v>
      </c>
      <c r="C21" s="56" t="n">
        <v>0.7792421746</v>
      </c>
      <c r="D21" s="52" t="n">
        <v>0.69</v>
      </c>
    </row>
    <row r="22" customFormat="false" ht="15" hidden="false" customHeight="false" outlineLevel="0" collapsed="false">
      <c r="A22" s="7" t="s">
        <v>34</v>
      </c>
      <c r="B22" s="54" t="n">
        <v>0.1663833333</v>
      </c>
      <c r="C22" s="54" t="n">
        <v>2.0135659192</v>
      </c>
      <c r="D22" s="54" t="n">
        <v>0.7</v>
      </c>
    </row>
    <row r="23" customFormat="false" ht="15" hidden="false" customHeight="false" outlineLevel="0" collapsed="false">
      <c r="A23" s="7" t="s">
        <v>35</v>
      </c>
      <c r="B23" s="52" t="n">
        <v>0.2601410256</v>
      </c>
      <c r="C23" s="58" t="n">
        <v>0.9987087871</v>
      </c>
      <c r="D23" s="52" t="n">
        <v>0.78</v>
      </c>
    </row>
    <row r="24" customFormat="false" ht="15" hidden="false" customHeight="false" outlineLevel="0" collapsed="false">
      <c r="A24" s="7" t="s">
        <v>36</v>
      </c>
      <c r="B24" s="56" t="n">
        <v>0.9208333333</v>
      </c>
      <c r="C24" s="52" t="n">
        <v>0.7294</v>
      </c>
      <c r="D24" s="53" t="n">
        <v>0.951612</v>
      </c>
    </row>
    <row r="25" customFormat="false" ht="15" hidden="false" customHeight="false" outlineLevel="0" collapsed="false">
      <c r="A25" s="7" t="s">
        <v>40</v>
      </c>
      <c r="B25" s="52" t="n">
        <v>0.5384883721</v>
      </c>
      <c r="C25" s="52" t="n">
        <v>0.3703303822</v>
      </c>
      <c r="D25" s="52" t="n">
        <v>0.79</v>
      </c>
    </row>
    <row r="26" customFormat="false" ht="15" hidden="false" customHeight="false" outlineLevel="0" collapsed="false">
      <c r="A26" s="7" t="s">
        <v>44</v>
      </c>
      <c r="B26" s="53" t="n">
        <v>0.87</v>
      </c>
      <c r="C26" s="53" t="n">
        <v>0.33</v>
      </c>
      <c r="D26" s="53" t="n">
        <v>0.655172</v>
      </c>
    </row>
    <row r="27" customFormat="false" ht="15" hidden="false" customHeight="false" outlineLevel="0" collapsed="false">
      <c r="A27" s="7" t="s">
        <v>45</v>
      </c>
      <c r="B27" s="52" t="n">
        <v>0.8306564516</v>
      </c>
      <c r="C27" s="52" t="n">
        <v>0.7029826779</v>
      </c>
      <c r="D27" s="52" t="n">
        <v>0.86</v>
      </c>
    </row>
    <row r="28" customFormat="false" ht="15" hidden="false" customHeight="false" outlineLevel="0" collapsed="false">
      <c r="A28" s="7" t="s">
        <v>46</v>
      </c>
      <c r="B28" s="53" t="n">
        <v>0.81</v>
      </c>
      <c r="C28" s="53" t="n">
        <v>0.8272</v>
      </c>
      <c r="D28" s="53" t="n">
        <v>0.776119</v>
      </c>
    </row>
    <row r="29" customFormat="false" ht="15" hidden="false" customHeight="false" outlineLevel="0" collapsed="false">
      <c r="A29" s="7" t="s">
        <v>47</v>
      </c>
      <c r="B29" s="56" t="n">
        <v>0.5727954545</v>
      </c>
      <c r="C29" s="56" t="n">
        <v>0.8633496012</v>
      </c>
      <c r="D29" s="52" t="n">
        <v>0.65</v>
      </c>
    </row>
    <row r="30" customFormat="false" ht="15" hidden="false" customHeight="false" outlineLevel="0" collapsed="false">
      <c r="A30" s="7" t="s">
        <v>48</v>
      </c>
      <c r="B30" s="52" t="n">
        <v>0.2943333333</v>
      </c>
      <c r="C30" s="52" t="n">
        <v>0.865609664</v>
      </c>
      <c r="D30" s="52" t="n">
        <v>0.84</v>
      </c>
    </row>
    <row r="31" customFormat="false" ht="15" hidden="false" customHeight="false" outlineLevel="0" collapsed="false">
      <c r="A31" s="7" t="s">
        <v>49</v>
      </c>
      <c r="B31" s="52" t="n">
        <v>0.528</v>
      </c>
      <c r="C31" s="52" t="n">
        <v>0.7403846154</v>
      </c>
      <c r="D31" s="56" t="n">
        <v>0.87</v>
      </c>
    </row>
    <row r="32" customFormat="false" ht="15" hidden="false" customHeight="false" outlineLevel="0" collapsed="false">
      <c r="A32" s="7" t="s">
        <v>50</v>
      </c>
      <c r="B32" s="56" t="n">
        <v>0.3945913043</v>
      </c>
      <c r="C32" s="52" t="n">
        <v>0.9223852968</v>
      </c>
      <c r="D32" s="56" t="n">
        <v>0.92</v>
      </c>
    </row>
    <row r="33" customFormat="false" ht="15" hidden="false" customHeight="false" outlineLevel="0" collapsed="false">
      <c r="A33" s="7" t="s">
        <v>213</v>
      </c>
      <c r="B33" s="52" t="n">
        <v>0.5772594752</v>
      </c>
      <c r="C33" s="52" t="n">
        <v>0.7503838384</v>
      </c>
      <c r="D33" s="53" t="n">
        <v>0.7807452078</v>
      </c>
    </row>
    <row r="34" customFormat="false" ht="15" hidden="false" customHeight="false" outlineLevel="0" collapsed="false">
      <c r="A34" s="7" t="s">
        <v>53</v>
      </c>
      <c r="B34" s="53" t="n">
        <v>0.187</v>
      </c>
      <c r="C34" s="53" t="n">
        <v>0.272</v>
      </c>
      <c r="D34" s="52" t="n">
        <v>0.89</v>
      </c>
    </row>
    <row r="35" customFormat="false" ht="15" hidden="false" customHeight="false" outlineLevel="0" collapsed="false">
      <c r="A35" s="7" t="s">
        <v>54</v>
      </c>
      <c r="B35" s="52" t="n">
        <v>0.5420430108</v>
      </c>
      <c r="C35" s="52" t="n">
        <v>0.8520134894</v>
      </c>
      <c r="D35" s="52" t="n">
        <v>0.81</v>
      </c>
    </row>
    <row r="36" customFormat="false" ht="15" hidden="false" customHeight="false" outlineLevel="0" collapsed="false">
      <c r="A36" s="7" t="s">
        <v>57</v>
      </c>
      <c r="B36" s="53" t="n">
        <v>0.9523809524</v>
      </c>
      <c r="C36" s="52" t="n">
        <v>0.4153535</v>
      </c>
      <c r="D36" s="56" t="n">
        <v>0.74</v>
      </c>
    </row>
    <row r="37" customFormat="false" ht="15" hidden="false" customHeight="false" outlineLevel="0" collapsed="false">
      <c r="A37" s="7" t="s">
        <v>58</v>
      </c>
      <c r="B37" s="56" t="n">
        <v>0.166809375</v>
      </c>
      <c r="C37" s="52" t="n">
        <v>0.4690233987</v>
      </c>
      <c r="D37" s="52" t="n">
        <v>0.71</v>
      </c>
    </row>
    <row r="38" customFormat="false" ht="15" hidden="false" customHeight="false" outlineLevel="0" collapsed="false">
      <c r="A38" s="7" t="s">
        <v>59</v>
      </c>
      <c r="B38" s="52" t="n">
        <v>0.3808219178</v>
      </c>
      <c r="C38" s="52" t="n">
        <v>0.2008992806</v>
      </c>
      <c r="D38" s="52" t="n">
        <v>0.85</v>
      </c>
    </row>
    <row r="39" customFormat="false" ht="15" hidden="false" customHeight="false" outlineLevel="0" collapsed="false">
      <c r="A39" s="7" t="s">
        <v>63</v>
      </c>
      <c r="B39" s="53" t="n">
        <v>0.3453038674</v>
      </c>
      <c r="C39" s="53" t="n">
        <v>0.724</v>
      </c>
      <c r="D39" s="52" t="n">
        <v>0.78</v>
      </c>
    </row>
    <row r="40" customFormat="false" ht="15" hidden="false" customHeight="false" outlineLevel="0" collapsed="false">
      <c r="A40" s="7" t="s">
        <v>64</v>
      </c>
      <c r="B40" s="52" t="n">
        <v>0.7300716667</v>
      </c>
      <c r="C40" s="52" t="n">
        <v>0.8620455069</v>
      </c>
      <c r="D40" s="52" t="n">
        <v>0.8</v>
      </c>
    </row>
    <row r="41" customFormat="false" ht="15" hidden="false" customHeight="false" outlineLevel="0" collapsed="false">
      <c r="A41" s="7" t="s">
        <v>66</v>
      </c>
      <c r="B41" s="52" t="n">
        <v>0.72</v>
      </c>
      <c r="C41" s="52" t="n">
        <v>0.4633333333</v>
      </c>
      <c r="D41" s="52" t="n">
        <v>0.85</v>
      </c>
    </row>
    <row r="42" customFormat="false" ht="15" hidden="false" customHeight="false" outlineLevel="0" collapsed="false">
      <c r="A42" s="7" t="s">
        <v>68</v>
      </c>
      <c r="B42" s="52" t="n">
        <v>0.5572</v>
      </c>
      <c r="C42" s="52" t="n">
        <v>0.6659607562</v>
      </c>
      <c r="D42" s="52" t="n">
        <v>0.72</v>
      </c>
    </row>
    <row r="43" customFormat="false" ht="15" hidden="false" customHeight="false" outlineLevel="0" collapsed="false">
      <c r="A43" s="7" t="s">
        <v>69</v>
      </c>
      <c r="B43" s="52" t="n">
        <v>0.5204137931</v>
      </c>
      <c r="C43" s="52" t="n">
        <v>0.4578584681</v>
      </c>
      <c r="D43" s="52" t="n">
        <v>0.74</v>
      </c>
    </row>
    <row r="44" customFormat="false" ht="15" hidden="false" customHeight="false" outlineLevel="0" collapsed="false">
      <c r="A44" s="7" t="s">
        <v>71</v>
      </c>
      <c r="B44" s="52" t="n">
        <v>0.6728311828</v>
      </c>
      <c r="C44" s="52" t="n">
        <v>0.8574375972</v>
      </c>
      <c r="D44" s="52" t="n">
        <v>0.77</v>
      </c>
    </row>
    <row r="45" customFormat="false" ht="15" hidden="false" customHeight="false" outlineLevel="0" collapsed="false">
      <c r="A45" s="7" t="s">
        <v>72</v>
      </c>
      <c r="B45" s="52" t="n">
        <v>0.881</v>
      </c>
      <c r="C45" s="52" t="n">
        <v>0.2457888763</v>
      </c>
      <c r="D45" s="52" t="n">
        <v>0.89</v>
      </c>
    </row>
    <row r="46" customFormat="false" ht="15" hidden="false" customHeight="false" outlineLevel="0" collapsed="false">
      <c r="A46" s="7" t="s">
        <v>73</v>
      </c>
      <c r="B46" s="59" t="n">
        <v>0.162</v>
      </c>
      <c r="C46" s="32"/>
      <c r="D46" s="52" t="n">
        <v>0.72</v>
      </c>
    </row>
    <row r="47" customFormat="false" ht="15" hidden="false" customHeight="false" outlineLevel="0" collapsed="false">
      <c r="A47" s="7" t="s">
        <v>74</v>
      </c>
      <c r="B47" s="53" t="n">
        <v>0.454</v>
      </c>
      <c r="C47" s="53" t="n">
        <v>0.3560415356</v>
      </c>
      <c r="D47" s="52" t="n">
        <v>0.76</v>
      </c>
    </row>
    <row r="48" customFormat="false" ht="15" hidden="false" customHeight="false" outlineLevel="0" collapsed="false">
      <c r="A48" s="7" t="s">
        <v>75</v>
      </c>
      <c r="B48" s="52" t="n">
        <v>0.4612345679</v>
      </c>
      <c r="C48" s="52" t="n">
        <v>0.6298179872</v>
      </c>
      <c r="D48" s="52" t="n">
        <v>0.82</v>
      </c>
    </row>
    <row r="49" customFormat="false" ht="15" hidden="false" customHeight="false" outlineLevel="0" collapsed="false">
      <c r="A49" s="7" t="s">
        <v>76</v>
      </c>
      <c r="B49" s="52" t="n">
        <v>0.5133736842</v>
      </c>
      <c r="C49" s="56" t="n">
        <v>0.9985749582</v>
      </c>
      <c r="D49" s="52" t="n">
        <v>0.83</v>
      </c>
    </row>
    <row r="50" customFormat="false" ht="15" hidden="false" customHeight="false" outlineLevel="0" collapsed="false">
      <c r="A50" s="7" t="s">
        <v>77</v>
      </c>
      <c r="B50" s="53" t="n">
        <v>0.234455</v>
      </c>
      <c r="C50" s="53" t="n">
        <v>0.695226</v>
      </c>
      <c r="D50" s="52" t="n">
        <v>0.85</v>
      </c>
    </row>
    <row r="51" customFormat="false" ht="15" hidden="false" customHeight="false" outlineLevel="0" collapsed="false">
      <c r="A51" s="7" t="s">
        <v>78</v>
      </c>
      <c r="B51" s="52" t="n">
        <v>0.144</v>
      </c>
      <c r="C51" s="54" t="n">
        <v>1.808531746</v>
      </c>
      <c r="D51" s="52" t="n">
        <v>0.75</v>
      </c>
    </row>
    <row r="52" customFormat="false" ht="15" hidden="false" customHeight="false" outlineLevel="0" collapsed="false">
      <c r="A52" s="7" t="s">
        <v>79</v>
      </c>
      <c r="B52" s="53" t="n">
        <v>0.52724</v>
      </c>
      <c r="C52" s="60" t="n">
        <v>1.2258402246</v>
      </c>
      <c r="D52" s="52" t="n">
        <v>0.67</v>
      </c>
    </row>
    <row r="53" customFormat="false" ht="15" hidden="false" customHeight="false" outlineLevel="0" collapsed="false">
      <c r="A53" s="7" t="s">
        <v>80</v>
      </c>
      <c r="B53" s="52" t="n">
        <v>0.455</v>
      </c>
      <c r="C53" s="52" t="n">
        <v>0.851032967</v>
      </c>
      <c r="D53" s="52" t="n">
        <v>0.82</v>
      </c>
    </row>
    <row r="54" customFormat="false" ht="15" hidden="false" customHeight="false" outlineLevel="0" collapsed="false">
      <c r="A54" s="7" t="s">
        <v>81</v>
      </c>
      <c r="B54" s="52" t="n">
        <v>0.720084</v>
      </c>
      <c r="C54" s="52" t="n">
        <v>0.7317035235</v>
      </c>
      <c r="D54" s="52" t="n">
        <v>0.77</v>
      </c>
    </row>
    <row r="55" customFormat="false" ht="15" hidden="false" customHeight="false" outlineLevel="0" collapsed="false">
      <c r="A55" s="7" t="s">
        <v>82</v>
      </c>
      <c r="B55" s="52" t="n">
        <v>0.6983513514</v>
      </c>
      <c r="C55" s="52" t="n">
        <v>0.4027632648</v>
      </c>
      <c r="D55" s="52" t="n">
        <v>0.84</v>
      </c>
    </row>
    <row r="56" customFormat="false" ht="15" hidden="false" customHeight="false" outlineLevel="0" collapsed="false">
      <c r="A56" s="7" t="s">
        <v>83</v>
      </c>
      <c r="B56" s="53" t="n">
        <v>0.66</v>
      </c>
      <c r="C56" s="53" t="n">
        <v>0.8939</v>
      </c>
      <c r="D56" s="52" t="n">
        <v>0.89</v>
      </c>
    </row>
    <row r="57" customFormat="false" ht="15" hidden="false" customHeight="false" outlineLevel="0" collapsed="false">
      <c r="A57" s="7" t="s">
        <v>84</v>
      </c>
      <c r="B57" s="53" t="n">
        <v>0.85</v>
      </c>
      <c r="C57" s="53" t="n">
        <v>0.8</v>
      </c>
      <c r="D57" s="53" t="n">
        <v>0.984</v>
      </c>
    </row>
    <row r="58" customFormat="false" ht="15" hidden="false" customHeight="false" outlineLevel="0" collapsed="false">
      <c r="A58" s="7" t="s">
        <v>85</v>
      </c>
      <c r="B58" s="52" t="n">
        <v>0.8</v>
      </c>
      <c r="C58" s="52" t="n">
        <v>0.3782216495</v>
      </c>
      <c r="D58" s="56" t="n">
        <v>0.69</v>
      </c>
    </row>
    <row r="59" customFormat="false" ht="15" hidden="false" customHeight="false" outlineLevel="0" collapsed="false">
      <c r="A59" s="7" t="s">
        <v>86</v>
      </c>
      <c r="B59" s="53" t="n">
        <v>0.365</v>
      </c>
      <c r="C59" s="53" t="n">
        <v>0.7190825104</v>
      </c>
      <c r="D59" s="52" t="n">
        <v>0.73</v>
      </c>
    </row>
    <row r="60" customFormat="false" ht="15" hidden="false" customHeight="false" outlineLevel="0" collapsed="false">
      <c r="A60" s="7" t="s">
        <v>87</v>
      </c>
      <c r="B60" s="52" t="n">
        <v>0.4474416667</v>
      </c>
      <c r="C60" s="52" t="n">
        <v>0.5567817034</v>
      </c>
      <c r="D60" s="52" t="n">
        <v>0.81</v>
      </c>
    </row>
    <row r="61" customFormat="false" ht="15" hidden="false" customHeight="false" outlineLevel="0" collapsed="false">
      <c r="A61" s="7" t="s">
        <v>88</v>
      </c>
      <c r="B61" s="52" t="n">
        <v>0.1402173913</v>
      </c>
      <c r="C61" s="52" t="n">
        <v>0.3969767442</v>
      </c>
      <c r="D61" s="32"/>
    </row>
    <row r="62" customFormat="false" ht="15" hidden="false" customHeight="false" outlineLevel="0" collapsed="false">
      <c r="A62" s="7" t="s">
        <v>91</v>
      </c>
      <c r="B62" s="52" t="n">
        <v>0.77425</v>
      </c>
      <c r="C62" s="52" t="n">
        <v>0.3950597352</v>
      </c>
      <c r="D62" s="52" t="n">
        <v>0.85</v>
      </c>
    </row>
    <row r="63" customFormat="false" ht="15" hidden="false" customHeight="false" outlineLevel="0" collapsed="false">
      <c r="A63" s="7" t="s">
        <v>93</v>
      </c>
      <c r="B63" s="56" t="n">
        <v>0.72</v>
      </c>
      <c r="C63" s="52" t="n">
        <v>0.336547619</v>
      </c>
      <c r="D63" s="52" t="n">
        <v>0.88</v>
      </c>
    </row>
    <row r="64" customFormat="false" ht="15" hidden="false" customHeight="false" outlineLevel="0" collapsed="false">
      <c r="A64" s="7" t="s">
        <v>94</v>
      </c>
      <c r="B64" s="52" t="n">
        <v>0.243</v>
      </c>
      <c r="C64" s="52" t="n">
        <v>0.7542967804</v>
      </c>
      <c r="D64" s="52" t="n">
        <v>0.79</v>
      </c>
    </row>
    <row r="65" customFormat="false" ht="15" hidden="false" customHeight="false" outlineLevel="0" collapsed="false">
      <c r="A65" s="7" t="s">
        <v>96</v>
      </c>
      <c r="B65" s="56" t="n">
        <v>0.8094526316</v>
      </c>
      <c r="C65" s="52" t="n">
        <v>0.9288603085</v>
      </c>
      <c r="D65" s="52" t="n">
        <v>0.94</v>
      </c>
    </row>
    <row r="66" customFormat="false" ht="15" hidden="false" customHeight="false" outlineLevel="0" collapsed="false">
      <c r="A66" s="7" t="s">
        <v>97</v>
      </c>
      <c r="B66" s="53" t="n">
        <v>0.4287833828</v>
      </c>
      <c r="C66" s="53" t="n">
        <v>0.6920415225</v>
      </c>
      <c r="D66" s="52" t="n">
        <v>0.78</v>
      </c>
    </row>
    <row r="67" customFormat="false" ht="15" hidden="false" customHeight="false" outlineLevel="0" collapsed="false">
      <c r="A67" s="7" t="s">
        <v>98</v>
      </c>
      <c r="B67" s="53" t="n">
        <v>0.41</v>
      </c>
      <c r="C67" s="32"/>
      <c r="D67" s="52" t="n">
        <v>0.76</v>
      </c>
    </row>
    <row r="68" customFormat="false" ht="15" hidden="false" customHeight="false" outlineLevel="0" collapsed="false">
      <c r="A68" s="7" t="s">
        <v>99</v>
      </c>
      <c r="B68" s="52" t="n">
        <v>0.369525</v>
      </c>
      <c r="C68" s="54" t="n">
        <v>1.1286110547</v>
      </c>
      <c r="D68" s="52" t="n">
        <v>0.77</v>
      </c>
    </row>
    <row r="69" customFormat="false" ht="15" hidden="false" customHeight="false" outlineLevel="0" collapsed="false">
      <c r="A69" s="7" t="s">
        <v>241</v>
      </c>
      <c r="B69" s="32"/>
      <c r="C69" s="53" t="n">
        <v>0.650306</v>
      </c>
      <c r="D69" s="53" t="n">
        <v>0.95</v>
      </c>
    </row>
    <row r="70" customFormat="false" ht="15" hidden="false" customHeight="false" outlineLevel="0" collapsed="false">
      <c r="A70" s="7" t="s">
        <v>100</v>
      </c>
      <c r="B70" s="52" t="n">
        <v>0.18538</v>
      </c>
      <c r="C70" s="54" t="n">
        <v>1.1513647643</v>
      </c>
      <c r="D70" s="52" t="n">
        <v>0.71</v>
      </c>
    </row>
    <row r="71" customFormat="false" ht="15" hidden="false" customHeight="false" outlineLevel="0" collapsed="false">
      <c r="A71" s="7" t="s">
        <v>102</v>
      </c>
      <c r="B71" s="52" t="n">
        <v>0.6297633846</v>
      </c>
      <c r="C71" s="56" t="n">
        <v>0.7520700082</v>
      </c>
      <c r="D71" s="56" t="n">
        <v>0.42</v>
      </c>
    </row>
    <row r="72" customFormat="false" ht="15" hidden="false" customHeight="false" outlineLevel="0" collapsed="false">
      <c r="A72" s="7" t="s">
        <v>103</v>
      </c>
      <c r="B72" s="52" t="n">
        <v>0.1098294118</v>
      </c>
      <c r="C72" s="52" t="n">
        <v>0.6057522361</v>
      </c>
      <c r="D72" s="52" t="n">
        <v>0.75</v>
      </c>
    </row>
    <row r="73" customFormat="false" ht="15" hidden="false" customHeight="false" outlineLevel="0" collapsed="false">
      <c r="A73" s="7" t="s">
        <v>105</v>
      </c>
      <c r="B73" s="52" t="n">
        <v>0.53125</v>
      </c>
      <c r="C73" s="52" t="n">
        <v>0.3758823529</v>
      </c>
      <c r="D73" s="56" t="n">
        <v>0.91</v>
      </c>
    </row>
    <row r="74" customFormat="false" ht="15" hidden="false" customHeight="false" outlineLevel="0" collapsed="false">
      <c r="A74" s="7" t="s">
        <v>107</v>
      </c>
      <c r="B74" s="52" t="n">
        <v>0.8848648649</v>
      </c>
      <c r="C74" s="56" t="n">
        <v>0.5009163103</v>
      </c>
      <c r="D74" s="52" t="n">
        <v>0.74</v>
      </c>
    </row>
    <row r="75" customFormat="false" ht="15" hidden="false" customHeight="false" outlineLevel="0" collapsed="false">
      <c r="A75" s="7" t="s">
        <v>108</v>
      </c>
      <c r="B75" s="60" t="n">
        <v>0.387</v>
      </c>
      <c r="C75" s="60" t="n">
        <v>1.6204263566</v>
      </c>
      <c r="D75" s="52" t="n">
        <v>0.89</v>
      </c>
    </row>
    <row r="76" customFormat="false" ht="15" hidden="false" customHeight="false" outlineLevel="0" collapsed="false">
      <c r="A76" s="7" t="s">
        <v>112</v>
      </c>
      <c r="B76" s="52" t="n">
        <v>0.8136363636</v>
      </c>
      <c r="C76" s="52" t="n">
        <v>0.7588044693</v>
      </c>
      <c r="D76" s="52" t="n">
        <v>0.83</v>
      </c>
    </row>
    <row r="77" customFormat="false" ht="15" hidden="false" customHeight="false" outlineLevel="0" collapsed="false">
      <c r="A77" s="7" t="s">
        <v>113</v>
      </c>
      <c r="B77" s="53" t="n">
        <v>0.4375</v>
      </c>
      <c r="C77" s="53" t="n">
        <v>0.8522167488</v>
      </c>
      <c r="D77" s="52" t="n">
        <v>0.82</v>
      </c>
    </row>
    <row r="78" customFormat="false" ht="15" hidden="false" customHeight="false" outlineLevel="0" collapsed="false">
      <c r="A78" s="7" t="s">
        <v>114</v>
      </c>
      <c r="B78" s="54" t="n">
        <v>0.05366</v>
      </c>
      <c r="C78" s="54" t="n">
        <v>6.9904957138</v>
      </c>
      <c r="D78" s="54" t="n">
        <v>0.86</v>
      </c>
    </row>
    <row r="79" customFormat="false" ht="15" hidden="false" customHeight="false" outlineLevel="0" collapsed="false">
      <c r="A79" s="7" t="s">
        <v>117</v>
      </c>
      <c r="B79" s="52" t="n">
        <v>0.6904015385</v>
      </c>
      <c r="C79" s="52" t="n">
        <v>0.8348631008</v>
      </c>
      <c r="D79" s="52" t="n">
        <v>0.85</v>
      </c>
    </row>
    <row r="80" customFormat="false" ht="15" hidden="false" customHeight="false" outlineLevel="0" collapsed="false">
      <c r="A80" s="7" t="s">
        <v>118</v>
      </c>
      <c r="B80" s="53" t="n">
        <v>0.6</v>
      </c>
      <c r="C80" s="52" t="n">
        <v>0.4923929664</v>
      </c>
      <c r="D80" s="52" t="n">
        <v>0.85</v>
      </c>
    </row>
    <row r="81" customFormat="false" ht="15" hidden="false" customHeight="false" outlineLevel="0" collapsed="false">
      <c r="A81" s="7" t="s">
        <v>119</v>
      </c>
      <c r="B81" s="53" t="n">
        <v>0.757884</v>
      </c>
      <c r="C81" s="53" t="n">
        <v>0.9</v>
      </c>
      <c r="D81" s="52" t="n">
        <v>0.9</v>
      </c>
    </row>
    <row r="82" customFormat="false" ht="15" hidden="false" customHeight="false" outlineLevel="0" collapsed="false">
      <c r="A82" s="7" t="s">
        <v>242</v>
      </c>
      <c r="B82" s="60" t="n">
        <v>0.3754</v>
      </c>
      <c r="C82" s="32"/>
      <c r="D82" s="52" t="n">
        <v>0.71</v>
      </c>
    </row>
    <row r="83" customFormat="false" ht="15" hidden="false" customHeight="false" outlineLevel="0" collapsed="false">
      <c r="A83" s="7" t="s">
        <v>121</v>
      </c>
      <c r="B83" s="53" t="n">
        <v>0.86</v>
      </c>
      <c r="C83" s="53" t="n">
        <v>0.4302325581</v>
      </c>
      <c r="D83" s="53" t="n">
        <v>0.8108108108</v>
      </c>
    </row>
    <row r="84" customFormat="false" ht="15" hidden="false" customHeight="false" outlineLevel="0" collapsed="false">
      <c r="A84" s="7" t="s">
        <v>125</v>
      </c>
      <c r="B84" s="52" t="n">
        <v>0.9053541667</v>
      </c>
      <c r="C84" s="52" t="n">
        <v>0.4292150862</v>
      </c>
      <c r="D84" s="52" t="n">
        <v>0.88</v>
      </c>
    </row>
    <row r="85" customFormat="false" ht="15" hidden="false" customHeight="false" outlineLevel="0" collapsed="false">
      <c r="A85" s="7" t="s">
        <v>127</v>
      </c>
      <c r="B85" s="53" t="n">
        <v>0.817</v>
      </c>
      <c r="C85" s="53" t="n">
        <v>0.8064026928</v>
      </c>
      <c r="D85" s="52" t="n">
        <v>0.85</v>
      </c>
    </row>
    <row r="86" customFormat="false" ht="15" hidden="false" customHeight="false" outlineLevel="0" collapsed="false">
      <c r="A86" s="7" t="s">
        <v>128</v>
      </c>
      <c r="B86" s="54" t="n">
        <v>0.5203792857</v>
      </c>
      <c r="C86" s="54" t="n">
        <v>1.0816011947</v>
      </c>
      <c r="D86" s="54" t="n">
        <v>0.9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AG1" activePane="topRight" state="frozen"/>
      <selection pane="topLeft" activeCell="A1" activeCellId="0" sqref="A1"/>
      <selection pane="topRight" activeCell="BE1" activeCellId="0" sqref="BE1"/>
    </sheetView>
  </sheetViews>
  <sheetFormatPr defaultRowHeight="15"/>
  <cols>
    <col collapsed="false" hidden="false" max="1" min="1" style="0" width="18.765306122449"/>
    <col collapsed="false" hidden="false" max="6" min="2" style="0" width="8.50510204081633"/>
    <col collapsed="false" hidden="false" max="7" min="7" style="0" width="12.4183673469388"/>
    <col collapsed="false" hidden="false" max="58" min="8" style="0" width="8.36734693877551"/>
    <col collapsed="false" hidden="false" max="1025" min="59" style="0" width="8.50510204081633"/>
  </cols>
  <sheetData>
    <row r="1" customFormat="false" ht="15" hidden="false" customHeight="false" outlineLevel="0" collapsed="false">
      <c r="A1" s="1"/>
      <c r="B1" s="2" t="s">
        <v>0</v>
      </c>
      <c r="C1" s="61" t="s">
        <v>3</v>
      </c>
      <c r="D1" s="2" t="s">
        <v>5</v>
      </c>
      <c r="E1" s="2" t="s">
        <v>8</v>
      </c>
      <c r="F1" s="2" t="s">
        <v>9</v>
      </c>
      <c r="G1" s="2" t="s">
        <v>12</v>
      </c>
      <c r="H1" s="2" t="s">
        <v>14</v>
      </c>
      <c r="I1" s="2" t="s">
        <v>15</v>
      </c>
      <c r="J1" s="2" t="s">
        <v>21</v>
      </c>
      <c r="K1" s="2" t="s">
        <v>22</v>
      </c>
      <c r="L1" s="2" t="s">
        <v>23</v>
      </c>
      <c r="M1" s="2" t="s">
        <v>24</v>
      </c>
      <c r="N1" s="2" t="s">
        <v>27</v>
      </c>
      <c r="O1" s="2" t="s">
        <v>29</v>
      </c>
      <c r="P1" s="2" t="s">
        <v>35</v>
      </c>
      <c r="Q1" s="2" t="s">
        <v>34</v>
      </c>
      <c r="R1" s="2" t="s">
        <v>36</v>
      </c>
      <c r="S1" s="2" t="s">
        <v>40</v>
      </c>
      <c r="T1" s="2" t="s">
        <v>45</v>
      </c>
      <c r="U1" s="2" t="s">
        <v>46</v>
      </c>
      <c r="V1" s="62" t="s">
        <v>48</v>
      </c>
      <c r="W1" s="2" t="s">
        <v>49</v>
      </c>
      <c r="X1" s="2" t="s">
        <v>50</v>
      </c>
      <c r="Y1" s="61" t="s">
        <v>54</v>
      </c>
      <c r="Z1" s="2" t="s">
        <v>57</v>
      </c>
      <c r="AA1" s="2" t="s">
        <v>59</v>
      </c>
      <c r="AB1" s="2" t="s">
        <v>63</v>
      </c>
      <c r="AC1" s="2" t="s">
        <v>64</v>
      </c>
      <c r="AD1" s="2" t="s">
        <v>68</v>
      </c>
      <c r="AE1" s="2" t="s">
        <v>69</v>
      </c>
      <c r="AF1" s="2" t="s">
        <v>71</v>
      </c>
      <c r="AG1" s="2" t="s">
        <v>72</v>
      </c>
      <c r="AH1" s="2" t="s">
        <v>74</v>
      </c>
      <c r="AI1" s="2" t="s">
        <v>77</v>
      </c>
      <c r="AJ1" s="2" t="s">
        <v>78</v>
      </c>
      <c r="AK1" s="61" t="s">
        <v>80</v>
      </c>
      <c r="AL1" s="2" t="s">
        <v>81</v>
      </c>
      <c r="AM1" s="2" t="s">
        <v>82</v>
      </c>
      <c r="AN1" s="2" t="s">
        <v>83</v>
      </c>
      <c r="AO1" s="62" t="s">
        <v>84</v>
      </c>
      <c r="AP1" s="2" t="s">
        <v>85</v>
      </c>
      <c r="AQ1" s="2" t="s">
        <v>86</v>
      </c>
      <c r="AR1" s="2" t="s">
        <v>87</v>
      </c>
      <c r="AS1" s="2" t="s">
        <v>91</v>
      </c>
      <c r="AT1" s="2" t="s">
        <v>94</v>
      </c>
      <c r="AU1" s="2" t="s">
        <v>96</v>
      </c>
      <c r="AV1" s="2" t="s">
        <v>100</v>
      </c>
      <c r="AW1" s="2" t="s">
        <v>103</v>
      </c>
      <c r="AX1" s="2" t="s">
        <v>105</v>
      </c>
      <c r="AY1" s="2" t="s">
        <v>107</v>
      </c>
      <c r="AZ1" s="2" t="s">
        <v>112</v>
      </c>
      <c r="BA1" s="2" t="s">
        <v>117</v>
      </c>
      <c r="BB1" s="2" t="s">
        <v>118</v>
      </c>
      <c r="BC1" s="2" t="s">
        <v>119</v>
      </c>
      <c r="BD1" s="2" t="s">
        <v>121</v>
      </c>
      <c r="BE1" s="2" t="s">
        <v>125</v>
      </c>
      <c r="BF1" s="2" t="s">
        <v>127</v>
      </c>
    </row>
    <row r="2" customFormat="false" ht="15" hidden="false" customHeight="false" outlineLevel="0" collapsed="false">
      <c r="A2" s="1" t="s">
        <v>243</v>
      </c>
      <c r="B2" s="3" t="n">
        <v>633.5692</v>
      </c>
      <c r="C2" s="3" t="n">
        <v>12509.53</v>
      </c>
      <c r="D2" s="3" t="n">
        <v>61925.5</v>
      </c>
      <c r="E2" s="3" t="n">
        <v>22217.49</v>
      </c>
      <c r="F2" s="3" t="n">
        <v>1086.807</v>
      </c>
      <c r="G2" s="63" t="n">
        <v>47352.94</v>
      </c>
      <c r="H2" s="3" t="n">
        <v>903.4649</v>
      </c>
      <c r="I2" s="3" t="n">
        <v>2560.501</v>
      </c>
      <c r="J2" s="3" t="n">
        <v>286.0023</v>
      </c>
      <c r="K2" s="3" t="n">
        <v>1094.577</v>
      </c>
      <c r="L2" s="3" t="n">
        <v>1407.403</v>
      </c>
      <c r="M2" s="3" t="n">
        <v>50235.39</v>
      </c>
      <c r="N2" s="3" t="n">
        <v>1024.668</v>
      </c>
      <c r="O2" s="4" t="n">
        <v>7590.016</v>
      </c>
      <c r="P2" s="3" t="n">
        <v>3147.072</v>
      </c>
      <c r="Q2" s="3" t="n">
        <v>1545.942</v>
      </c>
      <c r="R2" s="3" t="n">
        <v>60707.25</v>
      </c>
      <c r="S2" s="3" t="n">
        <v>3198.695</v>
      </c>
      <c r="T2" s="3" t="n">
        <v>573.566</v>
      </c>
      <c r="U2" s="3" t="n">
        <v>42732.57</v>
      </c>
      <c r="V2" s="2" t="n">
        <v>487.7</v>
      </c>
      <c r="W2" s="3" t="n">
        <v>3669.981</v>
      </c>
      <c r="X2" s="3" t="n">
        <v>1441.636</v>
      </c>
      <c r="Y2" s="3" t="n">
        <v>4053.902</v>
      </c>
      <c r="Z2" s="4" t="n">
        <v>1581.511</v>
      </c>
      <c r="AA2" s="3" t="n">
        <v>5442.875</v>
      </c>
      <c r="AB2" s="3" t="n">
        <v>12601.7</v>
      </c>
      <c r="AC2" s="3" t="n">
        <v>1358.262</v>
      </c>
      <c r="AD2" s="3" t="n">
        <v>1034.185</v>
      </c>
      <c r="AE2" s="3" t="n">
        <v>457.8586</v>
      </c>
      <c r="AF2" s="3" t="n">
        <v>255.0446</v>
      </c>
      <c r="AG2" s="3" t="n">
        <v>11307.06</v>
      </c>
      <c r="AH2" s="3" t="n">
        <v>1274.977</v>
      </c>
      <c r="AI2" s="3" t="n">
        <v>4129.374</v>
      </c>
      <c r="AJ2" s="3" t="n">
        <v>3190.31</v>
      </c>
      <c r="AK2" s="3" t="n">
        <v>1203.845</v>
      </c>
      <c r="AL2" s="3" t="n">
        <v>5408.243</v>
      </c>
      <c r="AM2" s="3" t="n">
        <v>701.6801</v>
      </c>
      <c r="AN2" s="3" t="n">
        <v>52172.17</v>
      </c>
      <c r="AO2" s="64" t="n">
        <v>53277</v>
      </c>
      <c r="AP2" s="3" t="n">
        <v>1963.055</v>
      </c>
      <c r="AQ2" s="3" t="n">
        <v>427.3732</v>
      </c>
      <c r="AR2" s="3" t="n">
        <v>3203.297</v>
      </c>
      <c r="AS2" s="3" t="n">
        <v>4712.823</v>
      </c>
      <c r="AT2" s="3" t="n">
        <v>2238.9</v>
      </c>
      <c r="AU2" s="3" t="n">
        <v>695.6893</v>
      </c>
      <c r="AV2" s="3" t="n">
        <v>765.9592</v>
      </c>
      <c r="AW2" s="3" t="n">
        <v>1115.094</v>
      </c>
      <c r="AX2" s="3" t="n">
        <v>3819.158</v>
      </c>
      <c r="AY2" s="3" t="n">
        <v>9680.116</v>
      </c>
      <c r="AZ2" s="3" t="n">
        <v>5977.381</v>
      </c>
      <c r="BA2" s="3" t="n">
        <v>714.5673</v>
      </c>
      <c r="BB2" s="3" t="n">
        <v>3082.461</v>
      </c>
      <c r="BC2" s="3" t="n">
        <v>46331.98</v>
      </c>
      <c r="BD2" s="4" t="n">
        <v>54629.5</v>
      </c>
      <c r="BE2" s="3" t="n">
        <v>2052.294</v>
      </c>
      <c r="BF2" s="3" t="n">
        <v>1721.623</v>
      </c>
    </row>
    <row r="3" customFormat="false" ht="15" hidden="false" customHeight="false" outlineLevel="0" collapsed="false">
      <c r="A3" s="1" t="s">
        <v>244</v>
      </c>
      <c r="B3" s="3" t="n">
        <v>1932.892</v>
      </c>
      <c r="C3" s="2" t="n">
        <v>22400</v>
      </c>
      <c r="D3" s="3" t="n">
        <v>43929.86</v>
      </c>
      <c r="E3" s="3" t="n">
        <v>23491.13</v>
      </c>
      <c r="F3" s="3" t="n">
        <v>3122.744</v>
      </c>
      <c r="G3" s="3" t="n">
        <v>42578.23</v>
      </c>
      <c r="H3" s="3" t="n">
        <v>2030.168</v>
      </c>
      <c r="I3" s="3" t="n">
        <v>7815.664</v>
      </c>
      <c r="J3" s="3" t="n">
        <v>769.8822</v>
      </c>
      <c r="K3" s="3" t="n">
        <v>3262.64</v>
      </c>
      <c r="L3" s="3" t="n">
        <v>2972.223</v>
      </c>
      <c r="M3" s="3" t="n">
        <v>44057.24</v>
      </c>
      <c r="N3" s="3" t="n">
        <v>2182.044</v>
      </c>
      <c r="O3" s="3" t="n">
        <v>13206.38</v>
      </c>
      <c r="P3" s="3" t="n">
        <v>6276.751</v>
      </c>
      <c r="Q3" s="3" t="n">
        <v>3258.233</v>
      </c>
      <c r="R3" s="3" t="n">
        <v>44916.41</v>
      </c>
      <c r="S3" s="3" t="n">
        <v>10529.92</v>
      </c>
      <c r="T3" s="3" t="n">
        <v>1499.759</v>
      </c>
      <c r="U3" s="3" t="n">
        <v>38847.45</v>
      </c>
      <c r="V3" s="2" t="n">
        <v>1700</v>
      </c>
      <c r="W3" s="3" t="n">
        <v>7581.98</v>
      </c>
      <c r="X3" s="3" t="n">
        <v>4081.671</v>
      </c>
      <c r="Y3" s="2" t="n">
        <v>7200</v>
      </c>
      <c r="Z3" s="3" t="n">
        <v>5700.723</v>
      </c>
      <c r="AA3" s="3" t="n">
        <v>17302.56</v>
      </c>
      <c r="AB3" s="3" t="n">
        <v>24227.88</v>
      </c>
      <c r="AC3" s="3" t="n">
        <v>2954.077</v>
      </c>
      <c r="AD3" s="3" t="n">
        <v>2638.314</v>
      </c>
      <c r="AE3" s="3" t="n">
        <v>840.7037</v>
      </c>
      <c r="AF3" s="3" t="n">
        <v>821.6072</v>
      </c>
      <c r="AG3" s="3" t="n">
        <v>25638.59</v>
      </c>
      <c r="AH3" s="3" t="n">
        <v>3911.757</v>
      </c>
      <c r="AI3" s="3" t="n">
        <v>11945.66</v>
      </c>
      <c r="AJ3" s="3" t="n">
        <v>7490.688</v>
      </c>
      <c r="AK3" s="2" t="n">
        <v>4752</v>
      </c>
      <c r="AL3" s="3" t="n">
        <v>9955.523</v>
      </c>
      <c r="AM3" s="3" t="n">
        <v>2374.214</v>
      </c>
      <c r="AN3" s="3" t="n">
        <v>47662.52</v>
      </c>
      <c r="AO3" s="2" t="n">
        <v>36400</v>
      </c>
      <c r="AP3" s="3" t="n">
        <v>4918.271</v>
      </c>
      <c r="AQ3" s="3" t="n">
        <v>937.7439</v>
      </c>
      <c r="AR3" s="3" t="n">
        <v>5911.233</v>
      </c>
      <c r="AS3" s="3" t="n">
        <v>8911.355</v>
      </c>
      <c r="AT3" s="3" t="n">
        <v>4982.64</v>
      </c>
      <c r="AU3" s="3" t="n">
        <v>1660.554</v>
      </c>
      <c r="AV3" s="3" t="n">
        <v>1966.119</v>
      </c>
      <c r="AW3" s="3" t="n">
        <v>2018.876</v>
      </c>
      <c r="AX3" s="3" t="n">
        <v>11181.25</v>
      </c>
      <c r="AY3" s="3" t="n">
        <v>16637.58</v>
      </c>
      <c r="AZ3" s="3" t="n">
        <v>15735.07</v>
      </c>
      <c r="BA3" s="3" t="n">
        <v>1770.857</v>
      </c>
      <c r="BB3" s="3" t="n">
        <v>8665.486</v>
      </c>
      <c r="BC3" s="3" t="n">
        <v>39762.13</v>
      </c>
      <c r="BD3" s="3" t="n">
        <v>54629.5</v>
      </c>
      <c r="BE3" s="3" t="n">
        <v>5628.952</v>
      </c>
      <c r="BF3" s="3" t="n">
        <v>3904.025</v>
      </c>
    </row>
    <row r="4" customFormat="false" ht="15" hidden="false" customHeight="false" outlineLevel="0" collapsed="false">
      <c r="A4" s="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row>
    <row r="5" customFormat="false" ht="15" hidden="false" customHeight="false" outlineLevel="0" collapsed="false">
      <c r="A5" s="1"/>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row>
    <row r="6" customFormat="false" ht="15" hidden="false" customHeight="false" outlineLevel="0" collapsed="false">
      <c r="A6" s="1"/>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row>
    <row r="7" customFormat="false" ht="15" hidden="false" customHeight="false" outlineLevel="0" collapsed="false">
      <c r="A7" s="1"/>
      <c r="B7" s="6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row>
    <row r="8" customFormat="false" ht="15" hidden="false" customHeight="false" outlineLevel="0" collapsed="false">
      <c r="A8" s="7"/>
      <c r="B8" s="7"/>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customFormat="false" ht="15" hidden="false" customHeight="false" outlineLevel="0" collapsed="false">
      <c r="A9" s="6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customFormat="false" ht="15" hidden="false" customHeight="false" outlineLevel="0" collapsed="false">
      <c r="A10" s="66" t="s">
        <v>245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customFormat="false" ht="15" hidden="false" customHeight="false" outlineLevel="0" collapsed="false">
      <c r="A11" s="5" t="s">
        <v>246</v>
      </c>
      <c r="C11" s="5"/>
      <c r="D11" s="5"/>
      <c r="E11" s="5"/>
      <c r="F11" s="5"/>
      <c r="G11" s="5"/>
      <c r="H11" s="5"/>
      <c r="I11" s="5"/>
      <c r="J11" s="5"/>
      <c r="K11" s="5"/>
      <c r="L11" s="5"/>
      <c r="M11" s="5"/>
      <c r="N11" s="5"/>
      <c r="O11" s="5"/>
      <c r="P11" s="5"/>
      <c r="Q11" s="5"/>
      <c r="R11" s="5"/>
      <c r="S11" s="5"/>
      <c r="T11" s="5"/>
      <c r="U11" s="5"/>
      <c r="V11" s="66" t="s">
        <v>247</v>
      </c>
      <c r="W11" s="5"/>
      <c r="X11" s="5"/>
      <c r="Y11" s="5"/>
      <c r="Z11" s="5"/>
      <c r="AA11" s="5"/>
      <c r="AB11" s="5"/>
      <c r="AC11" s="5"/>
      <c r="AD11" s="5"/>
      <c r="AE11" s="5"/>
      <c r="AF11" s="5"/>
      <c r="AG11" s="5"/>
      <c r="AH11" s="5"/>
      <c r="AI11" s="5"/>
      <c r="AJ11" s="5"/>
      <c r="AK11" s="5"/>
      <c r="AL11" s="5"/>
      <c r="AM11" s="5"/>
      <c r="AN11" s="5"/>
      <c r="AO11" s="66" t="s">
        <v>247</v>
      </c>
      <c r="AP11" s="5"/>
      <c r="AQ11" s="5"/>
      <c r="AR11" s="5"/>
      <c r="AS11" s="5"/>
      <c r="AT11" s="5"/>
      <c r="AU11" s="5"/>
      <c r="AV11" s="5"/>
      <c r="AW11" s="5"/>
      <c r="AX11" s="5"/>
      <c r="AY11" s="5"/>
      <c r="AZ11" s="5"/>
      <c r="BA11" s="5"/>
      <c r="BB11" s="5"/>
      <c r="BC11" s="5"/>
      <c r="BD11" s="5"/>
      <c r="BE11" s="5"/>
      <c r="BF11" s="5"/>
    </row>
    <row r="12" customFormat="false" ht="15" hidden="false" customHeight="false" outlineLevel="0" collapsed="false">
      <c r="A12" s="67" t="s">
        <v>248</v>
      </c>
      <c r="D12" s="5"/>
      <c r="E12" s="5"/>
      <c r="F12" s="5"/>
      <c r="G12" s="5"/>
      <c r="H12" s="5"/>
      <c r="I12" s="5"/>
      <c r="J12" s="5"/>
      <c r="K12" s="5"/>
      <c r="L12" s="5"/>
      <c r="M12" s="5"/>
      <c r="N12" s="5"/>
      <c r="O12" s="5"/>
      <c r="P12" s="5"/>
      <c r="Q12" s="5"/>
      <c r="R12" s="5"/>
      <c r="S12" s="5"/>
      <c r="T12" s="5"/>
      <c r="U12" s="5"/>
      <c r="V12" s="67" t="s">
        <v>249</v>
      </c>
      <c r="W12" s="5"/>
      <c r="X12" s="5"/>
      <c r="Y12" s="5"/>
      <c r="Z12" s="5"/>
      <c r="AA12" s="5"/>
      <c r="AB12" s="5"/>
      <c r="AC12" s="5"/>
      <c r="AD12" s="5"/>
      <c r="AE12" s="5"/>
      <c r="AF12" s="5"/>
      <c r="AG12" s="5"/>
      <c r="AH12" s="5"/>
      <c r="AI12" s="5"/>
      <c r="AJ12" s="5"/>
      <c r="AL12" s="5"/>
      <c r="AM12" s="5"/>
      <c r="AN12" s="5"/>
      <c r="AO12" s="67" t="s">
        <v>250</v>
      </c>
      <c r="AP12" s="5"/>
      <c r="AQ12" s="5"/>
      <c r="AR12" s="5"/>
      <c r="AS12" s="5"/>
      <c r="AT12" s="5"/>
      <c r="AU12" s="5"/>
      <c r="AV12" s="5"/>
      <c r="AW12" s="5"/>
      <c r="AX12" s="5"/>
      <c r="AY12" s="5"/>
      <c r="AZ12" s="5"/>
      <c r="BA12" s="5"/>
      <c r="BB12" s="5"/>
      <c r="BC12" s="5"/>
      <c r="BD12" s="5"/>
      <c r="BE12" s="5"/>
      <c r="BF12" s="5"/>
    </row>
    <row r="13" customFormat="false" ht="15" hidden="false" customHeight="false" outlineLevel="0" collapsed="false">
      <c r="A13" s="5"/>
      <c r="B13" s="5"/>
      <c r="C13" s="5"/>
      <c r="D13" s="5"/>
      <c r="E13" s="5"/>
      <c r="F13" s="5"/>
      <c r="G13" s="5"/>
      <c r="H13" s="5"/>
      <c r="I13" s="5"/>
      <c r="J13" s="5"/>
      <c r="K13" s="5"/>
      <c r="L13" s="5"/>
      <c r="M13" s="5"/>
      <c r="N13" s="5"/>
      <c r="O13" s="5"/>
      <c r="P13" s="5"/>
      <c r="Q13" s="5"/>
      <c r="R13" s="5"/>
      <c r="S13" s="5"/>
      <c r="T13" s="5"/>
      <c r="U13" s="5"/>
      <c r="V13" s="5" t="n">
        <v>2013</v>
      </c>
      <c r="W13" s="5"/>
      <c r="X13" s="5"/>
      <c r="Y13" s="5"/>
      <c r="Z13" s="5"/>
      <c r="AA13" s="5"/>
      <c r="AB13" s="5"/>
      <c r="AC13" s="5"/>
      <c r="AD13" s="5"/>
      <c r="AE13" s="5"/>
      <c r="AF13" s="5"/>
      <c r="AG13" s="5"/>
      <c r="AH13" s="5"/>
      <c r="AI13" s="5"/>
      <c r="AJ13" s="5"/>
      <c r="AL13" s="5"/>
      <c r="AM13" s="5"/>
      <c r="AN13" s="5"/>
      <c r="AO13" s="5" t="n">
        <v>2015</v>
      </c>
      <c r="AP13" s="5"/>
      <c r="AQ13" s="5"/>
      <c r="AR13" s="5"/>
      <c r="AS13" s="5"/>
      <c r="AT13" s="5"/>
      <c r="AU13" s="5"/>
      <c r="AV13" s="5"/>
      <c r="AW13" s="5"/>
      <c r="AX13" s="5"/>
      <c r="AY13" s="5"/>
      <c r="AZ13" s="5"/>
      <c r="BA13" s="5"/>
      <c r="BB13" s="5"/>
      <c r="BC13" s="5"/>
      <c r="BD13" s="5"/>
      <c r="BE13" s="5"/>
      <c r="BF13" s="5"/>
    </row>
    <row r="14" customFormat="false" ht="15" hidden="false" customHeight="false" outlineLevel="0" collapsed="false">
      <c r="A14" s="5" t="s">
        <v>251</v>
      </c>
      <c r="B14" s="5"/>
      <c r="C14" s="66" t="s">
        <v>252</v>
      </c>
      <c r="D14" s="5"/>
      <c r="E14" s="5"/>
      <c r="F14" s="5"/>
      <c r="G14" s="5"/>
      <c r="H14" s="5"/>
      <c r="I14" s="5"/>
      <c r="J14" s="5"/>
      <c r="K14" s="5"/>
      <c r="L14" s="5"/>
      <c r="M14" s="5"/>
      <c r="N14" s="5"/>
      <c r="O14" s="5"/>
      <c r="P14" s="5"/>
      <c r="Q14" s="5"/>
      <c r="R14" s="5"/>
      <c r="S14" s="5"/>
      <c r="T14" s="5"/>
      <c r="U14" s="5"/>
      <c r="V14" s="66" t="s">
        <v>252</v>
      </c>
      <c r="W14" s="5"/>
      <c r="X14" s="5"/>
      <c r="Y14" s="66" t="s">
        <v>252</v>
      </c>
      <c r="Z14" s="5"/>
      <c r="AA14" s="5"/>
      <c r="AB14" s="5"/>
      <c r="AC14" s="5"/>
      <c r="AD14" s="5"/>
      <c r="AE14" s="5"/>
      <c r="AF14" s="5"/>
      <c r="AG14" s="5"/>
      <c r="AH14" s="5"/>
      <c r="AI14" s="5"/>
      <c r="AJ14" s="5"/>
      <c r="AK14" s="66" t="s">
        <v>252</v>
      </c>
      <c r="AL14" s="5"/>
      <c r="AM14" s="5"/>
      <c r="AN14" s="5"/>
      <c r="AO14" s="66" t="s">
        <v>252</v>
      </c>
      <c r="AP14" s="5"/>
      <c r="AQ14" s="5"/>
      <c r="AR14" s="5"/>
      <c r="AS14" s="5"/>
      <c r="AT14" s="5"/>
      <c r="AU14" s="5"/>
      <c r="AV14" s="5"/>
      <c r="AW14" s="5"/>
      <c r="AX14" s="5"/>
      <c r="AY14" s="5"/>
      <c r="AZ14" s="5"/>
      <c r="BA14" s="5"/>
      <c r="BB14" s="5"/>
      <c r="BC14" s="5"/>
      <c r="BD14" s="5"/>
      <c r="BE14" s="5"/>
      <c r="BF14" s="5"/>
    </row>
    <row r="15" customFormat="false" ht="15" hidden="false" customHeight="false" outlineLevel="0" collapsed="false">
      <c r="A15" s="67" t="s">
        <v>253</v>
      </c>
      <c r="B15" s="5"/>
      <c r="C15" s="67" t="s">
        <v>254</v>
      </c>
      <c r="D15" s="5"/>
      <c r="E15" s="5"/>
      <c r="F15" s="5"/>
      <c r="G15" s="5"/>
      <c r="H15" s="5"/>
      <c r="I15" s="5"/>
      <c r="J15" s="5"/>
      <c r="K15" s="5"/>
      <c r="L15" s="5"/>
      <c r="M15" s="5"/>
      <c r="N15" s="5"/>
      <c r="O15" s="5"/>
      <c r="P15" s="5"/>
      <c r="Q15" s="5"/>
      <c r="R15" s="5"/>
      <c r="S15" s="5"/>
      <c r="T15" s="5"/>
      <c r="U15" s="5"/>
      <c r="V15" s="67" t="s">
        <v>255</v>
      </c>
      <c r="W15" s="5"/>
      <c r="X15" s="5"/>
      <c r="Y15" s="67" t="s">
        <v>255</v>
      </c>
      <c r="Z15" s="5"/>
      <c r="AA15" s="5"/>
      <c r="AB15" s="5"/>
      <c r="AC15" s="5"/>
      <c r="AD15" s="5"/>
      <c r="AE15" s="5"/>
      <c r="AF15" s="5"/>
      <c r="AG15" s="5"/>
      <c r="AH15" s="5"/>
      <c r="AI15" s="5"/>
      <c r="AJ15" s="5"/>
      <c r="AK15" s="67" t="s">
        <v>256</v>
      </c>
      <c r="AL15" s="5"/>
      <c r="AM15" s="5"/>
      <c r="AN15" s="5"/>
      <c r="AO15" s="67" t="s">
        <v>255</v>
      </c>
      <c r="AP15" s="5"/>
      <c r="AQ15" s="5"/>
      <c r="AR15" s="5"/>
      <c r="AS15" s="5"/>
      <c r="AT15" s="5"/>
      <c r="AU15" s="5"/>
      <c r="AV15" s="5"/>
      <c r="AW15" s="5"/>
      <c r="AX15" s="5"/>
      <c r="AY15" s="5"/>
      <c r="AZ15" s="5"/>
      <c r="BA15" s="5"/>
      <c r="BB15" s="5"/>
      <c r="BC15" s="5"/>
      <c r="BD15" s="5"/>
      <c r="BE15" s="5"/>
      <c r="BF15" s="5"/>
    </row>
    <row r="16" customFormat="false" ht="15" hidden="false" customHeight="false" outlineLevel="0" collapsed="false">
      <c r="A16" s="5"/>
      <c r="B16" s="5"/>
      <c r="C16" s="5" t="n">
        <v>2015</v>
      </c>
      <c r="D16" s="5"/>
      <c r="E16" s="5"/>
      <c r="F16" s="5"/>
      <c r="G16" s="5"/>
      <c r="H16" s="5"/>
      <c r="I16" s="5"/>
      <c r="J16" s="5"/>
      <c r="K16" s="5"/>
      <c r="L16" s="5"/>
      <c r="M16" s="5"/>
      <c r="N16" s="5"/>
      <c r="O16" s="5"/>
      <c r="P16" s="5"/>
      <c r="Q16" s="5"/>
      <c r="R16" s="5"/>
      <c r="S16" s="5"/>
      <c r="T16" s="5"/>
      <c r="U16" s="5"/>
      <c r="V16" s="68" t="n">
        <v>2015</v>
      </c>
      <c r="W16" s="5"/>
      <c r="X16" s="5"/>
      <c r="Y16" s="68" t="n">
        <v>2015</v>
      </c>
      <c r="Z16" s="5"/>
      <c r="AA16" s="5"/>
      <c r="AB16" s="5"/>
      <c r="AC16" s="5"/>
      <c r="AD16" s="5"/>
      <c r="AE16" s="5"/>
      <c r="AF16" s="5"/>
      <c r="AG16" s="5"/>
      <c r="AH16" s="5"/>
      <c r="AI16" s="5"/>
      <c r="AJ16" s="5"/>
      <c r="AK16" s="5" t="n">
        <v>2014</v>
      </c>
      <c r="AL16" s="5"/>
      <c r="AM16" s="5"/>
      <c r="AN16" s="5"/>
      <c r="AO16" s="5" t="n">
        <v>2015</v>
      </c>
      <c r="AP16" s="5"/>
      <c r="AQ16" s="5"/>
      <c r="AR16" s="5"/>
      <c r="AS16" s="5"/>
      <c r="AT16" s="5"/>
      <c r="AU16" s="5"/>
      <c r="AV16" s="5"/>
      <c r="AW16" s="5"/>
      <c r="AX16" s="5"/>
      <c r="AY16" s="5"/>
      <c r="AZ16" s="5"/>
      <c r="BA16" s="5"/>
      <c r="BB16" s="5"/>
      <c r="BC16" s="5"/>
      <c r="BD16" s="5"/>
      <c r="BE16" s="5"/>
      <c r="BF16" s="5"/>
    </row>
    <row r="22" customFormat="false" ht="15" hidden="false" customHeight="false" outlineLevel="0" collapsed="false">
      <c r="A22" s="0" t="s">
        <v>34</v>
      </c>
    </row>
  </sheetData>
  <hyperlinks>
    <hyperlink ref="A12" r:id="rId1" display="http://data.worldbank.org/indicator/NY.GDP.PCAP.CD"/>
    <hyperlink ref="V12" r:id="rId2" display="http://data.un.org/CountryProfile.aspx?crName=gambia"/>
    <hyperlink ref="AO12" r:id="rId3" display="http://www.stats.govt.nz/browse_for_stats/snapshots-of-nz/top-statistics.aspx"/>
    <hyperlink ref="A15" r:id="rId4" display="http://data.worldbank.org/indicator/NY.GDP.PCAP.PP.CD"/>
    <hyperlink ref="C15" r:id="rId5" display="https://www.cia.gov/library/publications/the-world-factbook/rankorder/2004rank.html "/>
    <hyperlink ref="V15" r:id="rId6" display="https://www.cia.gov/library/publications/the-world-factbook/rankorder/2004rank.html"/>
    <hyperlink ref="Y15" r:id="rId7" display="https://www.cia.gov/library/publications/the-world-factbook/rankorder/2004rank.html"/>
    <hyperlink ref="AK15" r:id="rId8" display="http://knoema.com/atlas/ranks/GDP-per-capita-PPP-based"/>
    <hyperlink ref="AO15" r:id="rId9" display="https://www.cia.gov/library/publications/the-world-factbook/rankorder/2004rank.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S117"/>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pane xSplit="2" ySplit="0" topLeftCell="C17" activePane="topRight" state="frozen"/>
      <selection pane="topLeft" activeCell="A17" activeCellId="0" sqref="A17"/>
      <selection pane="topRight" activeCell="D20" activeCellId="0" sqref="D20"/>
    </sheetView>
  </sheetViews>
  <sheetFormatPr defaultRowHeight="15"/>
  <cols>
    <col collapsed="false" hidden="false" max="1" min="1" style="0" width="8.50510204081633"/>
    <col collapsed="false" hidden="false" max="2" min="2" style="0" width="25.9183673469388"/>
    <col collapsed="false" hidden="false" max="1025" min="3" style="0" width="8.50510204081633"/>
  </cols>
  <sheetData>
    <row r="1" customFormat="false" ht="15" hidden="false" customHeight="false" outlineLevel="0" collapsed="false">
      <c r="A1" s="36" t="s">
        <v>257</v>
      </c>
      <c r="B1" s="69" t="s">
        <v>258</v>
      </c>
      <c r="C1" s="69" t="s">
        <v>259</v>
      </c>
      <c r="D1" s="36" t="s">
        <v>260</v>
      </c>
      <c r="E1" s="36" t="s">
        <v>261</v>
      </c>
      <c r="F1" s="36" t="s">
        <v>262</v>
      </c>
      <c r="G1" s="36" t="s">
        <v>263</v>
      </c>
      <c r="H1" s="36" t="s">
        <v>264</v>
      </c>
      <c r="I1" s="36" t="s">
        <v>265</v>
      </c>
      <c r="J1" s="36" t="s">
        <v>266</v>
      </c>
      <c r="K1" s="36" t="s">
        <v>211</v>
      </c>
      <c r="L1" s="36" t="s">
        <v>267</v>
      </c>
      <c r="M1" s="36" t="s">
        <v>268</v>
      </c>
      <c r="N1" s="36" t="s">
        <v>269</v>
      </c>
      <c r="O1" s="1" t="s">
        <v>0</v>
      </c>
      <c r="P1" s="1" t="s">
        <v>3</v>
      </c>
      <c r="Q1" s="70" t="s">
        <v>5</v>
      </c>
      <c r="R1" s="1" t="s">
        <v>8</v>
      </c>
      <c r="S1" s="1" t="s">
        <v>9</v>
      </c>
      <c r="T1" s="1" t="s">
        <v>12</v>
      </c>
      <c r="U1" s="1" t="s">
        <v>14</v>
      </c>
      <c r="V1" s="1" t="s">
        <v>15</v>
      </c>
      <c r="W1" s="1" t="s">
        <v>21</v>
      </c>
      <c r="X1" s="1" t="s">
        <v>22</v>
      </c>
      <c r="Y1" s="1" t="s">
        <v>23</v>
      </c>
      <c r="Z1" s="70" t="s">
        <v>24</v>
      </c>
      <c r="AA1" s="1" t="s">
        <v>27</v>
      </c>
      <c r="AB1" s="1" t="s">
        <v>29</v>
      </c>
      <c r="AC1" s="1" t="s">
        <v>31</v>
      </c>
      <c r="AD1" s="1" t="s">
        <v>34</v>
      </c>
      <c r="AE1" s="1" t="s">
        <v>36</v>
      </c>
      <c r="AF1" s="1" t="s">
        <v>40</v>
      </c>
      <c r="AG1" s="1" t="s">
        <v>45</v>
      </c>
      <c r="AH1" s="1" t="s">
        <v>46</v>
      </c>
      <c r="AI1" s="1" t="s">
        <v>48</v>
      </c>
      <c r="AJ1" s="1" t="s">
        <v>49</v>
      </c>
      <c r="AK1" s="1" t="s">
        <v>50</v>
      </c>
      <c r="AL1" s="1" t="s">
        <v>54</v>
      </c>
      <c r="AM1" s="1" t="s">
        <v>57</v>
      </c>
      <c r="AN1" s="1" t="s">
        <v>59</v>
      </c>
      <c r="AO1" s="1" t="s">
        <v>63</v>
      </c>
      <c r="AP1" s="1" t="s">
        <v>64</v>
      </c>
      <c r="AQ1" s="1" t="s">
        <v>68</v>
      </c>
      <c r="AR1" s="1" t="s">
        <v>69</v>
      </c>
      <c r="AS1" s="1" t="s">
        <v>71</v>
      </c>
      <c r="AT1" s="1" t="s">
        <v>72</v>
      </c>
      <c r="AU1" s="1" t="s">
        <v>74</v>
      </c>
      <c r="AV1" s="1" t="s">
        <v>77</v>
      </c>
      <c r="AW1" s="1" t="s">
        <v>78</v>
      </c>
      <c r="AX1" s="1" t="s">
        <v>80</v>
      </c>
      <c r="AY1" s="1" t="s">
        <v>81</v>
      </c>
      <c r="AZ1" s="1" t="s">
        <v>82</v>
      </c>
      <c r="BA1" s="1" t="s">
        <v>83</v>
      </c>
      <c r="BB1" s="70" t="s">
        <v>84</v>
      </c>
      <c r="BC1" s="1" t="s">
        <v>85</v>
      </c>
      <c r="BD1" s="1" t="s">
        <v>86</v>
      </c>
      <c r="BE1" s="1" t="s">
        <v>87</v>
      </c>
      <c r="BF1" s="1" t="s">
        <v>91</v>
      </c>
      <c r="BG1" s="1" t="s">
        <v>94</v>
      </c>
      <c r="BH1" s="1" t="s">
        <v>96</v>
      </c>
      <c r="BI1" s="1" t="s">
        <v>100</v>
      </c>
      <c r="BJ1" s="1" t="s">
        <v>103</v>
      </c>
      <c r="BK1" s="1" t="s">
        <v>105</v>
      </c>
      <c r="BL1" s="1" t="s">
        <v>107</v>
      </c>
      <c r="BM1" s="1" t="s">
        <v>112</v>
      </c>
      <c r="BN1" s="1" t="s">
        <v>117</v>
      </c>
      <c r="BO1" s="1" t="s">
        <v>118</v>
      </c>
      <c r="BP1" s="1" t="s">
        <v>119</v>
      </c>
      <c r="BQ1" s="1" t="s">
        <v>270</v>
      </c>
      <c r="BR1" s="1" t="s">
        <v>125</v>
      </c>
      <c r="BS1" s="1" t="s">
        <v>127</v>
      </c>
    </row>
    <row r="2" customFormat="false" ht="15" hidden="false" customHeight="false" outlineLevel="0" collapsed="false">
      <c r="A2" s="12" t="s">
        <v>271</v>
      </c>
      <c r="B2" s="12" t="s">
        <v>272</v>
      </c>
      <c r="C2" s="12" t="n">
        <v>32</v>
      </c>
      <c r="D2" s="12" t="n">
        <v>3.34</v>
      </c>
      <c r="E2" s="12"/>
      <c r="F2" s="12"/>
      <c r="G2" s="12"/>
      <c r="H2" s="71" t="n">
        <v>75</v>
      </c>
      <c r="I2" s="72" t="n">
        <v>77.16</v>
      </c>
      <c r="J2" s="72" t="n">
        <v>84</v>
      </c>
      <c r="K2" s="72" t="n">
        <v>93</v>
      </c>
      <c r="L2" s="73"/>
      <c r="M2" s="72" t="n">
        <v>67</v>
      </c>
      <c r="N2" s="72" t="n">
        <v>67</v>
      </c>
      <c r="O2" s="72" t="n">
        <v>67</v>
      </c>
      <c r="P2" s="72" t="n">
        <v>84</v>
      </c>
      <c r="Q2" s="73"/>
      <c r="R2" s="72" t="n">
        <v>84</v>
      </c>
      <c r="S2" s="72" t="n">
        <v>67</v>
      </c>
      <c r="T2" s="72"/>
      <c r="U2" s="72" t="n">
        <v>67</v>
      </c>
      <c r="V2" s="72" t="n">
        <v>67</v>
      </c>
      <c r="W2" s="72" t="n">
        <v>67</v>
      </c>
      <c r="X2" s="71" t="n">
        <v>75</v>
      </c>
      <c r="Y2" s="72" t="n">
        <v>67</v>
      </c>
      <c r="Z2" s="73"/>
      <c r="AA2" s="72" t="n">
        <v>67</v>
      </c>
      <c r="AB2" s="71" t="n">
        <v>75</v>
      </c>
      <c r="AC2" s="72" t="n">
        <v>67</v>
      </c>
      <c r="AD2" s="72" t="n">
        <v>67</v>
      </c>
      <c r="AE2" s="73"/>
      <c r="AF2" s="72" t="n">
        <v>93</v>
      </c>
      <c r="AG2" s="71" t="n">
        <v>67</v>
      </c>
      <c r="AH2" s="73"/>
      <c r="AI2" s="72" t="n">
        <v>67</v>
      </c>
      <c r="AJ2" s="72" t="n">
        <v>77.16</v>
      </c>
      <c r="AK2" s="72" t="n">
        <v>67</v>
      </c>
      <c r="AL2" s="72" t="n">
        <v>84</v>
      </c>
      <c r="AM2" s="72" t="n">
        <v>67</v>
      </c>
      <c r="AN2" s="72" t="n">
        <v>93</v>
      </c>
      <c r="AO2" s="72" t="n">
        <v>77.16</v>
      </c>
      <c r="AP2" s="72" t="n">
        <v>67</v>
      </c>
      <c r="AQ2" s="72" t="n">
        <v>67</v>
      </c>
      <c r="AR2" s="72" t="n">
        <v>67</v>
      </c>
      <c r="AS2" s="72" t="n">
        <v>67</v>
      </c>
      <c r="AT2" s="71" t="n">
        <v>75</v>
      </c>
      <c r="AU2" s="71" t="n">
        <v>75</v>
      </c>
      <c r="AV2" s="71" t="n">
        <v>75</v>
      </c>
      <c r="AW2" s="72" t="n">
        <v>93</v>
      </c>
      <c r="AX2" s="72" t="n">
        <v>67</v>
      </c>
      <c r="AY2" s="72" t="n">
        <v>67</v>
      </c>
      <c r="AZ2" s="72" t="n">
        <v>67</v>
      </c>
      <c r="BA2" s="73"/>
      <c r="BB2" s="73"/>
      <c r="BC2" s="72" t="n">
        <v>84</v>
      </c>
      <c r="BD2" s="72" t="n">
        <v>67</v>
      </c>
      <c r="BE2" s="72" t="n">
        <v>67</v>
      </c>
      <c r="BF2" s="72" t="n">
        <v>84</v>
      </c>
      <c r="BG2" s="72" t="n">
        <v>77.16</v>
      </c>
      <c r="BH2" s="72" t="n">
        <v>67</v>
      </c>
      <c r="BI2" s="72" t="n">
        <v>67</v>
      </c>
      <c r="BJ2" s="72" t="n">
        <v>67</v>
      </c>
      <c r="BK2" s="72" t="n">
        <v>67</v>
      </c>
      <c r="BL2" s="72" t="n">
        <v>84</v>
      </c>
      <c r="BM2" s="71" t="n">
        <v>75</v>
      </c>
      <c r="BN2" s="72" t="n">
        <v>67</v>
      </c>
      <c r="BO2" s="72" t="n">
        <v>77.16</v>
      </c>
      <c r="BP2" s="73"/>
      <c r="BQ2" s="74" t="n">
        <v>32</v>
      </c>
      <c r="BR2" s="71" t="n">
        <v>75</v>
      </c>
      <c r="BS2" s="72" t="n">
        <v>67</v>
      </c>
    </row>
    <row r="3" customFormat="false" ht="15" hidden="false" customHeight="false" outlineLevel="0" collapsed="false">
      <c r="A3" s="72" t="s">
        <v>273</v>
      </c>
      <c r="B3" s="72" t="s">
        <v>274</v>
      </c>
      <c r="C3" s="72" t="n">
        <v>45</v>
      </c>
      <c r="D3" s="72" t="n">
        <v>9</v>
      </c>
      <c r="E3" s="72" t="n">
        <v>6</v>
      </c>
      <c r="F3" s="72" t="n">
        <v>5.5</v>
      </c>
      <c r="G3" s="72" t="n">
        <v>8</v>
      </c>
      <c r="H3" s="73"/>
      <c r="I3" s="73"/>
      <c r="J3" s="73"/>
      <c r="K3" s="73"/>
      <c r="L3" s="73"/>
      <c r="M3" s="73"/>
      <c r="N3" s="73"/>
      <c r="O3" s="73"/>
      <c r="P3" s="73"/>
      <c r="Q3" s="73"/>
      <c r="R3" s="73"/>
      <c r="S3" s="73"/>
      <c r="T3" s="73"/>
      <c r="U3" s="73"/>
      <c r="V3" s="73"/>
      <c r="W3" s="73"/>
      <c r="X3" s="73"/>
      <c r="Y3" s="73"/>
      <c r="Z3" s="73"/>
      <c r="AA3" s="73"/>
      <c r="AB3" s="73"/>
      <c r="AC3" s="73"/>
      <c r="AD3" s="72" t="n">
        <v>25</v>
      </c>
      <c r="AE3" s="73"/>
      <c r="AF3" s="73"/>
      <c r="AG3" s="73"/>
      <c r="AH3" s="73"/>
      <c r="AI3" s="73"/>
      <c r="AJ3" s="73"/>
      <c r="AK3" s="73"/>
      <c r="AL3" s="73"/>
      <c r="AM3" s="72" t="n">
        <v>2.93</v>
      </c>
      <c r="AN3" s="73"/>
      <c r="AO3" s="73"/>
      <c r="AP3" s="73"/>
      <c r="AQ3" s="73"/>
      <c r="AR3" s="73"/>
      <c r="AS3" s="73"/>
      <c r="AT3" s="73"/>
      <c r="AU3" s="73"/>
      <c r="AV3" s="73"/>
      <c r="AW3" s="73"/>
      <c r="AY3" s="73"/>
      <c r="AZ3" s="73"/>
      <c r="BA3" s="73"/>
      <c r="BB3" s="73"/>
      <c r="BC3" s="73"/>
      <c r="BD3" s="73"/>
      <c r="BE3" s="73"/>
      <c r="BF3" s="73"/>
      <c r="BG3" s="73"/>
      <c r="BH3" s="73"/>
      <c r="BI3" s="73"/>
      <c r="BJ3" s="73"/>
      <c r="BK3" s="73"/>
      <c r="BL3" s="73"/>
      <c r="BM3" s="73"/>
      <c r="BN3" s="73"/>
      <c r="BO3" s="73"/>
      <c r="BP3" s="72"/>
      <c r="BQ3" s="12" t="s">
        <v>275</v>
      </c>
      <c r="BR3" s="73"/>
      <c r="BS3" s="73"/>
    </row>
    <row r="4" customFormat="false" ht="15" hidden="false" customHeight="false" outlineLevel="0" collapsed="false">
      <c r="A4" s="72" t="s">
        <v>273</v>
      </c>
      <c r="B4" s="72" t="s">
        <v>276</v>
      </c>
      <c r="C4" s="72" t="n">
        <v>106</v>
      </c>
      <c r="D4" s="72" t="n">
        <v>36</v>
      </c>
      <c r="E4" s="72" t="n">
        <v>22</v>
      </c>
      <c r="F4" s="72" t="n">
        <v>25</v>
      </c>
      <c r="G4" s="72" t="n">
        <v>37</v>
      </c>
      <c r="H4" s="73"/>
      <c r="I4" s="73"/>
      <c r="J4" s="73"/>
      <c r="K4" s="73"/>
      <c r="L4" s="73"/>
      <c r="M4" s="73"/>
      <c r="N4" s="72" t="s">
        <v>277</v>
      </c>
      <c r="O4" s="72" t="n">
        <v>9.4</v>
      </c>
      <c r="P4" s="73"/>
      <c r="Q4" s="73"/>
      <c r="R4" s="73"/>
      <c r="S4" s="72" t="n">
        <v>9.4</v>
      </c>
      <c r="T4" s="73"/>
      <c r="U4" s="72" t="n">
        <v>9.4</v>
      </c>
      <c r="V4" s="73"/>
      <c r="W4" s="72" t="n">
        <v>9.4</v>
      </c>
      <c r="X4" s="72" t="n">
        <v>9.4</v>
      </c>
      <c r="Y4" s="72" t="n">
        <v>9.4</v>
      </c>
      <c r="Z4" s="73"/>
      <c r="AA4" s="72" t="n">
        <v>9.4</v>
      </c>
      <c r="AB4" s="73"/>
      <c r="AC4" s="72" t="n">
        <v>9.4</v>
      </c>
      <c r="AD4" s="72" t="n">
        <v>9.4</v>
      </c>
      <c r="AE4" s="73"/>
      <c r="AF4" s="72" t="n">
        <v>9.4</v>
      </c>
      <c r="AG4" s="72" t="n">
        <v>9.4</v>
      </c>
      <c r="AH4" s="73"/>
      <c r="AI4" s="72" t="n">
        <v>9.4</v>
      </c>
      <c r="AJ4" s="72" t="n">
        <v>9.4</v>
      </c>
      <c r="AK4" s="72" t="n">
        <v>9.4</v>
      </c>
      <c r="AL4" s="73"/>
      <c r="AM4" s="71" t="s">
        <v>278</v>
      </c>
      <c r="AN4" s="73"/>
      <c r="AO4" s="73"/>
      <c r="AP4" s="72" t="n">
        <v>24.79</v>
      </c>
      <c r="AQ4" s="72" t="n">
        <v>20.23</v>
      </c>
      <c r="AR4" s="72" t="n">
        <v>9.4</v>
      </c>
      <c r="AS4" s="72" t="n">
        <v>23.13</v>
      </c>
      <c r="AT4" s="73"/>
      <c r="AU4" s="72" t="n">
        <v>9.4</v>
      </c>
      <c r="AV4" s="72" t="n">
        <v>9.4</v>
      </c>
      <c r="AW4" s="72" t="n">
        <v>9.4</v>
      </c>
      <c r="AX4" s="72" t="n">
        <v>9.4</v>
      </c>
      <c r="AY4" s="73"/>
      <c r="AZ4" s="72" t="n">
        <v>9.4</v>
      </c>
      <c r="BA4" s="73"/>
      <c r="BB4" s="73"/>
      <c r="BC4" s="73"/>
      <c r="BD4" s="72" t="n">
        <v>9.4</v>
      </c>
      <c r="BE4" s="72" t="n">
        <v>9.4</v>
      </c>
      <c r="BF4" s="73"/>
      <c r="BG4" s="72" t="n">
        <v>9.4</v>
      </c>
      <c r="BH4" s="72" t="n">
        <v>9.4</v>
      </c>
      <c r="BI4" s="72" t="n">
        <v>9.4</v>
      </c>
      <c r="BJ4" s="73"/>
      <c r="BK4" s="72" t="n">
        <v>9.4</v>
      </c>
      <c r="BL4" s="73"/>
      <c r="BM4" s="75" t="n">
        <v>36.38</v>
      </c>
      <c r="BN4" s="72" t="n">
        <v>9.4</v>
      </c>
      <c r="BO4" s="72" t="n">
        <v>9.4</v>
      </c>
      <c r="BP4" s="72"/>
      <c r="BQ4" s="72" t="n">
        <v>110</v>
      </c>
      <c r="BR4" s="73"/>
      <c r="BS4" s="72" t="n">
        <v>9.4</v>
      </c>
    </row>
    <row r="5" customFormat="false" ht="15" hidden="false" customHeight="false" outlineLevel="0" collapsed="false">
      <c r="A5" s="76" t="s">
        <v>279</v>
      </c>
      <c r="B5" s="76" t="s">
        <v>280</v>
      </c>
      <c r="C5" s="76" t="n">
        <v>16263</v>
      </c>
      <c r="D5" s="76" t="n">
        <v>403</v>
      </c>
      <c r="E5" s="76"/>
      <c r="F5" s="76"/>
      <c r="G5" s="76"/>
      <c r="H5" s="76" t="n">
        <v>255.5</v>
      </c>
      <c r="I5" s="76" t="n">
        <v>268.56</v>
      </c>
      <c r="J5" s="76" t="n">
        <v>170.94</v>
      </c>
      <c r="K5" s="76" t="n">
        <v>330.51</v>
      </c>
      <c r="L5" s="76" t="n">
        <v>526.13</v>
      </c>
      <c r="M5" s="76" t="n">
        <v>200.59</v>
      </c>
      <c r="N5" s="76" t="n">
        <v>255.5</v>
      </c>
      <c r="O5" s="76" t="n">
        <v>200.59</v>
      </c>
      <c r="P5" s="76" t="n">
        <v>170.94</v>
      </c>
      <c r="Q5" s="77"/>
      <c r="R5" s="76" t="n">
        <v>172.76</v>
      </c>
      <c r="S5" s="76" t="n">
        <v>200.59</v>
      </c>
      <c r="T5" s="76" t="n">
        <v>335.1</v>
      </c>
      <c r="U5" s="76" t="n">
        <v>255.5</v>
      </c>
      <c r="V5" s="76" t="n">
        <v>200.59</v>
      </c>
      <c r="W5" s="76" t="n">
        <v>255.5</v>
      </c>
      <c r="X5" s="76" t="n">
        <v>255.5</v>
      </c>
      <c r="Y5" s="76" t="n">
        <v>255.5</v>
      </c>
      <c r="Z5" s="77"/>
      <c r="AA5" s="76" t="n">
        <v>255.5</v>
      </c>
      <c r="AB5" s="76" t="n">
        <v>255.5</v>
      </c>
      <c r="AC5" s="76" t="n">
        <v>255.5</v>
      </c>
      <c r="AD5" s="76" t="n">
        <v>255.5</v>
      </c>
      <c r="AE5" s="76" t="n">
        <v>392.22</v>
      </c>
      <c r="AF5" s="76" t="n">
        <v>330.51</v>
      </c>
      <c r="AG5" s="76" t="n">
        <v>255.5</v>
      </c>
      <c r="AH5" s="76" t="n">
        <v>112.99</v>
      </c>
      <c r="AI5" s="76" t="n">
        <v>255.5</v>
      </c>
      <c r="AJ5" s="76" t="n">
        <v>268.56</v>
      </c>
      <c r="AK5" s="76" t="n">
        <v>255.5</v>
      </c>
      <c r="AL5" s="76" t="n">
        <v>170.94</v>
      </c>
      <c r="AM5" s="76" t="n">
        <v>200.59</v>
      </c>
      <c r="AN5" s="76" t="n">
        <v>330.51</v>
      </c>
      <c r="AO5" s="76" t="n">
        <v>268.56</v>
      </c>
      <c r="AP5" s="76" t="n">
        <v>255.5</v>
      </c>
      <c r="AQ5" s="76" t="n">
        <v>255.5</v>
      </c>
      <c r="AR5" s="76" t="n">
        <v>255.5</v>
      </c>
      <c r="AS5" s="76" t="n">
        <v>255.5</v>
      </c>
      <c r="AT5" s="76" t="n">
        <v>255.5</v>
      </c>
      <c r="AU5" s="76" t="n">
        <v>255.5</v>
      </c>
      <c r="AV5" s="76" t="n">
        <v>255.5</v>
      </c>
      <c r="AW5" s="76" t="n">
        <v>330.51</v>
      </c>
      <c r="AX5" s="76" t="n">
        <v>200.59</v>
      </c>
      <c r="AY5" s="76" t="n">
        <v>255.5</v>
      </c>
      <c r="AZ5" s="76" t="n">
        <v>200.59</v>
      </c>
      <c r="BA5" s="76" t="n">
        <v>76.29</v>
      </c>
      <c r="BB5" s="77"/>
      <c r="BC5" s="76" t="n">
        <v>170.94</v>
      </c>
      <c r="BD5" s="76" t="n">
        <v>255.5</v>
      </c>
      <c r="BE5" s="76" t="n">
        <v>255.5</v>
      </c>
      <c r="BF5" s="76" t="n">
        <v>170.94</v>
      </c>
      <c r="BG5" s="76" t="n">
        <v>268.56</v>
      </c>
      <c r="BH5" s="76" t="n">
        <v>255.5</v>
      </c>
      <c r="BI5" s="76" t="n">
        <v>255.5</v>
      </c>
      <c r="BJ5" s="76" t="n">
        <v>255.5</v>
      </c>
      <c r="BK5" s="76" t="n">
        <v>200.59</v>
      </c>
      <c r="BL5" s="76" t="n">
        <v>170.94</v>
      </c>
      <c r="BM5" s="76" t="n">
        <v>255.5</v>
      </c>
      <c r="BN5" s="76" t="n">
        <v>255.5</v>
      </c>
      <c r="BO5" s="76" t="n">
        <v>268.56</v>
      </c>
      <c r="BP5" s="76" t="s">
        <v>281</v>
      </c>
      <c r="BQ5" s="78" t="n">
        <v>326.13</v>
      </c>
      <c r="BR5" s="76" t="n">
        <v>255.5</v>
      </c>
      <c r="BS5" s="76" t="n">
        <v>255.5</v>
      </c>
    </row>
    <row r="6" customFormat="false" ht="15" hidden="false" customHeight="false" outlineLevel="0" collapsed="false">
      <c r="A6" s="72" t="s">
        <v>279</v>
      </c>
      <c r="B6" s="72" t="s">
        <v>282</v>
      </c>
      <c r="C6" s="72" t="n">
        <f aca="false">2*C3</f>
        <v>90</v>
      </c>
      <c r="D6" s="72" t="n">
        <f aca="false">2*D3</f>
        <v>18</v>
      </c>
      <c r="E6" s="72" t="n">
        <f aca="false">2*E3</f>
        <v>12</v>
      </c>
      <c r="F6" s="72" t="n">
        <f aca="false">2*F3</f>
        <v>11</v>
      </c>
      <c r="G6" s="72" t="n">
        <f aca="false">2*G3</f>
        <v>16</v>
      </c>
      <c r="H6" s="72" t="n">
        <f aca="false">2*H3</f>
        <v>0</v>
      </c>
      <c r="I6" s="72" t="n">
        <f aca="false">2*I3</f>
        <v>0</v>
      </c>
      <c r="J6" s="72" t="n">
        <f aca="false">2*J3</f>
        <v>0</v>
      </c>
      <c r="K6" s="72" t="n">
        <f aca="false">2*K3</f>
        <v>0</v>
      </c>
      <c r="L6" s="72" t="n">
        <f aca="false">2*L3</f>
        <v>0</v>
      </c>
      <c r="M6" s="72" t="n">
        <f aca="false">2*M3</f>
        <v>0</v>
      </c>
      <c r="N6" s="72" t="n">
        <f aca="false">2*N3</f>
        <v>0</v>
      </c>
      <c r="O6" s="72" t="n">
        <f aca="false">2*O3</f>
        <v>0</v>
      </c>
      <c r="P6" s="72" t="n">
        <f aca="false">2*P3</f>
        <v>0</v>
      </c>
      <c r="Q6" s="72" t="n">
        <f aca="false">2*Q3</f>
        <v>0</v>
      </c>
      <c r="R6" s="72" t="n">
        <f aca="false">2*R3</f>
        <v>0</v>
      </c>
      <c r="S6" s="72" t="n">
        <f aca="false">2*S3</f>
        <v>0</v>
      </c>
      <c r="T6" s="72" t="n">
        <f aca="false">2*T3</f>
        <v>0</v>
      </c>
      <c r="U6" s="72" t="n">
        <f aca="false">2*U3</f>
        <v>0</v>
      </c>
      <c r="V6" s="72" t="n">
        <f aca="false">2*V3</f>
        <v>0</v>
      </c>
      <c r="W6" s="72" t="n">
        <f aca="false">2*W3</f>
        <v>0</v>
      </c>
      <c r="X6" s="72" t="n">
        <f aca="false">2*X3</f>
        <v>0</v>
      </c>
      <c r="Y6" s="72" t="n">
        <f aca="false">2*Y3</f>
        <v>0</v>
      </c>
      <c r="Z6" s="72" t="n">
        <f aca="false">2*Z3</f>
        <v>0</v>
      </c>
      <c r="AA6" s="72" t="n">
        <f aca="false">2*AA3</f>
        <v>0</v>
      </c>
      <c r="AB6" s="72" t="n">
        <f aca="false">2*AB3</f>
        <v>0</v>
      </c>
      <c r="AC6" s="72" t="n">
        <f aca="false">2*AC3</f>
        <v>0</v>
      </c>
      <c r="AD6" s="72" t="n">
        <f aca="false">2*AD3</f>
        <v>50</v>
      </c>
      <c r="AE6" s="72" t="n">
        <f aca="false">2*AE3</f>
        <v>0</v>
      </c>
      <c r="AF6" s="72" t="n">
        <f aca="false">2*AF3</f>
        <v>0</v>
      </c>
      <c r="AG6" s="72" t="n">
        <f aca="false">2*AG3</f>
        <v>0</v>
      </c>
      <c r="AH6" s="72" t="n">
        <f aca="false">2*AH3</f>
        <v>0</v>
      </c>
      <c r="AI6" s="72" t="n">
        <f aca="false">2*AI3</f>
        <v>0</v>
      </c>
      <c r="AJ6" s="72" t="n">
        <f aca="false">2*AJ3</f>
        <v>0</v>
      </c>
      <c r="AK6" s="72" t="n">
        <f aca="false">2*AK3</f>
        <v>0</v>
      </c>
      <c r="AL6" s="72" t="n">
        <f aca="false">2*AL3</f>
        <v>0</v>
      </c>
      <c r="AM6" s="72" t="n">
        <f aca="false">2*AM3</f>
        <v>5.86</v>
      </c>
      <c r="AN6" s="72" t="n">
        <f aca="false">2*AN3</f>
        <v>0</v>
      </c>
      <c r="AO6" s="72" t="n">
        <f aca="false">2*AO3</f>
        <v>0</v>
      </c>
      <c r="AP6" s="72" t="n">
        <f aca="false">2*AP3</f>
        <v>0</v>
      </c>
      <c r="AQ6" s="72" t="n">
        <f aca="false">2*AQ3</f>
        <v>0</v>
      </c>
      <c r="AR6" s="72" t="n">
        <f aca="false">2*AR3</f>
        <v>0</v>
      </c>
      <c r="AS6" s="72" t="n">
        <f aca="false">2*AS3</f>
        <v>0</v>
      </c>
      <c r="AT6" s="72" t="n">
        <f aca="false">2*AT3</f>
        <v>0</v>
      </c>
      <c r="AU6" s="72" t="n">
        <f aca="false">2*AU3</f>
        <v>0</v>
      </c>
      <c r="AV6" s="72" t="n">
        <f aca="false">2*AV3</f>
        <v>0</v>
      </c>
      <c r="AW6" s="72" t="n">
        <f aca="false">2*AW3</f>
        <v>0</v>
      </c>
      <c r="AX6" s="72" t="n">
        <f aca="false">2*AX3</f>
        <v>0</v>
      </c>
      <c r="AY6" s="72" t="n">
        <f aca="false">2*AY3</f>
        <v>0</v>
      </c>
      <c r="AZ6" s="72" t="n">
        <f aca="false">2*AZ3</f>
        <v>0</v>
      </c>
      <c r="BA6" s="72" t="n">
        <f aca="false">2*BA3</f>
        <v>0</v>
      </c>
      <c r="BB6" s="72" t="n">
        <f aca="false">2*BB3</f>
        <v>0</v>
      </c>
      <c r="BC6" s="72" t="n">
        <f aca="false">2*BC3</f>
        <v>0</v>
      </c>
      <c r="BD6" s="72" t="n">
        <f aca="false">2*BD3</f>
        <v>0</v>
      </c>
      <c r="BE6" s="72" t="n">
        <f aca="false">2*BE3</f>
        <v>0</v>
      </c>
      <c r="BF6" s="72" t="n">
        <f aca="false">2*BF3</f>
        <v>0</v>
      </c>
      <c r="BG6" s="72" t="n">
        <f aca="false">2*BG3</f>
        <v>0</v>
      </c>
      <c r="BH6" s="72" t="n">
        <f aca="false">2*BH3</f>
        <v>0</v>
      </c>
      <c r="BI6" s="72" t="n">
        <f aca="false">2*BI3</f>
        <v>0</v>
      </c>
      <c r="BJ6" s="72" t="n">
        <f aca="false">2*BJ3</f>
        <v>0</v>
      </c>
      <c r="BK6" s="72" t="n">
        <f aca="false">2*BK3</f>
        <v>0</v>
      </c>
      <c r="BL6" s="72" t="n">
        <f aca="false">2*BL3</f>
        <v>0</v>
      </c>
      <c r="BM6" s="72" t="n">
        <f aca="false">2*BM3</f>
        <v>0</v>
      </c>
      <c r="BN6" s="72" t="n">
        <f aca="false">2*BN3</f>
        <v>0</v>
      </c>
      <c r="BO6" s="72" t="n">
        <f aca="false">2*BO3</f>
        <v>0</v>
      </c>
      <c r="BP6" s="72" t="n">
        <f aca="false">2*BP3</f>
        <v>0</v>
      </c>
      <c r="BQ6" s="72" t="e">
        <f aca="false">2*BQ3</f>
        <v>#VALUE!</v>
      </c>
      <c r="BR6" s="72" t="n">
        <f aca="false">2*BR3</f>
        <v>0</v>
      </c>
      <c r="BS6" s="72" t="n">
        <f aca="false">2*BS3</f>
        <v>0</v>
      </c>
    </row>
    <row r="7" customFormat="false" ht="15" hidden="false" customHeight="false" outlineLevel="0" collapsed="false">
      <c r="A7" s="72" t="s">
        <v>279</v>
      </c>
      <c r="B7" s="72" t="s">
        <v>283</v>
      </c>
      <c r="C7" s="72" t="n">
        <f aca="false">C4</f>
        <v>106</v>
      </c>
      <c r="D7" s="72" t="n">
        <f aca="false">D4</f>
        <v>36</v>
      </c>
      <c r="E7" s="72" t="n">
        <f aca="false">E4</f>
        <v>22</v>
      </c>
      <c r="F7" s="72" t="n">
        <f aca="false">F4</f>
        <v>25</v>
      </c>
      <c r="G7" s="72" t="n">
        <f aca="false">G4</f>
        <v>37</v>
      </c>
      <c r="H7" s="72" t="n">
        <f aca="false">H4</f>
        <v>0</v>
      </c>
      <c r="I7" s="72" t="n">
        <f aca="false">I4</f>
        <v>0</v>
      </c>
      <c r="J7" s="72" t="n">
        <f aca="false">J4</f>
        <v>0</v>
      </c>
      <c r="K7" s="72" t="n">
        <f aca="false">K4</f>
        <v>0</v>
      </c>
      <c r="L7" s="72" t="n">
        <f aca="false">L4</f>
        <v>0</v>
      </c>
      <c r="M7" s="72" t="n">
        <f aca="false">M4</f>
        <v>0</v>
      </c>
      <c r="N7" s="72" t="str">
        <f aca="false">N4</f>
        <v>$20-100</v>
      </c>
      <c r="O7" s="72" t="n">
        <f aca="false">O4</f>
        <v>9.4</v>
      </c>
      <c r="P7" s="72" t="n">
        <f aca="false">P4</f>
        <v>0</v>
      </c>
      <c r="Q7" s="72" t="n">
        <f aca="false">Q4</f>
        <v>0</v>
      </c>
      <c r="R7" s="72" t="n">
        <f aca="false">R4</f>
        <v>0</v>
      </c>
      <c r="S7" s="72" t="n">
        <f aca="false">S4</f>
        <v>9.4</v>
      </c>
      <c r="T7" s="72" t="n">
        <f aca="false">T4</f>
        <v>0</v>
      </c>
      <c r="U7" s="72" t="n">
        <f aca="false">U4</f>
        <v>9.4</v>
      </c>
      <c r="V7" s="72" t="n">
        <f aca="false">V4</f>
        <v>0</v>
      </c>
      <c r="W7" s="72" t="n">
        <f aca="false">W4</f>
        <v>9.4</v>
      </c>
      <c r="X7" s="72" t="n">
        <f aca="false">X4</f>
        <v>9.4</v>
      </c>
      <c r="Y7" s="72" t="n">
        <f aca="false">Y4</f>
        <v>9.4</v>
      </c>
      <c r="Z7" s="72" t="n">
        <f aca="false">Z4</f>
        <v>0</v>
      </c>
      <c r="AA7" s="72" t="n">
        <f aca="false">AA4</f>
        <v>9.4</v>
      </c>
      <c r="AB7" s="72" t="n">
        <f aca="false">AB4</f>
        <v>0</v>
      </c>
      <c r="AC7" s="72" t="n">
        <f aca="false">AC4</f>
        <v>9.4</v>
      </c>
      <c r="AD7" s="72" t="n">
        <f aca="false">AD4</f>
        <v>9.4</v>
      </c>
      <c r="AE7" s="72" t="n">
        <f aca="false">AE4</f>
        <v>0</v>
      </c>
      <c r="AF7" s="72" t="n">
        <f aca="false">AF4</f>
        <v>9.4</v>
      </c>
      <c r="AG7" s="72" t="n">
        <f aca="false">AG4</f>
        <v>9.4</v>
      </c>
      <c r="AH7" s="72" t="n">
        <f aca="false">AH4</f>
        <v>0</v>
      </c>
      <c r="AI7" s="72" t="n">
        <f aca="false">AI4</f>
        <v>9.4</v>
      </c>
      <c r="AJ7" s="72" t="n">
        <f aca="false">AJ4</f>
        <v>9.4</v>
      </c>
      <c r="AK7" s="72" t="n">
        <f aca="false">AK4</f>
        <v>9.4</v>
      </c>
      <c r="AL7" s="72" t="n">
        <f aca="false">AL4</f>
        <v>0</v>
      </c>
      <c r="AM7" s="71" t="str">
        <f aca="false">AM4</f>
        <v>22.79-24.69</v>
      </c>
      <c r="AN7" s="72" t="n">
        <f aca="false">AN4</f>
        <v>0</v>
      </c>
      <c r="AO7" s="72" t="n">
        <f aca="false">AO4</f>
        <v>0</v>
      </c>
      <c r="AP7" s="72" t="n">
        <f aca="false">AP4</f>
        <v>24.79</v>
      </c>
      <c r="AQ7" s="72" t="n">
        <f aca="false">AQ4</f>
        <v>20.23</v>
      </c>
      <c r="AR7" s="72" t="n">
        <f aca="false">AR4</f>
        <v>9.4</v>
      </c>
      <c r="AS7" s="72" t="n">
        <f aca="false">AS4</f>
        <v>23.13</v>
      </c>
      <c r="AT7" s="72" t="n">
        <f aca="false">AT4</f>
        <v>0</v>
      </c>
      <c r="AU7" s="72" t="n">
        <f aca="false">AU4</f>
        <v>9.4</v>
      </c>
      <c r="AV7" s="72" t="n">
        <f aca="false">AV4</f>
        <v>9.4</v>
      </c>
      <c r="AW7" s="72" t="n">
        <f aca="false">AW4</f>
        <v>9.4</v>
      </c>
      <c r="AX7" s="72" t="n">
        <f aca="false">AX4</f>
        <v>9.4</v>
      </c>
      <c r="AY7" s="72" t="n">
        <f aca="false">AY4</f>
        <v>0</v>
      </c>
      <c r="AZ7" s="72" t="n">
        <f aca="false">AZ4</f>
        <v>9.4</v>
      </c>
      <c r="BA7" s="72" t="n">
        <f aca="false">BA4</f>
        <v>0</v>
      </c>
      <c r="BB7" s="72" t="n">
        <f aca="false">BB4</f>
        <v>0</v>
      </c>
      <c r="BC7" s="72" t="n">
        <f aca="false">BC4</f>
        <v>0</v>
      </c>
      <c r="BD7" s="72" t="n">
        <f aca="false">BD4</f>
        <v>9.4</v>
      </c>
      <c r="BE7" s="72" t="n">
        <f aca="false">BE4</f>
        <v>9.4</v>
      </c>
      <c r="BF7" s="72" t="n">
        <f aca="false">BF4</f>
        <v>0</v>
      </c>
      <c r="BG7" s="72" t="n">
        <f aca="false">BG4</f>
        <v>9.4</v>
      </c>
      <c r="BH7" s="72" t="n">
        <f aca="false">BH4</f>
        <v>9.4</v>
      </c>
      <c r="BI7" s="72" t="n">
        <f aca="false">BI4</f>
        <v>9.4</v>
      </c>
      <c r="BJ7" s="72" t="n">
        <f aca="false">BJ4</f>
        <v>0</v>
      </c>
      <c r="BK7" s="72" t="n">
        <f aca="false">BK4</f>
        <v>9.4</v>
      </c>
      <c r="BL7" s="72" t="n">
        <f aca="false">BL4</f>
        <v>0</v>
      </c>
      <c r="BM7" s="75" t="n">
        <f aca="false">BM4</f>
        <v>36.38</v>
      </c>
      <c r="BN7" s="72" t="n">
        <f aca="false">BN4</f>
        <v>9.4</v>
      </c>
      <c r="BO7" s="72" t="n">
        <f aca="false">BO4</f>
        <v>9.4</v>
      </c>
      <c r="BP7" s="72" t="n">
        <f aca="false">BP4</f>
        <v>0</v>
      </c>
      <c r="BQ7" s="72" t="n">
        <f aca="false">BQ4</f>
        <v>110</v>
      </c>
      <c r="BR7" s="72" t="n">
        <f aca="false">BR4</f>
        <v>0</v>
      </c>
      <c r="BS7" s="72" t="n">
        <f aca="false">BS4</f>
        <v>9.4</v>
      </c>
    </row>
    <row r="8" customFormat="false" ht="15" hidden="false" customHeight="false" outlineLevel="0" collapsed="false">
      <c r="A8" s="72"/>
      <c r="B8" s="72" t="s">
        <v>284</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s="72"/>
      <c r="BQ8" s="72"/>
      <c r="BR8" s="72"/>
      <c r="BS8" s="72"/>
    </row>
    <row r="9" customFormat="false" ht="15" hidden="false" customHeight="false" outlineLevel="0" collapsed="false">
      <c r="A9" s="72"/>
      <c r="B9" s="72"/>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row>
    <row r="10" customFormat="false" ht="15" hidden="false" customHeight="false" outlineLevel="0" collapsed="false">
      <c r="A10" s="72"/>
      <c r="B10" s="72"/>
      <c r="C10" s="73"/>
      <c r="D10" s="72"/>
      <c r="E10" s="73"/>
      <c r="F10" s="73"/>
      <c r="G10" s="73"/>
      <c r="H10" s="73"/>
      <c r="I10" s="73"/>
      <c r="J10" s="73"/>
      <c r="K10" s="73"/>
      <c r="L10" s="73"/>
      <c r="M10" s="73"/>
      <c r="N10" s="73"/>
      <c r="O10" s="73"/>
      <c r="P10" s="73"/>
      <c r="Q10" s="73"/>
      <c r="R10" s="73"/>
      <c r="S10" s="73"/>
      <c r="T10" s="73"/>
      <c r="U10" s="73"/>
      <c r="V10" s="73"/>
      <c r="W10" s="73"/>
      <c r="X10" s="73"/>
      <c r="Y10" s="73"/>
      <c r="Z10" s="73"/>
      <c r="AA10" s="73"/>
      <c r="AB10" s="71"/>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c r="BO10" s="73"/>
      <c r="BP10" s="73"/>
      <c r="BQ10" s="73"/>
      <c r="BR10" s="73"/>
      <c r="BS10" s="73"/>
    </row>
    <row r="11" customFormat="false" ht="15" hidden="false" customHeight="false" outlineLevel="0" collapsed="false">
      <c r="A11" s="72"/>
      <c r="B11" s="72"/>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row>
    <row r="12" customFormat="false" ht="15" hidden="false" customHeight="false" outlineLevel="0" collapsed="false">
      <c r="A12" s="72"/>
      <c r="B12" s="72"/>
      <c r="C12" s="73"/>
      <c r="D12" s="72"/>
      <c r="E12" s="73"/>
      <c r="F12" s="73"/>
      <c r="G12" s="73"/>
      <c r="H12" s="73"/>
      <c r="I12" s="73"/>
      <c r="J12" s="73"/>
      <c r="K12" s="73"/>
      <c r="L12" s="73"/>
      <c r="M12" s="73"/>
      <c r="N12" s="73"/>
      <c r="O12" s="73"/>
      <c r="P12" s="73"/>
      <c r="Q12" s="73"/>
      <c r="R12" s="73"/>
      <c r="S12" s="73"/>
      <c r="T12" s="73"/>
      <c r="U12" s="73"/>
      <c r="V12" s="73"/>
      <c r="W12" s="73"/>
      <c r="X12" s="73"/>
      <c r="Y12" s="73"/>
      <c r="Z12" s="73"/>
      <c r="AA12" s="73"/>
      <c r="AB12" s="72"/>
      <c r="AD12" s="72"/>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2"/>
      <c r="BR12" s="73"/>
      <c r="BS12" s="73"/>
    </row>
    <row r="13" customFormat="false" ht="15" hidden="false" customHeight="false" outlineLevel="0" collapsed="false">
      <c r="A13" s="8"/>
      <c r="B13" s="8"/>
      <c r="C13" s="8"/>
      <c r="D13" s="72" t="s">
        <v>285</v>
      </c>
      <c r="E13" s="8"/>
      <c r="F13" s="8"/>
      <c r="G13" s="8"/>
      <c r="H13" s="8"/>
      <c r="I13" s="8"/>
      <c r="J13" s="8"/>
      <c r="K13" s="8"/>
      <c r="L13" s="8"/>
      <c r="M13" s="8"/>
      <c r="N13" s="8"/>
      <c r="O13" s="8"/>
      <c r="P13" s="8"/>
      <c r="Q13" s="8"/>
      <c r="R13" s="8"/>
      <c r="S13" s="8"/>
      <c r="T13" s="8"/>
      <c r="U13" s="8"/>
      <c r="V13" s="8"/>
      <c r="W13" s="8"/>
      <c r="X13" s="8"/>
      <c r="Y13" s="8"/>
      <c r="Z13" s="8"/>
      <c r="AA13" s="5"/>
      <c r="AB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row>
    <row r="14" customFormat="false" ht="15" hidden="false" customHeight="false" outlineLevel="0" collapsed="false">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row>
    <row r="15" customFormat="false" ht="15" hidden="false" customHeight="false" outlineLevel="0" collapsed="false">
      <c r="A15" s="8"/>
      <c r="C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67" t="s">
        <v>286</v>
      </c>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67" t="s">
        <v>287</v>
      </c>
      <c r="BR15" s="8"/>
      <c r="BS15" s="8"/>
    </row>
    <row r="16" customFormat="false" ht="15" hidden="false" customHeight="false" outlineLevel="0" collapsed="false">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S16" s="8"/>
      <c r="AT16" s="8"/>
      <c r="AU16" s="8"/>
      <c r="AV16" s="8"/>
      <c r="AW16" s="8"/>
      <c r="AX16" s="8"/>
      <c r="AY16" s="8"/>
      <c r="AZ16" s="8"/>
      <c r="BA16" s="8"/>
      <c r="BB16" s="8"/>
      <c r="BC16" s="8"/>
      <c r="BD16" s="8"/>
      <c r="BE16" s="8"/>
      <c r="BF16" s="8"/>
      <c r="BG16" s="8"/>
      <c r="BH16" s="8"/>
      <c r="BI16" s="8"/>
      <c r="BJ16" s="8"/>
      <c r="BK16" s="8"/>
      <c r="BL16" s="8"/>
      <c r="BM16" s="8"/>
      <c r="BN16" s="8"/>
      <c r="BO16" s="8"/>
      <c r="BP16" s="8"/>
      <c r="BQ16" s="67" t="s">
        <v>288</v>
      </c>
      <c r="BR16" s="8"/>
      <c r="BS16" s="8"/>
    </row>
    <row r="17" customFormat="false" ht="15" hidden="false" customHeight="false" outlineLevel="0" collapsed="false">
      <c r="A17" s="8"/>
      <c r="C17" s="8"/>
      <c r="D17" s="79" t="s">
        <v>289</v>
      </c>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row>
    <row r="18" customFormat="false" ht="15" hidden="false" customHeight="false" outlineLevel="0" collapsed="false">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row>
    <row r="19" customFormat="false" ht="15" hidden="false" customHeight="false" outlineLevel="0" collapsed="false">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row>
    <row r="20" customFormat="false" ht="15" hidden="false" customHeight="false" outlineLevel="0" collapsed="false">
      <c r="A20" s="8"/>
      <c r="B20" s="8"/>
      <c r="C20" s="8"/>
      <c r="D20" s="66" t="s">
        <v>290</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row>
    <row r="21" customFormat="false" ht="15" hidden="false" customHeight="false" outlineLevel="0" collapsed="false">
      <c r="A21" s="8"/>
      <c r="B21" s="8"/>
      <c r="C21" s="8"/>
      <c r="D21" s="5" t="s">
        <v>291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row>
    <row r="22" customFormat="false" ht="15" hidden="false" customHeight="false" outlineLevel="0" collapsed="false">
      <c r="A22" s="8"/>
      <c r="B22" s="8"/>
      <c r="C22" s="8"/>
      <c r="D22" s="5" t="s">
        <v>292</v>
      </c>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row>
    <row r="23" customFormat="false" ht="15" hidden="false" customHeight="false" outlineLevel="0" collapsed="false">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row>
    <row r="24" customFormat="false" ht="15" hidden="false" customHeight="false" outlineLevel="0" collapsed="false">
      <c r="A24" s="8"/>
      <c r="B24" s="8"/>
      <c r="C24" s="8"/>
      <c r="D24" s="67" t="s">
        <v>293</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row>
    <row r="25" customFormat="false" ht="15" hidden="false" customHeight="false" outlineLevel="0" collapsed="false">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row>
    <row r="26" customFormat="false" ht="15" hidden="false" customHeight="false" outlineLevel="0" collapsed="false">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row>
    <row r="27" customFormat="false" ht="15" hidden="false" customHeight="false" outlineLevel="0" collapsed="false">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row>
    <row r="28" customFormat="false" ht="15" hidden="false" customHeight="false" outlineLevel="0" collapsed="false">
      <c r="A28" s="8"/>
      <c r="B28" s="66" t="s">
        <v>294</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row>
    <row r="29" customFormat="false" ht="15" hidden="false" customHeight="false" outlineLevel="0" collapsed="false">
      <c r="A29" s="8"/>
      <c r="B29" s="5" t="n">
        <v>30867</v>
      </c>
      <c r="C29" s="5" t="s">
        <v>295</v>
      </c>
      <c r="D29" s="5" t="s">
        <v>296</v>
      </c>
      <c r="E29" s="5" t="s">
        <v>297</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row>
    <row r="30" customFormat="false" ht="15" hidden="false" customHeight="false" outlineLevel="0" collapsed="false">
      <c r="A30" s="8"/>
      <c r="B30" s="5" t="s">
        <v>298</v>
      </c>
      <c r="C30" s="5" t="n">
        <v>0.032</v>
      </c>
      <c r="D30" s="5" t="n">
        <v>62.85</v>
      </c>
      <c r="E30" s="8" t="n">
        <f aca="false">C30*D30</f>
        <v>2.0112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row>
    <row r="31" customFormat="false" ht="15" hidden="false" customHeight="false" outlineLevel="0" collapsed="false">
      <c r="A31" s="8"/>
      <c r="B31" s="5" t="s">
        <v>299</v>
      </c>
      <c r="C31" s="5" t="n">
        <v>0.023</v>
      </c>
      <c r="D31" s="5" t="n">
        <v>87.79</v>
      </c>
      <c r="E31" s="8" t="n">
        <f aca="false">C31*D31</f>
        <v>2.01917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row>
    <row r="32" customFormat="false" ht="15" hidden="false" customHeight="false" outlineLevel="0" collapsed="false">
      <c r="A32" s="8"/>
      <c r="B32" s="5" t="s">
        <v>300</v>
      </c>
      <c r="C32" s="5" t="n">
        <v>0.035</v>
      </c>
      <c r="D32" s="5" t="n">
        <v>59.86</v>
      </c>
      <c r="E32" s="8" t="n">
        <f aca="false">C32*D32</f>
        <v>2.0951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row>
    <row r="33" customFormat="false" ht="15" hidden="false" customHeight="false" outlineLevel="0" collapsed="false">
      <c r="A33" s="8"/>
      <c r="B33" s="5" t="s">
        <v>301</v>
      </c>
      <c r="C33" s="5" t="n">
        <v>0.041</v>
      </c>
      <c r="D33" s="5" t="n">
        <v>62.85</v>
      </c>
      <c r="E33" s="8" t="n">
        <f aca="false">C33*D33</f>
        <v>2.57685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row>
    <row r="34" customFormat="false" ht="15" hidden="false" customHeight="false" outlineLevel="0" collapsed="false">
      <c r="A34" s="8"/>
      <c r="B34" s="5" t="s">
        <v>302</v>
      </c>
      <c r="C34" s="5" t="n">
        <v>0.068</v>
      </c>
      <c r="D34" s="5" t="n">
        <v>215.49</v>
      </c>
      <c r="E34" s="8" t="n">
        <f aca="false">C34*D34</f>
        <v>14.65332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row>
    <row r="35" customFormat="false" ht="15" hidden="false" customHeight="false" outlineLevel="0" collapsed="false">
      <c r="A35" s="8"/>
      <c r="B35" s="5" t="s">
        <v>303</v>
      </c>
      <c r="C35" s="5" t="n">
        <v>0.021</v>
      </c>
      <c r="D35" s="5" t="n">
        <v>109.74</v>
      </c>
      <c r="E35" s="8" t="n">
        <f aca="false">C35*D35</f>
        <v>2.30454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row>
    <row r="36" customFormat="false" ht="15" hidden="false" customHeight="false" outlineLevel="0" collapsed="false">
      <c r="A36" s="8"/>
      <c r="B36" s="5" t="s">
        <v>304</v>
      </c>
      <c r="C36" s="5" t="n">
        <v>0.183</v>
      </c>
      <c r="D36" s="5" t="n">
        <v>30.93</v>
      </c>
      <c r="E36" s="8" t="n">
        <f aca="false">C36*D36</f>
        <v>5.66019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row>
    <row r="37" customFormat="false" ht="15" hidden="false" customHeight="false" outlineLevel="0" collapsed="false">
      <c r="A37" s="8"/>
      <c r="B37" s="5" t="s">
        <v>305</v>
      </c>
      <c r="C37" s="5" t="n">
        <v>0.18</v>
      </c>
      <c r="D37" s="5" t="n">
        <v>89.79</v>
      </c>
      <c r="E37" s="8" t="n">
        <f aca="false">C37*D37</f>
        <v>16.1622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row>
    <row r="38" customFormat="false" ht="15" hidden="false" customHeight="false" outlineLevel="0" collapsed="false">
      <c r="A38" s="8"/>
      <c r="B38" s="5" t="s">
        <v>306</v>
      </c>
      <c r="C38" s="5" t="n">
        <v>0.32</v>
      </c>
      <c r="D38" s="5" t="n">
        <v>34.93</v>
      </c>
      <c r="E38" s="8" t="n">
        <f aca="false">C38*D38</f>
        <v>11.1776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row>
    <row r="39" customFormat="false" ht="15" hidden="false" customHeight="false" outlineLevel="0" collapsed="false">
      <c r="A39" s="8"/>
      <c r="B39" s="5" t="s">
        <v>307</v>
      </c>
      <c r="C39" s="5" t="n">
        <v>0.15</v>
      </c>
      <c r="D39" s="5" t="n">
        <v>34.92</v>
      </c>
      <c r="E39" s="8" t="n">
        <f aca="false">C39*D39</f>
        <v>5.238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row>
    <row r="40" customFormat="false" ht="15" hidden="false" customHeight="false" outlineLevel="0" collapsed="false">
      <c r="A40" s="8"/>
      <c r="B40" s="5" t="s">
        <v>308</v>
      </c>
      <c r="C40" s="5" t="n">
        <v>0.33</v>
      </c>
      <c r="D40" s="5" t="n">
        <v>61.85</v>
      </c>
      <c r="E40" s="8" t="n">
        <f aca="false">C40*D40</f>
        <v>20.4105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row>
    <row r="41" customFormat="false" ht="15" hidden="false" customHeight="false" outlineLevel="0" collapsed="false">
      <c r="A41" s="8"/>
      <c r="B41" s="8"/>
      <c r="C41" s="80" t="n">
        <f aca="false">SUM(C30:C40)</f>
        <v>1.383</v>
      </c>
      <c r="D41" s="8"/>
      <c r="E41" s="81" t="n">
        <f aca="false">SUM(E30:E40)</f>
        <v>84.30867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row>
    <row r="42" customFormat="false" ht="15" hidden="false" customHeight="false" outlineLevel="0" collapsed="false">
      <c r="A42" s="8"/>
      <c r="B42" s="8"/>
      <c r="C42" s="5"/>
      <c r="D42" s="5" t="s">
        <v>309</v>
      </c>
      <c r="E42" s="5" t="n">
        <v>18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row>
    <row r="43" customFormat="false" ht="15" hidden="false" customHeight="false" outlineLevel="0" collapsed="false">
      <c r="A43" s="8"/>
      <c r="B43" s="8"/>
      <c r="C43" s="8"/>
      <c r="D43" s="5" t="s">
        <v>310</v>
      </c>
      <c r="E43" s="5" t="n">
        <v>36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row>
    <row r="44" customFormat="false" ht="15" hidden="false" customHeight="false" outlineLevel="0" collapsed="false">
      <c r="A44" s="8"/>
      <c r="B44" s="8"/>
      <c r="C44" s="8"/>
      <c r="D44" s="5" t="s">
        <v>311</v>
      </c>
      <c r="E44" s="5" t="n">
        <v>508.6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row>
    <row r="45" customFormat="false" ht="15" hidden="false" customHeight="false" outlineLevel="0" collapsed="false">
      <c r="A45" s="8"/>
      <c r="B45" s="8"/>
      <c r="C45" s="8"/>
      <c r="D45" s="5" t="s">
        <v>312</v>
      </c>
      <c r="E45" s="5" t="n">
        <f aca="false">SUM(E41:E44)</f>
        <v>646.90867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row>
    <row r="46" customFormat="false" ht="15" hidden="false" customHeight="false" outlineLevel="0" collapsed="false">
      <c r="A46" s="8"/>
      <c r="B46" s="8"/>
      <c r="C46" s="8"/>
      <c r="D46" s="5" t="s">
        <v>313</v>
      </c>
      <c r="E46" s="5" t="n">
        <v>33.92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row>
    <row r="47" customFormat="false" ht="15" hidden="false" customHeight="false" outlineLevel="0" collapsed="false">
      <c r="A47" s="8"/>
      <c r="B47" s="8"/>
      <c r="C47" s="8"/>
      <c r="D47" s="8"/>
      <c r="E47" s="5" t="n">
        <f aca="false">SUM(E45:E46)</f>
        <v>680.82867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row>
    <row r="48" customFormat="false" ht="15" hidden="false" customHeight="false" outlineLevel="0" collapsed="false">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row>
    <row r="49" customFormat="false" ht="15" hidden="false" customHeight="false" outlineLevel="0" collapsed="false">
      <c r="A49" s="8"/>
      <c r="B49" s="7" t="s">
        <v>314</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row>
    <row r="50" customFormat="false" ht="15" hidden="false" customHeight="false" outlineLevel="0" collapsed="false">
      <c r="A50" s="8"/>
      <c r="B50" s="82" t="s">
        <v>315</v>
      </c>
      <c r="D50" s="7" t="s">
        <v>316</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row>
    <row r="51" customFormat="false" ht="15" hidden="false" customHeight="false" outlineLevel="0" collapsed="false">
      <c r="A51" s="8"/>
      <c r="B51" s="7" t="s">
        <v>317</v>
      </c>
      <c r="C51" s="83" t="n">
        <v>2935.7</v>
      </c>
      <c r="D51" s="84" t="s">
        <v>318</v>
      </c>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row>
    <row r="52" customFormat="false" ht="15" hidden="false" customHeight="false" outlineLevel="0" collapsed="false">
      <c r="A52" s="8"/>
      <c r="B52" s="7" t="s">
        <v>319</v>
      </c>
      <c r="C52" s="85" t="n">
        <v>4383.1</v>
      </c>
      <c r="D52" s="84" t="s">
        <v>318</v>
      </c>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row>
    <row r="53" customFormat="false" ht="15" hidden="false" customHeight="false" outlineLevel="0" collapsed="false">
      <c r="A53" s="8"/>
      <c r="B53" s="7" t="s">
        <v>320</v>
      </c>
      <c r="C53" s="85" t="n">
        <v>3418.6</v>
      </c>
      <c r="D53" s="84" t="s">
        <v>318</v>
      </c>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row>
    <row r="54" customFormat="false" ht="15" hidden="false" customHeight="false" outlineLevel="0" collapsed="false">
      <c r="A54" s="8"/>
      <c r="B54" s="84" t="s">
        <v>321</v>
      </c>
      <c r="C54" s="85" t="n">
        <v>2873.6</v>
      </c>
      <c r="D54" s="84" t="s">
        <v>318</v>
      </c>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row>
    <row r="55" customFormat="false" ht="15" hidden="false" customHeight="false" outlineLevel="0" collapsed="false">
      <c r="A55" s="8"/>
      <c r="B55" s="84" t="s">
        <v>322</v>
      </c>
      <c r="C55" s="85" t="n">
        <v>4534.3</v>
      </c>
      <c r="D55" s="84" t="s">
        <v>318</v>
      </c>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row>
    <row r="56" customFormat="false" ht="15" hidden="false" customHeight="false" outlineLevel="0" collapsed="false">
      <c r="A56" s="8"/>
      <c r="B56" s="7" t="s">
        <v>323</v>
      </c>
      <c r="C56" s="85" t="n">
        <v>3077.8</v>
      </c>
      <c r="D56" s="84" t="s">
        <v>318</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row>
    <row r="57" customFormat="false" ht="15" hidden="false" customHeight="false" outlineLevel="0" collapsed="false">
      <c r="A57" s="8"/>
      <c r="B57" s="84" t="s">
        <v>324</v>
      </c>
      <c r="C57" s="85" t="n">
        <v>3208.1</v>
      </c>
      <c r="D57" s="84" t="s">
        <v>318</v>
      </c>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row>
    <row r="58" customFormat="false" ht="15" hidden="false" customHeight="false" outlineLevel="0" collapsed="false">
      <c r="A58" s="8"/>
      <c r="B58" s="7" t="s">
        <v>325</v>
      </c>
      <c r="C58" s="85" t="n">
        <v>132.5</v>
      </c>
      <c r="D58" s="84" t="s">
        <v>318</v>
      </c>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row>
    <row r="59" customFormat="false" ht="15" hidden="false" customHeight="false" outlineLevel="0" collapsed="false">
      <c r="A59" s="8"/>
      <c r="B59" s="7" t="s">
        <v>326</v>
      </c>
      <c r="C59" s="85" t="n">
        <v>269</v>
      </c>
      <c r="D59" s="84" t="s">
        <v>318</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row>
    <row r="60" customFormat="false" ht="15" hidden="false" customHeight="false" outlineLevel="0" collapsed="false">
      <c r="A60" s="8"/>
      <c r="B60" s="7" t="s">
        <v>327</v>
      </c>
      <c r="C60" s="85" t="n">
        <v>1485.5</v>
      </c>
      <c r="D60" s="84" t="s">
        <v>318</v>
      </c>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row>
    <row r="61" customFormat="false" ht="15" hidden="false" customHeight="false" outlineLevel="0" collapsed="false">
      <c r="A61" s="8"/>
      <c r="B61" s="7" t="s">
        <v>328</v>
      </c>
      <c r="C61" s="85" t="n">
        <v>367.3</v>
      </c>
      <c r="D61" s="84" t="s">
        <v>318</v>
      </c>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row>
    <row r="62" customFormat="false" ht="15" hidden="false" customHeight="false" outlineLevel="0" collapsed="false">
      <c r="A62" s="8"/>
      <c r="B62" s="7" t="s">
        <v>329</v>
      </c>
      <c r="C62" s="85" t="n">
        <v>302.5</v>
      </c>
      <c r="D62" s="84" t="s">
        <v>318</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row>
    <row r="63" customFormat="false" ht="15" hidden="false" customHeight="false" outlineLevel="0" collapsed="false">
      <c r="A63" s="8"/>
      <c r="B63" s="7" t="s">
        <v>330</v>
      </c>
      <c r="C63" s="85" t="n">
        <v>264</v>
      </c>
      <c r="D63" s="84" t="s">
        <v>318</v>
      </c>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row>
    <row r="64" customFormat="false" ht="15" hidden="false" customHeight="false" outlineLevel="0" collapsed="false">
      <c r="A64" s="8"/>
      <c r="B64" s="7" t="s">
        <v>331</v>
      </c>
      <c r="C64" s="85" t="n">
        <v>5819.7</v>
      </c>
      <c r="D64" s="84" t="s">
        <v>318</v>
      </c>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row>
    <row r="65" customFormat="false" ht="15" hidden="false" customHeight="false" outlineLevel="0" collapsed="false">
      <c r="A65" s="8"/>
      <c r="B65" s="5" t="s">
        <v>332</v>
      </c>
      <c r="C65" s="85" t="n">
        <v>4300.8</v>
      </c>
      <c r="D65" s="84" t="s">
        <v>318</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row>
    <row r="66" customFormat="false" ht="15" hidden="false" customHeight="false" outlineLevel="0" collapsed="false">
      <c r="A66" s="8"/>
      <c r="B66" s="5" t="s">
        <v>333</v>
      </c>
      <c r="C66" s="85" t="n">
        <v>2806.8</v>
      </c>
      <c r="D66" s="84" t="s">
        <v>318</v>
      </c>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row>
    <row r="67" customFormat="false" ht="15" hidden="false" customHeight="false" outlineLevel="0" collapsed="false">
      <c r="A67" s="8"/>
      <c r="B67" s="5" t="s">
        <v>334</v>
      </c>
      <c r="C67" s="85" t="n">
        <v>2083.9</v>
      </c>
      <c r="D67" s="84" t="s">
        <v>318</v>
      </c>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row>
    <row r="68" customFormat="false" ht="15" hidden="false" customHeight="false" outlineLevel="0" collapsed="false">
      <c r="A68" s="8"/>
      <c r="B68" s="5"/>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row>
    <row r="69" customFormat="false" ht="15" hidden="false" customHeight="false" outlineLevel="0" collapsed="false">
      <c r="A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row>
    <row r="70" customFormat="false" ht="15" hidden="false" customHeight="false" outlineLevel="0" collapsed="false">
      <c r="A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row>
    <row r="71" customFormat="false" ht="15" hidden="false" customHeight="false" outlineLevel="0" collapsed="false">
      <c r="A71" s="8"/>
      <c r="B71" s="6" t="s">
        <v>335</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row>
    <row r="72" customFormat="false" ht="15" hidden="false" customHeight="false" outlineLevel="0" collapsed="false">
      <c r="A72" s="8"/>
      <c r="B72" s="86" t="s">
        <v>336</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row>
    <row r="73" customFormat="false" ht="15" hidden="false" customHeight="false" outlineLevel="0" collapsed="false">
      <c r="A73" s="8"/>
      <c r="B73" s="7" t="s">
        <v>337</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row>
    <row r="74" customFormat="false" ht="15" hidden="false" customHeight="false" outlineLevel="0" collapsed="false">
      <c r="A74" s="8"/>
      <c r="D74" s="7" t="s">
        <v>316</v>
      </c>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row>
    <row r="75" customFormat="false" ht="15" hidden="false" customHeight="false" outlineLevel="0" collapsed="false">
      <c r="A75" s="8"/>
      <c r="B75" s="25" t="s">
        <v>338</v>
      </c>
      <c r="C75" s="87" t="n">
        <v>474</v>
      </c>
      <c r="D75" s="5" t="s">
        <v>339</v>
      </c>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row>
    <row r="76" customFormat="false" ht="15" hidden="false" customHeight="false" outlineLevel="0" collapsed="false">
      <c r="A76" s="8"/>
      <c r="B76" s="25" t="s">
        <v>340</v>
      </c>
      <c r="C76" s="88" t="n">
        <v>421</v>
      </c>
      <c r="D76" s="5" t="s">
        <v>339</v>
      </c>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row>
    <row r="77" customFormat="false" ht="15" hidden="false" customHeight="false" outlineLevel="0" collapsed="false">
      <c r="A77" s="8"/>
      <c r="B77" s="89"/>
      <c r="C77" s="52"/>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row>
    <row r="78" customFormat="false" ht="15" hidden="false" customHeight="false" outlineLevel="0" collapsed="false">
      <c r="A78" s="8"/>
      <c r="B78" s="84" t="s">
        <v>341</v>
      </c>
      <c r="C78" s="85" t="n">
        <v>13623.7</v>
      </c>
      <c r="D78" s="5" t="s">
        <v>342</v>
      </c>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row>
    <row r="79" customFormat="false" ht="15" hidden="false" customHeight="false" outlineLevel="0" collapsed="false">
      <c r="A79" s="8"/>
      <c r="B79" s="84" t="s">
        <v>343</v>
      </c>
      <c r="C79" s="85" t="n">
        <v>1155</v>
      </c>
      <c r="D79" s="5" t="s">
        <v>342</v>
      </c>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row>
    <row r="80" customFormat="false" ht="15" hidden="false" customHeight="false" outlineLevel="0" collapsed="false">
      <c r="A80" s="8"/>
      <c r="B80" s="84" t="s">
        <v>344</v>
      </c>
      <c r="C80" s="85" t="n">
        <v>1425</v>
      </c>
      <c r="D80" s="5" t="s">
        <v>342</v>
      </c>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row>
    <row r="81" customFormat="false" ht="15" hidden="false" customHeight="false" outlineLevel="0" collapsed="false">
      <c r="A81" s="8"/>
      <c r="B81" s="84" t="s">
        <v>345</v>
      </c>
      <c r="C81" s="90" t="n">
        <v>17606</v>
      </c>
      <c r="D81" s="5" t="s">
        <v>342</v>
      </c>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row>
    <row r="82" customFormat="false" ht="15" hidden="false" customHeight="false" outlineLevel="0" collapsed="false">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row>
    <row r="83" customFormat="false" ht="15" hidden="false" customHeight="false" outlineLevel="0" collapsed="false">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row>
    <row r="84" customFormat="false" ht="15" hidden="false" customHeight="false" outlineLevel="0" collapsed="false">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row>
    <row r="85" customFormat="false" ht="15" hidden="false" customHeight="false" outlineLevel="0" collapsed="false">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row>
    <row r="86" customFormat="false" ht="15" hidden="false" customHeight="false" outlineLevel="0" collapsed="false">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row>
    <row r="87" customFormat="false" ht="15" hidden="false" customHeight="false" outlineLevel="0" collapsed="false">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row>
    <row r="88" customFormat="false" ht="15" hidden="false" customHeight="false" outlineLevel="0" collapsed="false">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row>
    <row r="89" customFormat="false" ht="15" hidden="false" customHeight="false" outlineLevel="0" collapsed="false">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row>
    <row r="90" customFormat="false" ht="15" hidden="false" customHeight="false" outlineLevel="0" collapsed="false">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row>
    <row r="91" customFormat="false" ht="15" hidden="false" customHeight="false" outlineLevel="0" collapsed="false">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row>
    <row r="92" customFormat="false" ht="15" hidden="false" customHeight="false" outlineLevel="0" collapsed="false">
      <c r="A92" s="8"/>
      <c r="B92" s="5"/>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row>
    <row r="93" customFormat="false" ht="15" hidden="false" customHeight="false" outlineLevel="0" collapsed="false">
      <c r="A93" s="8"/>
      <c r="B93" s="5"/>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row>
    <row r="94" customFormat="false" ht="15" hidden="false" customHeight="false" outlineLevel="0" collapsed="false">
      <c r="A94" s="8"/>
      <c r="B94" s="5" t="s">
        <v>346</v>
      </c>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row>
    <row r="95" customFormat="false" ht="15" hidden="false" customHeight="false" outlineLevel="0" collapsed="false">
      <c r="A95" s="8"/>
      <c r="B95" s="82" t="s">
        <v>347</v>
      </c>
      <c r="C95" s="5" t="s">
        <v>348</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row>
    <row r="96" customFormat="false" ht="15" hidden="false" customHeight="false" outlineLevel="0" collapsed="false">
      <c r="A96" s="8"/>
      <c r="B96" s="91"/>
      <c r="C96" s="84" t="s">
        <v>349</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row>
    <row r="97" customFormat="false" ht="15" hidden="false" customHeight="false" outlineLevel="0" collapsed="false">
      <c r="A97" s="8"/>
      <c r="B97" s="8"/>
      <c r="C97" s="84" t="s">
        <v>350</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row>
    <row r="98" customFormat="false" ht="15" hidden="false" customHeight="false" outlineLevel="0" collapsed="false">
      <c r="A98" s="8"/>
      <c r="B98" s="8"/>
      <c r="C98" s="5" t="s">
        <v>351</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row>
    <row r="99" customFormat="false" ht="15" hidden="false" customHeight="false" outlineLevel="0" collapsed="false">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row>
    <row r="100" customFormat="false" ht="15" hidden="false" customHeight="false" outlineLevel="0" collapsed="false">
      <c r="A100" s="8"/>
      <c r="B100" s="5" t="s">
        <v>352</v>
      </c>
      <c r="C100" s="5" t="s">
        <v>353</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row>
    <row r="101" customFormat="false" ht="15" hidden="false" customHeight="false" outlineLevel="0" collapsed="false">
      <c r="A101" s="8"/>
      <c r="B101" s="82" t="s">
        <v>354</v>
      </c>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row>
    <row r="102" customFormat="false" ht="15" hidden="false" customHeight="false" outlineLevel="0" collapsed="false">
      <c r="A102" s="8"/>
      <c r="B102" s="91"/>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row>
    <row r="103" customFormat="false" ht="15" hidden="false" customHeight="false" outlineLevel="0" collapsed="false">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row>
    <row r="104" customFormat="false" ht="15" hidden="false" customHeight="false" outlineLevel="0" collapsed="false">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row>
    <row r="105" customFormat="false" ht="15" hidden="false" customHeight="false" outlineLevel="0" collapsed="false">
      <c r="A105" s="8"/>
      <c r="B105" s="67" t="s">
        <v>355</v>
      </c>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row>
    <row r="106" customFormat="false" ht="15" hidden="false" customHeight="false" outlineLevel="0" collapsed="false">
      <c r="A106" s="8"/>
      <c r="B106" s="5" t="s">
        <v>356</v>
      </c>
      <c r="C106" s="5" t="s">
        <v>357</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row>
    <row r="107" customFormat="false" ht="15" hidden="false" customHeight="false" outlineLevel="0" collapsed="false">
      <c r="A107" s="8"/>
      <c r="B107" s="8"/>
      <c r="C107" s="5" t="s">
        <v>358</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row>
    <row r="108" customFormat="false" ht="15" hidden="false" customHeight="false" outlineLevel="0" collapsed="false">
      <c r="A108" s="8"/>
      <c r="B108" s="8"/>
      <c r="C108" s="5" t="s">
        <v>359</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row>
    <row r="109" customFormat="false" ht="15" hidden="false" customHeight="false" outlineLevel="0" collapsed="false">
      <c r="A109" s="8"/>
      <c r="B109" s="5" t="s">
        <v>360</v>
      </c>
      <c r="C109" s="5" t="s">
        <v>361</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row>
    <row r="110" customFormat="false" ht="15" hidden="false" customHeight="false" outlineLevel="0" collapsed="false">
      <c r="A110" s="8"/>
      <c r="B110" s="8"/>
      <c r="C110" s="5" t="s">
        <v>362</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row>
    <row r="111" customFormat="false" ht="15" hidden="false" customHeight="false" outlineLevel="0" collapsed="false">
      <c r="A111" s="8"/>
      <c r="B111" s="8"/>
      <c r="C111" s="5" t="s">
        <v>363</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row>
    <row r="112" customFormat="false" ht="15" hidden="false" customHeight="false" outlineLevel="0" collapsed="false">
      <c r="A112" s="8"/>
      <c r="B112" s="8"/>
      <c r="C112" s="5" t="s">
        <v>364</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row>
    <row r="113" customFormat="false" ht="15" hidden="false" customHeight="false" outlineLevel="0" collapsed="false">
      <c r="A113" s="8"/>
      <c r="B113" s="5" t="s">
        <v>365</v>
      </c>
      <c r="C113" s="5" t="s">
        <v>366</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row>
    <row r="114" customFormat="false" ht="15" hidden="false" customHeight="false" outlineLevel="0" collapsed="false">
      <c r="A114" s="8"/>
      <c r="B114" s="8"/>
      <c r="C114" s="5" t="s">
        <v>367</v>
      </c>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row>
    <row r="115" customFormat="false" ht="15" hidden="false" customHeight="false" outlineLevel="0" collapsed="false">
      <c r="A115" s="8"/>
      <c r="B115" s="8"/>
      <c r="C115" s="5" t="s">
        <v>368</v>
      </c>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row>
    <row r="116" customFormat="false" ht="15" hidden="false" customHeight="false" outlineLevel="0" collapsed="false">
      <c r="A116" s="8"/>
      <c r="B116" s="8"/>
      <c r="C116" s="5" t="s">
        <v>369</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row>
    <row r="117" customFormat="false" ht="15" hidden="false" customHeight="false" outlineLevel="0" collapsed="false">
      <c r="A117" s="8"/>
      <c r="B117" s="8"/>
      <c r="C117" s="5" t="s">
        <v>370</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row>
  </sheetData>
  <hyperlinks>
    <hyperlink ref="AM15" r:id="rId2" display="http://www.ncbi.nlm.nih.gov/pmc/articles/PMC2365748/pdf/nihms45505.pdf"/>
    <hyperlink ref="BQ15" r:id="rId3" display="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hyperlink ref="BQ16" r:id="rId4" display="http://jama.jamanetwork.com/article.aspx?articleid=1150355"/>
    <hyperlink ref="D17" r:id="rId5" display="http://www.tandfonline.com/doi/pdf/10.1080/09540120500159334"/>
    <hyperlink ref="D24" r:id="rId6" display="http://www.ncbi.nlm.nih.gov/pmc/articles/PMC3225224/pdf/nihms315998.pdf"/>
    <hyperlink ref="B71" r:id="rId7" display="http://www.medscape.com/viewarticle/544519"/>
    <hyperlink ref="B105" r:id="rId8" display="https://www.aids.gov/hiv-aids-basics/just-diagnosed-with-hiv-aids/hiv-in-your-body/stages-of-hiv/"/>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8.xml><?xml version="1.0" encoding="utf-8"?>
<worksheet xmlns="http://schemas.openxmlformats.org/spreadsheetml/2006/main" xmlns:r="http://schemas.openxmlformats.org/officeDocument/2006/relationships">
  <sheetPr filterMode="false">
    <pageSetUpPr fitToPage="false"/>
  </sheetPr>
  <dimension ref="A1:BF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BE1" activeCellId="0" sqref="BE1"/>
    </sheetView>
  </sheetViews>
  <sheetFormatPr defaultRowHeight="15"/>
  <cols>
    <col collapsed="false" hidden="false" max="1" min="1" style="0" width="32.9387755102041"/>
    <col collapsed="false" hidden="false" max="1025" min="2" style="0" width="8.50510204081633"/>
  </cols>
  <sheetData>
    <row r="1" customFormat="false" ht="15" hidden="false" customHeight="false" outlineLevel="0" collapsed="false">
      <c r="A1" s="69" t="s">
        <v>258</v>
      </c>
      <c r="B1" s="1" t="s">
        <v>0</v>
      </c>
      <c r="C1" s="1" t="s">
        <v>3</v>
      </c>
      <c r="D1" s="1" t="s">
        <v>5</v>
      </c>
      <c r="E1" s="1" t="s">
        <v>8</v>
      </c>
      <c r="F1" s="1" t="s">
        <v>9</v>
      </c>
      <c r="G1" s="1" t="s">
        <v>12</v>
      </c>
      <c r="H1" s="92" t="s">
        <v>14</v>
      </c>
      <c r="I1" s="1" t="s">
        <v>15</v>
      </c>
      <c r="J1" s="92" t="s">
        <v>21</v>
      </c>
      <c r="K1" s="1" t="s">
        <v>22</v>
      </c>
      <c r="L1" s="92" t="s">
        <v>23</v>
      </c>
      <c r="M1" s="1" t="s">
        <v>24</v>
      </c>
      <c r="N1" s="1" t="s">
        <v>27</v>
      </c>
      <c r="O1" s="1" t="s">
        <v>29</v>
      </c>
      <c r="P1" s="92" t="s">
        <v>35</v>
      </c>
      <c r="Q1" s="92" t="s">
        <v>34</v>
      </c>
      <c r="R1" s="1" t="s">
        <v>36</v>
      </c>
      <c r="S1" s="1" t="s">
        <v>40</v>
      </c>
      <c r="T1" s="92" t="s">
        <v>45</v>
      </c>
      <c r="U1" s="1" t="s">
        <v>46</v>
      </c>
      <c r="V1" s="92" t="s">
        <v>48</v>
      </c>
      <c r="W1" s="1" t="s">
        <v>49</v>
      </c>
      <c r="X1" s="92" t="s">
        <v>50</v>
      </c>
      <c r="Y1" s="1" t="s">
        <v>54</v>
      </c>
      <c r="Z1" s="1" t="s">
        <v>57</v>
      </c>
      <c r="AA1" s="1" t="s">
        <v>59</v>
      </c>
      <c r="AB1" s="1" t="s">
        <v>63</v>
      </c>
      <c r="AC1" s="92" t="s">
        <v>64</v>
      </c>
      <c r="AD1" s="92" t="s">
        <v>68</v>
      </c>
      <c r="AE1" s="92" t="s">
        <v>69</v>
      </c>
      <c r="AF1" s="92" t="s">
        <v>71</v>
      </c>
      <c r="AG1" s="1" t="s">
        <v>72</v>
      </c>
      <c r="AH1" s="92" t="s">
        <v>74</v>
      </c>
      <c r="AI1" s="1" t="s">
        <v>77</v>
      </c>
      <c r="AJ1" s="1" t="s">
        <v>78</v>
      </c>
      <c r="AK1" s="1" t="s">
        <v>80</v>
      </c>
      <c r="AL1" s="92" t="s">
        <v>81</v>
      </c>
      <c r="AM1" s="1" t="s">
        <v>82</v>
      </c>
      <c r="AN1" s="1" t="s">
        <v>83</v>
      </c>
      <c r="AO1" s="70" t="s">
        <v>84</v>
      </c>
      <c r="AP1" s="1" t="s">
        <v>85</v>
      </c>
      <c r="AQ1" s="92" t="s">
        <v>86</v>
      </c>
      <c r="AR1" s="92" t="s">
        <v>87</v>
      </c>
      <c r="AS1" s="1" t="s">
        <v>91</v>
      </c>
      <c r="AT1" s="1" t="s">
        <v>94</v>
      </c>
      <c r="AU1" s="92" t="s">
        <v>96</v>
      </c>
      <c r="AV1" s="92" t="s">
        <v>100</v>
      </c>
      <c r="AW1" s="92" t="s">
        <v>103</v>
      </c>
      <c r="AX1" s="1" t="s">
        <v>105</v>
      </c>
      <c r="AY1" s="1" t="s">
        <v>107</v>
      </c>
      <c r="AZ1" s="1" t="s">
        <v>112</v>
      </c>
      <c r="BA1" s="92" t="s">
        <v>117</v>
      </c>
      <c r="BB1" s="1" t="s">
        <v>118</v>
      </c>
      <c r="BC1" s="1" t="s">
        <v>119</v>
      </c>
      <c r="BD1" s="93" t="s">
        <v>121</v>
      </c>
      <c r="BE1" s="1" t="s">
        <v>125</v>
      </c>
      <c r="BF1" s="92" t="s">
        <v>127</v>
      </c>
    </row>
    <row r="2" customFormat="false" ht="15" hidden="false" customHeight="false" outlineLevel="0" collapsed="false">
      <c r="A2" s="12" t="s">
        <v>272</v>
      </c>
      <c r="H2" s="7" t="n">
        <v>3.34</v>
      </c>
      <c r="J2" s="7" t="n">
        <v>3.34</v>
      </c>
      <c r="L2" s="7" t="n">
        <v>3.34</v>
      </c>
      <c r="P2" s="7" t="n">
        <v>3.34</v>
      </c>
      <c r="Q2" s="7" t="n">
        <v>3.34</v>
      </c>
      <c r="T2" s="7" t="n">
        <v>3.34</v>
      </c>
      <c r="V2" s="7" t="n">
        <v>3.34</v>
      </c>
      <c r="X2" s="7" t="n">
        <v>3.34</v>
      </c>
      <c r="Z2" s="7" t="n">
        <v>0.21</v>
      </c>
      <c r="AC2" s="7" t="n">
        <v>3.34</v>
      </c>
      <c r="AD2" s="7" t="n">
        <v>3.34</v>
      </c>
      <c r="AE2" s="7" t="n">
        <v>3.34</v>
      </c>
      <c r="AF2" s="7" t="n">
        <v>3.34</v>
      </c>
      <c r="AH2" s="7" t="n">
        <v>3.34</v>
      </c>
      <c r="AL2" s="7" t="n">
        <v>3.34</v>
      </c>
      <c r="AQ2" s="7" t="n">
        <v>3.34</v>
      </c>
      <c r="AR2" s="7" t="n">
        <v>3.34</v>
      </c>
      <c r="AU2" s="7" t="n">
        <v>3.34</v>
      </c>
      <c r="AV2" s="7" t="n">
        <v>3.34</v>
      </c>
      <c r="AW2" s="7" t="n">
        <v>3.34</v>
      </c>
      <c r="BA2" s="7" t="n">
        <v>3.34</v>
      </c>
      <c r="BD2" s="7" t="n">
        <v>32</v>
      </c>
      <c r="BF2" s="7" t="n">
        <v>3.34</v>
      </c>
    </row>
    <row r="3" customFormat="false" ht="15" hidden="false" customHeight="false" outlineLevel="0" collapsed="false">
      <c r="A3" s="72" t="s">
        <v>274</v>
      </c>
      <c r="H3" s="7" t="n">
        <v>9</v>
      </c>
      <c r="J3" s="7" t="n">
        <v>9</v>
      </c>
      <c r="L3" s="7" t="n">
        <v>9</v>
      </c>
      <c r="P3" s="7" t="n">
        <v>9</v>
      </c>
      <c r="Q3" s="7" t="n">
        <v>9</v>
      </c>
      <c r="T3" s="7" t="n">
        <v>9</v>
      </c>
      <c r="V3" s="7" t="n">
        <v>9</v>
      </c>
      <c r="X3" s="7" t="n">
        <v>9</v>
      </c>
      <c r="Z3" s="7" t="n">
        <v>2.93</v>
      </c>
      <c r="AC3" s="7" t="n">
        <v>9</v>
      </c>
      <c r="AD3" s="7" t="n">
        <v>9</v>
      </c>
      <c r="AE3" s="7" t="n">
        <v>9</v>
      </c>
      <c r="AF3" s="7" t="n">
        <v>9</v>
      </c>
      <c r="AH3" s="7" t="n">
        <v>9</v>
      </c>
      <c r="AL3" s="7" t="n">
        <v>9</v>
      </c>
      <c r="AQ3" s="7" t="n">
        <v>9</v>
      </c>
      <c r="AR3" s="7" t="n">
        <v>9</v>
      </c>
      <c r="AU3" s="7" t="n">
        <v>9</v>
      </c>
      <c r="AV3" s="7" t="n">
        <v>9</v>
      </c>
      <c r="AW3" s="7" t="n">
        <v>9</v>
      </c>
      <c r="BA3" s="7" t="n">
        <v>9</v>
      </c>
      <c r="BD3" s="7" t="n">
        <v>45</v>
      </c>
      <c r="BF3" s="7" t="n">
        <v>9</v>
      </c>
    </row>
    <row r="4" customFormat="false" ht="15" hidden="false" customHeight="false" outlineLevel="0" collapsed="false">
      <c r="A4" s="72" t="s">
        <v>276</v>
      </c>
      <c r="H4" s="7" t="n">
        <v>36</v>
      </c>
      <c r="J4" s="7" t="n">
        <v>36</v>
      </c>
      <c r="L4" s="7" t="n">
        <v>36</v>
      </c>
      <c r="P4" s="7" t="n">
        <v>36</v>
      </c>
      <c r="Q4" s="7" t="n">
        <v>36</v>
      </c>
      <c r="T4" s="7" t="n">
        <v>36</v>
      </c>
      <c r="V4" s="7" t="n">
        <v>36</v>
      </c>
      <c r="X4" s="7" t="n">
        <v>36</v>
      </c>
      <c r="Z4" s="7" t="n">
        <v>24.69</v>
      </c>
      <c r="AC4" s="7" t="n">
        <v>36</v>
      </c>
      <c r="AD4" s="7" t="n">
        <v>36</v>
      </c>
      <c r="AE4" s="7" t="n">
        <v>36</v>
      </c>
      <c r="AF4" s="7" t="n">
        <v>36</v>
      </c>
      <c r="AH4" s="7" t="n">
        <v>36</v>
      </c>
      <c r="AL4" s="7" t="n">
        <v>36</v>
      </c>
      <c r="AQ4" s="7" t="n">
        <v>36</v>
      </c>
      <c r="AR4" s="7" t="n">
        <v>36</v>
      </c>
      <c r="AU4" s="7" t="n">
        <v>36</v>
      </c>
      <c r="AV4" s="7" t="n">
        <v>36</v>
      </c>
      <c r="AW4" s="7" t="n">
        <v>36</v>
      </c>
      <c r="BA4" s="7" t="n">
        <v>36</v>
      </c>
      <c r="BD4" s="7" t="n">
        <v>106</v>
      </c>
      <c r="BF4" s="7" t="n">
        <v>36</v>
      </c>
    </row>
    <row r="5" customFormat="false" ht="15" hidden="false" customHeight="false" outlineLevel="0" collapsed="false">
      <c r="A5" s="72" t="s">
        <v>371</v>
      </c>
      <c r="H5" s="7" t="n">
        <v>508.6</v>
      </c>
      <c r="J5" s="7" t="n">
        <v>508.6</v>
      </c>
      <c r="L5" s="7" t="n">
        <v>508.6</v>
      </c>
      <c r="P5" s="7" t="n">
        <v>508.6</v>
      </c>
      <c r="Q5" s="7" t="n">
        <v>508.6</v>
      </c>
      <c r="T5" s="7" t="n">
        <v>508.6</v>
      </c>
      <c r="V5" s="7" t="n">
        <v>508.6</v>
      </c>
      <c r="X5" s="7" t="n">
        <v>508.6</v>
      </c>
      <c r="Z5" s="7" t="n">
        <v>130.3</v>
      </c>
      <c r="AC5" s="7" t="n">
        <v>508.6</v>
      </c>
      <c r="AD5" s="7" t="n">
        <v>508.6</v>
      </c>
      <c r="AE5" s="7" t="n">
        <v>508.6</v>
      </c>
      <c r="AF5" s="7" t="n">
        <v>508.6</v>
      </c>
      <c r="AH5" s="7" t="n">
        <v>508.6</v>
      </c>
      <c r="AL5" s="7" t="n">
        <v>508.6</v>
      </c>
      <c r="AQ5" s="7" t="n">
        <v>508.6</v>
      </c>
      <c r="AR5" s="7" t="n">
        <v>508.6</v>
      </c>
      <c r="AU5" s="7" t="n">
        <v>508.6</v>
      </c>
      <c r="AV5" s="7" t="n">
        <v>508.6</v>
      </c>
      <c r="AW5" s="7" t="n">
        <v>508.6</v>
      </c>
      <c r="BA5" s="7" t="n">
        <v>508.6</v>
      </c>
      <c r="BD5" s="7" t="n">
        <v>16263</v>
      </c>
      <c r="BF5" s="7" t="n">
        <v>508.6</v>
      </c>
    </row>
    <row r="6" customFormat="false" ht="15" hidden="false" customHeight="false" outlineLevel="0" collapsed="false">
      <c r="A6" s="72" t="s">
        <v>284</v>
      </c>
      <c r="H6" s="7" t="n">
        <v>646.908</v>
      </c>
      <c r="J6" s="7" t="n">
        <v>646.908</v>
      </c>
      <c r="L6" s="7" t="n">
        <v>646.908</v>
      </c>
      <c r="P6" s="7" t="n">
        <v>646.908</v>
      </c>
      <c r="Q6" s="7" t="n">
        <v>646.908</v>
      </c>
      <c r="T6" s="7" t="n">
        <v>646.908</v>
      </c>
      <c r="V6" s="7" t="n">
        <v>646.908</v>
      </c>
      <c r="X6" s="7" t="n">
        <v>646.908</v>
      </c>
      <c r="Z6" s="7" t="n">
        <v>800</v>
      </c>
      <c r="AC6" s="7" t="n">
        <v>646.908</v>
      </c>
      <c r="AD6" s="7" t="n">
        <v>646.908</v>
      </c>
      <c r="AE6" s="7" t="n">
        <v>646.908</v>
      </c>
      <c r="AF6" s="7" t="n">
        <v>646.908</v>
      </c>
      <c r="AH6" s="7" t="n">
        <v>646.908</v>
      </c>
      <c r="AL6" s="7" t="n">
        <v>646.908</v>
      </c>
      <c r="AQ6" s="7" t="n">
        <v>646.908</v>
      </c>
      <c r="AR6" s="7" t="n">
        <v>646.908</v>
      </c>
      <c r="AU6" s="7" t="n">
        <v>646.908</v>
      </c>
      <c r="AV6" s="7" t="n">
        <v>646.908</v>
      </c>
      <c r="AW6" s="7" t="n">
        <v>646.908</v>
      </c>
      <c r="BA6" s="7" t="n">
        <v>646.908</v>
      </c>
      <c r="BD6" s="7" t="n">
        <v>22000</v>
      </c>
      <c r="BF6" s="7" t="n">
        <v>646.908</v>
      </c>
    </row>
    <row r="7" customFormat="false" ht="15" hidden="false" customHeight="false" outlineLevel="0" collapsed="false">
      <c r="A7" s="7" t="s">
        <v>372</v>
      </c>
      <c r="H7" s="7" t="n">
        <v>33.92</v>
      </c>
      <c r="J7" s="7" t="n">
        <v>33.92</v>
      </c>
      <c r="L7" s="7" t="n">
        <v>33.92</v>
      </c>
      <c r="P7" s="7" t="n">
        <v>33.92</v>
      </c>
      <c r="Q7" s="7" t="n">
        <v>33.92</v>
      </c>
      <c r="T7" s="7" t="n">
        <v>33.92</v>
      </c>
      <c r="V7" s="7" t="n">
        <v>33.92</v>
      </c>
      <c r="X7" s="7" t="n">
        <v>33.92</v>
      </c>
      <c r="Z7" s="7" t="n">
        <v>100</v>
      </c>
      <c r="AC7" s="7" t="n">
        <v>33.92</v>
      </c>
      <c r="AD7" s="7" t="n">
        <v>33.92</v>
      </c>
      <c r="AE7" s="7" t="n">
        <v>33.92</v>
      </c>
      <c r="AF7" s="7" t="n">
        <v>33.92</v>
      </c>
      <c r="AH7" s="7" t="n">
        <v>33.92</v>
      </c>
      <c r="AL7" s="7" t="n">
        <v>33.92</v>
      </c>
      <c r="AQ7" s="7" t="n">
        <v>33.92</v>
      </c>
      <c r="AR7" s="7" t="n">
        <v>33.92</v>
      </c>
      <c r="AU7" s="7" t="n">
        <v>33.92</v>
      </c>
      <c r="AV7" s="7" t="n">
        <v>33.92</v>
      </c>
      <c r="AW7" s="7" t="n">
        <v>33.92</v>
      </c>
      <c r="BA7" s="7" t="n">
        <v>33.92</v>
      </c>
      <c r="BD7" s="7" t="n">
        <v>2400</v>
      </c>
      <c r="BF7" s="7" t="n">
        <v>33.92</v>
      </c>
    </row>
    <row r="15" customFormat="false" ht="15" hidden="false" customHeight="false" outlineLevel="0" collapsed="false">
      <c r="A15" s="94"/>
    </row>
    <row r="19" customFormat="false" ht="15" hidden="false" customHeight="false" outlineLevel="0" collapsed="false">
      <c r="A19" s="95"/>
      <c r="B19" s="7" t="s">
        <v>176</v>
      </c>
      <c r="AU19" s="7"/>
    </row>
    <row r="20" customFormat="false" ht="15" hidden="false" customHeight="false" outlineLevel="0" collapsed="false">
      <c r="A20" s="96"/>
      <c r="B20" s="7" t="s">
        <v>259</v>
      </c>
    </row>
    <row r="26" customFormat="false" ht="15" hidden="false" customHeight="false" outlineLevel="0" collapsed="false">
      <c r="A26" s="7" t="s">
        <v>373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L2" activeCellId="0" sqref="L2"/>
    </sheetView>
  </sheetViews>
  <sheetFormatPr defaultRowHeight="15"/>
  <cols>
    <col collapsed="false" hidden="true" max="1" min="1" style="0" width="0"/>
    <col collapsed="false" hidden="false" max="2" min="2" style="0" width="41.3061224489796"/>
    <col collapsed="false" hidden="false" max="1025" min="3" style="0" width="8.50510204081633"/>
  </cols>
  <sheetData>
    <row r="1" customFormat="false" ht="15" hidden="false" customHeight="false" outlineLevel="0" collapsed="false">
      <c r="A1" s="36" t="s">
        <v>257</v>
      </c>
      <c r="B1" s="97" t="s">
        <v>374</v>
      </c>
      <c r="C1" s="1"/>
      <c r="D1" s="1"/>
      <c r="E1" s="1"/>
      <c r="F1" s="1"/>
      <c r="G1" s="1"/>
      <c r="H1" s="1"/>
      <c r="I1" s="1"/>
      <c r="J1" s="1"/>
      <c r="K1" s="1"/>
      <c r="L1" s="1" t="s">
        <v>375</v>
      </c>
      <c r="M1" s="65" t="s">
        <v>376</v>
      </c>
      <c r="N1" s="65"/>
      <c r="O1" s="97" t="s">
        <v>377</v>
      </c>
      <c r="P1" s="97"/>
      <c r="Q1" s="97"/>
      <c r="R1" s="65" t="s">
        <v>269</v>
      </c>
      <c r="S1" s="65"/>
      <c r="T1" s="65"/>
      <c r="U1" s="65"/>
      <c r="V1" s="65"/>
      <c r="W1" s="65"/>
      <c r="X1" s="65"/>
      <c r="Y1" s="65"/>
      <c r="Z1" s="65"/>
      <c r="AA1" s="65"/>
      <c r="AB1" s="65"/>
      <c r="AC1" s="65"/>
      <c r="AD1" s="65"/>
      <c r="AE1" s="36" t="s">
        <v>268</v>
      </c>
      <c r="AF1" s="36" t="s">
        <v>378</v>
      </c>
      <c r="AG1" s="36"/>
      <c r="AH1" s="36"/>
      <c r="AI1" s="36" t="s">
        <v>264</v>
      </c>
      <c r="AJ1" s="36"/>
    </row>
    <row r="2" customFormat="false" ht="15" hidden="false" customHeight="false" outlineLevel="0" collapsed="false">
      <c r="A2" s="12"/>
      <c r="B2" s="97"/>
      <c r="C2" s="68" t="s">
        <v>0</v>
      </c>
      <c r="D2" s="68" t="s">
        <v>379</v>
      </c>
      <c r="E2" s="68" t="s">
        <v>8</v>
      </c>
      <c r="F2" s="68" t="s">
        <v>12</v>
      </c>
      <c r="G2" s="68" t="s">
        <v>82</v>
      </c>
      <c r="H2" s="68" t="s">
        <v>22</v>
      </c>
      <c r="I2" s="68" t="s">
        <v>380</v>
      </c>
      <c r="J2" s="68" t="s">
        <v>27</v>
      </c>
      <c r="K2" s="68"/>
      <c r="L2" s="68" t="s">
        <v>381</v>
      </c>
      <c r="M2" s="12" t="s">
        <v>259</v>
      </c>
      <c r="N2" s="12" t="s">
        <v>382</v>
      </c>
      <c r="O2" s="12" t="s">
        <v>261</v>
      </c>
      <c r="P2" s="12" t="s">
        <v>262</v>
      </c>
      <c r="Q2" s="12" t="s">
        <v>263</v>
      </c>
      <c r="R2" s="12" t="s">
        <v>383</v>
      </c>
      <c r="S2" s="12" t="s">
        <v>14</v>
      </c>
      <c r="T2" s="12" t="s">
        <v>384</v>
      </c>
      <c r="U2" s="12" t="s">
        <v>45</v>
      </c>
      <c r="V2" s="12" t="s">
        <v>87</v>
      </c>
      <c r="W2" s="12" t="s">
        <v>96</v>
      </c>
      <c r="X2" s="12" t="s">
        <v>31</v>
      </c>
      <c r="Y2" s="12" t="s">
        <v>102</v>
      </c>
      <c r="Z2" s="12" t="s">
        <v>117</v>
      </c>
      <c r="AA2" s="12" t="s">
        <v>127</v>
      </c>
      <c r="AB2" s="12" t="s">
        <v>68</v>
      </c>
      <c r="AC2" s="12" t="s">
        <v>64</v>
      </c>
      <c r="AD2" s="12" t="s">
        <v>71</v>
      </c>
      <c r="AE2" s="12" t="s">
        <v>57</v>
      </c>
      <c r="AF2" s="12" t="s">
        <v>55</v>
      </c>
      <c r="AG2" s="12" t="s">
        <v>18</v>
      </c>
      <c r="AH2" s="12" t="s">
        <v>76</v>
      </c>
      <c r="AI2" s="12" t="s">
        <v>112</v>
      </c>
      <c r="AJ2" s="12" t="s">
        <v>29</v>
      </c>
    </row>
    <row r="3" customFormat="false" ht="15" hidden="false" customHeight="false" outlineLevel="0" collapsed="false">
      <c r="A3" s="98" t="s">
        <v>271</v>
      </c>
      <c r="B3" s="98" t="s">
        <v>385</v>
      </c>
      <c r="C3" s="98"/>
      <c r="D3" s="98" t="s">
        <v>386</v>
      </c>
      <c r="E3" s="98"/>
      <c r="F3" s="98"/>
      <c r="G3" s="98"/>
      <c r="H3" s="98"/>
      <c r="I3" s="98"/>
      <c r="J3" s="98"/>
      <c r="K3" s="98"/>
      <c r="L3" s="98"/>
      <c r="M3" s="98" t="n">
        <v>32</v>
      </c>
      <c r="N3" s="98"/>
      <c r="O3" s="98"/>
      <c r="P3" s="98"/>
      <c r="Q3" s="98"/>
      <c r="R3" s="98" t="n">
        <v>3.34</v>
      </c>
      <c r="S3" s="98"/>
      <c r="T3" s="98"/>
      <c r="U3" s="98"/>
      <c r="V3" s="98"/>
      <c r="W3" s="98"/>
      <c r="X3" s="98"/>
      <c r="Y3" s="98" t="s">
        <v>387</v>
      </c>
      <c r="Z3" s="98"/>
      <c r="AA3" s="98"/>
      <c r="AB3" s="98"/>
      <c r="AC3" s="98"/>
      <c r="AD3" s="98"/>
      <c r="AE3" s="99" t="n">
        <v>0.21</v>
      </c>
      <c r="AF3" s="98"/>
      <c r="AG3" s="98"/>
      <c r="AH3" s="98"/>
      <c r="AI3" s="100" t="n">
        <v>2</v>
      </c>
      <c r="AJ3" s="98"/>
    </row>
    <row r="4" customFormat="false" ht="15" hidden="false" customHeight="false" outlineLevel="0" collapsed="false">
      <c r="A4" s="98"/>
      <c r="B4" s="98"/>
      <c r="C4" s="98"/>
      <c r="D4" s="98" t="s">
        <v>388</v>
      </c>
      <c r="E4" s="98"/>
      <c r="F4" s="98"/>
      <c r="G4" s="98"/>
      <c r="H4" s="98"/>
      <c r="I4" s="98"/>
      <c r="J4" s="98"/>
      <c r="K4" s="98"/>
      <c r="L4" s="98"/>
      <c r="M4" s="98"/>
      <c r="N4" s="98"/>
      <c r="O4" s="98"/>
      <c r="P4" s="98"/>
      <c r="Q4" s="98"/>
      <c r="R4" s="98"/>
      <c r="S4" s="98"/>
      <c r="T4" s="98"/>
      <c r="U4" s="98"/>
      <c r="V4" s="98"/>
      <c r="W4" s="98"/>
      <c r="X4" s="98"/>
      <c r="Y4" s="98"/>
      <c r="Z4" s="98"/>
      <c r="AA4" s="98"/>
      <c r="AB4" s="98"/>
      <c r="AC4" s="98"/>
      <c r="AD4" s="98"/>
      <c r="AE4" s="99"/>
      <c r="AF4" s="98"/>
      <c r="AG4" s="98"/>
      <c r="AH4" s="98"/>
      <c r="AI4" s="98"/>
      <c r="AJ4" s="98"/>
    </row>
    <row r="5" customFormat="false" ht="15" hidden="false" customHeight="false" outlineLevel="0" collapsed="false">
      <c r="A5" s="72" t="s">
        <v>273</v>
      </c>
      <c r="B5" s="72" t="s">
        <v>274</v>
      </c>
      <c r="C5" s="72"/>
      <c r="D5" s="72" t="s">
        <v>389</v>
      </c>
      <c r="E5" s="72"/>
      <c r="F5" s="72"/>
      <c r="G5" s="72"/>
      <c r="H5" s="72"/>
      <c r="I5" s="72"/>
      <c r="J5" s="72"/>
      <c r="K5" s="72"/>
      <c r="L5" s="72"/>
      <c r="M5" s="72" t="n">
        <v>45</v>
      </c>
      <c r="N5" s="72"/>
      <c r="O5" s="72" t="n">
        <v>6</v>
      </c>
      <c r="P5" s="72" t="n">
        <v>5.5</v>
      </c>
      <c r="Q5" s="72" t="n">
        <v>8</v>
      </c>
      <c r="R5" s="72" t="n">
        <v>9</v>
      </c>
      <c r="S5" s="72"/>
      <c r="T5" s="72" t="n">
        <v>25</v>
      </c>
      <c r="U5" s="72"/>
      <c r="V5" s="72"/>
      <c r="W5" s="72"/>
      <c r="X5" s="72"/>
      <c r="Y5" s="72"/>
      <c r="Z5" s="72"/>
      <c r="AA5" s="72"/>
      <c r="AB5" s="72"/>
      <c r="AC5" s="72"/>
      <c r="AD5" s="72"/>
      <c r="AE5" s="7" t="n">
        <v>2.93</v>
      </c>
      <c r="AF5" s="7"/>
      <c r="AG5" s="7"/>
      <c r="AH5" s="7"/>
      <c r="AI5" s="7"/>
      <c r="AJ5" s="7"/>
    </row>
    <row r="6" customFormat="false" ht="15" hidden="false" customHeight="false" outlineLevel="0" collapsed="false">
      <c r="A6" s="72"/>
      <c r="B6" s="72"/>
      <c r="C6" s="72"/>
      <c r="D6" s="72" t="s">
        <v>390</v>
      </c>
      <c r="E6" s="72"/>
      <c r="F6" s="72"/>
      <c r="G6" s="72"/>
      <c r="H6" s="72"/>
      <c r="I6" s="72"/>
      <c r="J6" s="72"/>
      <c r="K6" s="72"/>
      <c r="L6" s="72"/>
      <c r="M6" s="72" t="n">
        <v>83</v>
      </c>
      <c r="N6" s="72"/>
      <c r="O6" s="72"/>
      <c r="P6" s="72"/>
      <c r="Q6" s="72"/>
      <c r="R6" s="72"/>
      <c r="S6" s="72"/>
      <c r="T6" s="72"/>
      <c r="U6" s="72"/>
      <c r="V6" s="72"/>
      <c r="W6" s="72"/>
      <c r="X6" s="72"/>
      <c r="Y6" s="72"/>
      <c r="Z6" s="72"/>
      <c r="AA6" s="72"/>
      <c r="AB6" s="72"/>
      <c r="AC6" s="72"/>
      <c r="AD6" s="72"/>
      <c r="AE6" s="7" t="n">
        <v>30</v>
      </c>
      <c r="AF6" s="7"/>
      <c r="AG6" s="7"/>
      <c r="AH6" s="7"/>
      <c r="AI6" s="7"/>
      <c r="AJ6" s="7"/>
    </row>
    <row r="7" customFormat="false" ht="15" hidden="false" customHeight="false" outlineLevel="0" collapsed="false">
      <c r="A7" s="72"/>
      <c r="B7" s="72"/>
      <c r="C7" s="72"/>
      <c r="D7" s="72"/>
      <c r="E7" s="72"/>
      <c r="F7" s="72"/>
      <c r="G7" s="72"/>
      <c r="H7" s="72"/>
      <c r="I7" s="72"/>
      <c r="J7" s="72"/>
      <c r="K7" s="72"/>
      <c r="L7" s="72"/>
      <c r="M7" s="72" t="n">
        <v>66</v>
      </c>
      <c r="N7" s="72"/>
      <c r="O7" s="72"/>
      <c r="P7" s="72"/>
      <c r="Q7" s="72"/>
      <c r="R7" s="72"/>
      <c r="S7" s="72"/>
      <c r="T7" s="72"/>
      <c r="U7" s="72"/>
      <c r="V7" s="72"/>
      <c r="W7" s="72"/>
      <c r="X7" s="72"/>
      <c r="Y7" s="72"/>
      <c r="Z7" s="72"/>
      <c r="AA7" s="72"/>
      <c r="AB7" s="72"/>
      <c r="AC7" s="72"/>
      <c r="AD7" s="72"/>
      <c r="AE7" s="7"/>
      <c r="AF7" s="7"/>
      <c r="AG7" s="7"/>
      <c r="AH7" s="7"/>
      <c r="AI7" s="7"/>
      <c r="AJ7" s="7"/>
    </row>
    <row r="8" customFormat="false" ht="15" hidden="false" customHeight="false" outlineLevel="0" collapsed="false">
      <c r="A8" s="101" t="s">
        <v>273</v>
      </c>
      <c r="B8" s="101" t="s">
        <v>276</v>
      </c>
      <c r="C8" s="101"/>
      <c r="D8" s="101" t="s">
        <v>391</v>
      </c>
      <c r="E8" s="101"/>
      <c r="F8" s="101"/>
      <c r="G8" s="101"/>
      <c r="H8" s="101"/>
      <c r="I8" s="101"/>
      <c r="J8" s="101"/>
      <c r="K8" s="101"/>
      <c r="L8" s="101"/>
      <c r="M8" s="101" t="n">
        <v>106</v>
      </c>
      <c r="N8" s="101"/>
      <c r="O8" s="101" t="n">
        <v>22</v>
      </c>
      <c r="P8" s="101" t="n">
        <v>25</v>
      </c>
      <c r="Q8" s="101" t="n">
        <v>37</v>
      </c>
      <c r="R8" s="101" t="n">
        <v>36</v>
      </c>
      <c r="S8" s="101"/>
      <c r="T8" s="101"/>
      <c r="U8" s="101"/>
      <c r="V8" s="101"/>
      <c r="W8" s="101"/>
      <c r="X8" s="101"/>
      <c r="Y8" s="101"/>
      <c r="Z8" s="101"/>
      <c r="AA8" s="101"/>
      <c r="AB8" s="101" t="n">
        <v>20.23</v>
      </c>
      <c r="AC8" s="101" t="n">
        <v>24.79</v>
      </c>
      <c r="AD8" s="101" t="n">
        <v>23.13</v>
      </c>
      <c r="AE8" s="102" t="s">
        <v>278</v>
      </c>
      <c r="AF8" s="102"/>
      <c r="AG8" s="102"/>
      <c r="AH8" s="102"/>
      <c r="AI8" s="102" t="n">
        <v>36.38</v>
      </c>
      <c r="AJ8" s="102"/>
    </row>
    <row r="9" customFormat="false" ht="15" hidden="false" customHeight="false" outlineLevel="0" collapsed="false">
      <c r="A9" s="101"/>
      <c r="B9" s="101"/>
      <c r="C9" s="101"/>
      <c r="D9" s="101"/>
      <c r="E9" s="101"/>
      <c r="F9" s="101"/>
      <c r="G9" s="101"/>
      <c r="H9" s="101"/>
      <c r="I9" s="101"/>
      <c r="J9" s="101"/>
      <c r="K9" s="101"/>
      <c r="L9" s="101"/>
      <c r="M9" s="101" t="n">
        <v>110</v>
      </c>
      <c r="N9" s="101"/>
      <c r="O9" s="101"/>
      <c r="P9" s="101"/>
      <c r="Q9" s="101"/>
      <c r="R9" s="101" t="s">
        <v>392</v>
      </c>
      <c r="S9" s="101"/>
      <c r="T9" s="101"/>
      <c r="U9" s="101"/>
      <c r="V9" s="101"/>
      <c r="W9" s="101"/>
      <c r="X9" s="101"/>
      <c r="Y9" s="101"/>
      <c r="Z9" s="101"/>
      <c r="AA9" s="101"/>
      <c r="AB9" s="101"/>
      <c r="AC9" s="101" t="n">
        <v>10.5</v>
      </c>
      <c r="AD9" s="101" t="n">
        <v>14.25</v>
      </c>
      <c r="AE9" s="102" t="s">
        <v>393</v>
      </c>
      <c r="AF9" s="102"/>
      <c r="AG9" s="102"/>
      <c r="AH9" s="102"/>
      <c r="AI9" s="102"/>
      <c r="AJ9" s="102"/>
    </row>
    <row r="10" customFormat="false" ht="15" hidden="false" customHeight="false" outlineLevel="0" collapsed="false">
      <c r="A10" s="76" t="s">
        <v>279</v>
      </c>
      <c r="B10" s="76" t="s">
        <v>394</v>
      </c>
      <c r="C10" s="12"/>
      <c r="D10" s="12" t="n">
        <v>13192.8</v>
      </c>
      <c r="E10" s="12" t="n">
        <v>480</v>
      </c>
      <c r="F10" s="12" t="s">
        <v>395</v>
      </c>
      <c r="G10" s="12" t="n">
        <v>227</v>
      </c>
      <c r="H10" s="12" t="n">
        <v>366</v>
      </c>
      <c r="I10" s="12" t="n">
        <v>11914</v>
      </c>
      <c r="J10" s="12" t="n">
        <v>524.4</v>
      </c>
      <c r="K10" s="12"/>
      <c r="L10" s="12" t="s">
        <v>22</v>
      </c>
      <c r="M10" s="76" t="n">
        <v>16263</v>
      </c>
      <c r="N10" s="78" t="s">
        <v>281</v>
      </c>
      <c r="O10" s="76"/>
      <c r="P10" s="76"/>
      <c r="Q10" s="76"/>
      <c r="R10" s="76" t="n">
        <v>403</v>
      </c>
      <c r="S10" s="76" t="n">
        <v>1540</v>
      </c>
      <c r="T10" s="76" t="n">
        <v>295</v>
      </c>
      <c r="U10" s="76" t="n">
        <v>472.35</v>
      </c>
      <c r="V10" s="76" t="n">
        <v>371</v>
      </c>
      <c r="W10" s="76" t="n">
        <v>297</v>
      </c>
      <c r="X10" s="76"/>
      <c r="Y10" s="76" t="s">
        <v>396</v>
      </c>
      <c r="Z10" s="76" t="n">
        <v>321.36</v>
      </c>
      <c r="AA10" s="76" t="n">
        <v>424.56</v>
      </c>
      <c r="AB10" s="76" t="n">
        <v>127.4</v>
      </c>
      <c r="AC10" s="76"/>
      <c r="AD10" s="76" t="n">
        <v>72</v>
      </c>
      <c r="AE10" s="7" t="s">
        <v>397</v>
      </c>
      <c r="AF10" s="7" t="n">
        <v>402.6</v>
      </c>
      <c r="AG10" s="7" t="n">
        <v>1290.3</v>
      </c>
      <c r="AH10" s="7" t="s">
        <v>398</v>
      </c>
      <c r="AI10" s="7" t="n">
        <v>3415.1</v>
      </c>
      <c r="AJ10" s="7" t="n">
        <v>2242</v>
      </c>
    </row>
    <row r="11" customFormat="false" ht="15" hidden="false" customHeight="false" outlineLevel="0" collapsed="false">
      <c r="A11" s="76"/>
      <c r="B11" s="76"/>
      <c r="C11" s="12"/>
      <c r="D11" s="12"/>
      <c r="E11" s="12"/>
      <c r="F11" s="12"/>
      <c r="G11" s="12"/>
      <c r="H11" s="12"/>
      <c r="I11" s="12"/>
      <c r="J11" s="12"/>
      <c r="K11" s="12"/>
      <c r="L11" s="12"/>
      <c r="M11" s="76" t="s">
        <v>399</v>
      </c>
      <c r="N11" s="76" t="n">
        <v>31848</v>
      </c>
      <c r="O11" s="76"/>
      <c r="P11" s="76"/>
      <c r="Q11" s="76"/>
      <c r="R11" s="76"/>
      <c r="S11" s="76" t="n">
        <v>500.5</v>
      </c>
      <c r="T11" s="76" t="n">
        <v>292</v>
      </c>
      <c r="U11" s="76" t="n">
        <v>205</v>
      </c>
      <c r="V11" s="76" t="n">
        <v>420.5</v>
      </c>
      <c r="W11" s="76" t="n">
        <v>125</v>
      </c>
      <c r="X11" s="76"/>
      <c r="Y11" s="76" t="s">
        <v>400</v>
      </c>
      <c r="Z11" s="76" t="n">
        <v>417</v>
      </c>
      <c r="AA11" s="76" t="n">
        <v>153</v>
      </c>
      <c r="AB11" s="76"/>
      <c r="AC11" s="76"/>
      <c r="AD11" s="76" t="n">
        <v>158</v>
      </c>
      <c r="AE11" s="7" t="n">
        <v>257.7</v>
      </c>
      <c r="AF11" s="7"/>
      <c r="AG11" s="7"/>
      <c r="AH11" s="7"/>
      <c r="AI11" s="7"/>
      <c r="AJ11" s="7"/>
    </row>
    <row r="12" customFormat="false" ht="15" hidden="false" customHeight="false" outlineLevel="0" collapsed="false">
      <c r="A12" s="76"/>
      <c r="B12" s="76"/>
      <c r="C12" s="12"/>
      <c r="D12" s="12"/>
      <c r="E12" s="12"/>
      <c r="F12" s="12"/>
      <c r="G12" s="12"/>
      <c r="H12" s="12"/>
      <c r="I12" s="12"/>
      <c r="J12" s="12"/>
      <c r="K12" s="12"/>
      <c r="L12" s="12"/>
      <c r="M12" s="76" t="s">
        <v>401</v>
      </c>
      <c r="N12" s="76"/>
      <c r="O12" s="76"/>
      <c r="P12" s="76"/>
      <c r="Q12" s="76"/>
      <c r="R12" s="76"/>
      <c r="S12" s="76"/>
      <c r="T12" s="76"/>
      <c r="U12" s="76" t="s">
        <v>402</v>
      </c>
      <c r="V12" s="76" t="n">
        <v>362.1</v>
      </c>
      <c r="W12" s="76"/>
      <c r="X12" s="76"/>
      <c r="Y12" s="76"/>
      <c r="Z12" s="76"/>
      <c r="AA12" s="76"/>
      <c r="AB12" s="76"/>
      <c r="AC12" s="76"/>
      <c r="AD12" s="76"/>
      <c r="AE12" s="103" t="n">
        <v>996</v>
      </c>
      <c r="AF12" s="7"/>
      <c r="AG12" s="7"/>
      <c r="AH12" s="7"/>
      <c r="AI12" s="7"/>
      <c r="AJ12" s="7"/>
    </row>
    <row r="13" customFormat="false" ht="15" hidden="false" customHeight="false" outlineLevel="0" collapsed="false">
      <c r="A13" s="76"/>
      <c r="B13" s="76"/>
      <c r="C13" s="12"/>
      <c r="D13" s="12"/>
      <c r="E13" s="12"/>
      <c r="F13" s="12"/>
      <c r="G13" s="12"/>
      <c r="H13" s="12"/>
      <c r="I13" s="12"/>
      <c r="J13" s="12"/>
      <c r="K13" s="12"/>
      <c r="L13" s="12"/>
      <c r="M13" s="78" t="n">
        <v>9216</v>
      </c>
      <c r="N13" s="76"/>
      <c r="O13" s="76"/>
      <c r="P13" s="76"/>
      <c r="Q13" s="76"/>
      <c r="R13" s="76"/>
      <c r="S13" s="76"/>
      <c r="T13" s="76"/>
      <c r="U13" s="76" t="n">
        <v>111</v>
      </c>
      <c r="V13" s="76"/>
      <c r="W13" s="76"/>
      <c r="X13" s="76"/>
      <c r="Y13" s="76"/>
      <c r="Z13" s="76"/>
      <c r="AA13" s="76"/>
      <c r="AB13" s="76"/>
      <c r="AC13" s="76"/>
      <c r="AD13" s="76"/>
      <c r="AE13" s="7" t="n">
        <v>312</v>
      </c>
      <c r="AF13" s="7"/>
      <c r="AG13" s="7"/>
      <c r="AH13" s="7"/>
      <c r="AI13" s="7"/>
      <c r="AJ13" s="7"/>
    </row>
    <row r="14" customFormat="false" ht="15" hidden="false" customHeight="false" outlineLevel="0" collapsed="false">
      <c r="A14" s="76"/>
      <c r="B14" s="76"/>
      <c r="C14" s="12"/>
      <c r="D14" s="12"/>
      <c r="E14" s="12"/>
      <c r="F14" s="12"/>
      <c r="G14" s="12"/>
      <c r="H14" s="12"/>
      <c r="I14" s="12"/>
      <c r="J14" s="12"/>
      <c r="K14" s="12"/>
      <c r="L14" s="12"/>
      <c r="M14" s="76" t="n">
        <v>13680</v>
      </c>
      <c r="N14" s="76"/>
      <c r="O14" s="76"/>
      <c r="P14" s="76"/>
      <c r="Q14" s="76"/>
      <c r="R14" s="76"/>
      <c r="S14" s="76"/>
      <c r="T14" s="76"/>
      <c r="U14" s="76"/>
      <c r="V14" s="76"/>
      <c r="W14" s="76"/>
      <c r="X14" s="76"/>
      <c r="Y14" s="76"/>
      <c r="Z14" s="76"/>
      <c r="AA14" s="76"/>
      <c r="AB14" s="76"/>
      <c r="AC14" s="76"/>
      <c r="AD14" s="76"/>
      <c r="AE14" s="7" t="n">
        <v>227</v>
      </c>
      <c r="AF14" s="7"/>
      <c r="AG14" s="7"/>
      <c r="AH14" s="7"/>
      <c r="AI14" s="7"/>
      <c r="AJ14" s="7"/>
    </row>
    <row r="15" customFormat="false" ht="15" hidden="false" customHeight="false" outlineLevel="0" collapsed="false">
      <c r="A15" s="101" t="s">
        <v>279</v>
      </c>
      <c r="B15" s="101" t="s">
        <v>282</v>
      </c>
      <c r="C15" s="101"/>
      <c r="D15" s="101"/>
      <c r="E15" s="101"/>
      <c r="F15" s="101"/>
      <c r="G15" s="101"/>
      <c r="H15" s="101"/>
      <c r="I15" s="101"/>
      <c r="J15" s="101"/>
      <c r="K15" s="101"/>
      <c r="L15" s="101"/>
      <c r="M15" s="101" t="n">
        <v>180</v>
      </c>
      <c r="N15" s="101"/>
      <c r="O15" s="101" t="n">
        <v>12</v>
      </c>
      <c r="P15" s="101" t="n">
        <v>11</v>
      </c>
      <c r="Q15" s="101" t="n">
        <v>16</v>
      </c>
      <c r="R15" s="101" t="n">
        <v>36</v>
      </c>
      <c r="S15" s="101"/>
      <c r="T15" s="101"/>
      <c r="U15" s="101"/>
      <c r="V15" s="101"/>
      <c r="W15" s="101"/>
      <c r="X15" s="101"/>
      <c r="Y15" s="101"/>
      <c r="Z15" s="101"/>
      <c r="AA15" s="101"/>
      <c r="AB15" s="101"/>
      <c r="AC15" s="101"/>
      <c r="AD15" s="101"/>
      <c r="AE15" s="102"/>
      <c r="AF15" s="102"/>
      <c r="AG15" s="102"/>
      <c r="AH15" s="102"/>
      <c r="AI15" s="102"/>
      <c r="AJ15" s="102"/>
    </row>
    <row r="16" customFormat="false" ht="15" hidden="false" customHeight="false" outlineLevel="0" collapsed="false">
      <c r="A16" s="72" t="s">
        <v>279</v>
      </c>
      <c r="B16" s="72" t="s">
        <v>283</v>
      </c>
      <c r="C16" s="72"/>
      <c r="D16" s="72"/>
      <c r="E16" s="72"/>
      <c r="F16" s="72"/>
      <c r="G16" s="72"/>
      <c r="H16" s="72"/>
      <c r="I16" s="72"/>
      <c r="J16" s="72"/>
      <c r="K16" s="72"/>
      <c r="L16" s="72"/>
      <c r="M16" s="72" t="n">
        <v>424</v>
      </c>
      <c r="N16" s="72"/>
      <c r="O16" s="72" t="n">
        <v>22</v>
      </c>
      <c r="P16" s="72" t="n">
        <v>25</v>
      </c>
      <c r="Q16" s="72" t="n">
        <v>37</v>
      </c>
      <c r="R16" s="72" t="n">
        <v>144</v>
      </c>
      <c r="S16" s="72"/>
      <c r="T16" s="72"/>
      <c r="U16" s="72"/>
      <c r="V16" s="72"/>
      <c r="W16" s="72"/>
      <c r="X16" s="72"/>
      <c r="Y16" s="72"/>
      <c r="Z16" s="72"/>
      <c r="AA16" s="72"/>
      <c r="AB16" s="72"/>
      <c r="AC16" s="72"/>
      <c r="AD16" s="72"/>
      <c r="AE16" s="7"/>
      <c r="AF16" s="7"/>
      <c r="AG16" s="7"/>
      <c r="AH16" s="7"/>
      <c r="AI16" s="7"/>
      <c r="AJ16" s="7"/>
    </row>
    <row r="17" customFormat="false" ht="15" hidden="false" customHeight="false" outlineLevel="0" collapsed="false">
      <c r="A17" s="101" t="s">
        <v>365</v>
      </c>
      <c r="B17" s="101" t="s">
        <v>365</v>
      </c>
      <c r="C17" s="101"/>
      <c r="D17" s="101" t="n">
        <v>13308</v>
      </c>
      <c r="E17" s="101"/>
      <c r="F17" s="101" t="n">
        <v>11265</v>
      </c>
      <c r="G17" s="101"/>
      <c r="H17" s="101" t="s">
        <v>403</v>
      </c>
      <c r="I17" s="101"/>
      <c r="J17" s="101"/>
      <c r="K17" s="101"/>
      <c r="L17" s="101"/>
      <c r="M17" s="101" t="s">
        <v>404</v>
      </c>
      <c r="N17" s="101"/>
      <c r="O17" s="101"/>
      <c r="P17" s="101"/>
      <c r="Q17" s="101"/>
      <c r="R17" s="102" t="n">
        <v>490</v>
      </c>
      <c r="S17" s="101"/>
      <c r="T17" s="104" t="n">
        <v>48.1</v>
      </c>
      <c r="U17" s="101"/>
      <c r="V17" s="101"/>
      <c r="W17" s="101"/>
      <c r="X17" s="101"/>
      <c r="Y17" s="104" t="n">
        <v>3106.8</v>
      </c>
      <c r="Z17" s="101"/>
      <c r="AA17" s="101"/>
      <c r="AB17" s="101"/>
      <c r="AC17" s="101"/>
      <c r="AD17" s="101"/>
      <c r="AE17" s="101"/>
      <c r="AF17" s="101"/>
      <c r="AG17" s="101"/>
      <c r="AH17" s="101"/>
      <c r="AI17" s="101" t="n">
        <v>1657</v>
      </c>
      <c r="AJ17" s="104" t="s">
        <v>405</v>
      </c>
    </row>
    <row r="18" customFormat="false" ht="15" hidden="false" customHeight="false" outlineLevel="0" collapsed="false">
      <c r="A18" s="101"/>
      <c r="B18" s="101"/>
      <c r="C18" s="101"/>
      <c r="D18" s="101"/>
      <c r="E18" s="101"/>
      <c r="F18" s="101"/>
      <c r="G18" s="101"/>
      <c r="H18" s="101"/>
      <c r="I18" s="101"/>
      <c r="J18" s="101"/>
      <c r="K18" s="101"/>
      <c r="L18" s="101"/>
      <c r="M18" s="101"/>
      <c r="N18" s="101"/>
      <c r="O18" s="101"/>
      <c r="P18" s="101"/>
      <c r="Q18" s="101"/>
      <c r="R18" s="102"/>
      <c r="S18" s="101"/>
      <c r="T18" s="101"/>
      <c r="U18" s="101"/>
      <c r="V18" s="101"/>
      <c r="W18" s="101"/>
      <c r="X18" s="101"/>
      <c r="Y18" s="104" t="n">
        <v>215</v>
      </c>
      <c r="Z18" s="101"/>
      <c r="AA18" s="101"/>
      <c r="AB18" s="101"/>
      <c r="AC18" s="101"/>
      <c r="AD18" s="101"/>
      <c r="AE18" s="101"/>
      <c r="AF18" s="101"/>
      <c r="AG18" s="101"/>
      <c r="AH18" s="101"/>
      <c r="AI18" s="101"/>
      <c r="AJ18" s="104" t="n">
        <v>321</v>
      </c>
    </row>
    <row r="19" customFormat="false" ht="15" hidden="false" customHeight="false" outlineLevel="0" collapsed="false">
      <c r="A19" s="72"/>
      <c r="B19" s="72"/>
      <c r="C19" s="72"/>
      <c r="D19" s="72"/>
      <c r="E19" s="72"/>
      <c r="F19" s="72"/>
      <c r="G19" s="72"/>
      <c r="H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row>
    <row r="20" customFormat="false" ht="15" hidden="false" customHeight="false" outlineLevel="0" collapsed="false">
      <c r="A20" s="72"/>
      <c r="B20" s="72"/>
      <c r="C20" s="79" t="s">
        <v>406</v>
      </c>
      <c r="D20" s="72"/>
      <c r="E20" s="72"/>
      <c r="F20" s="105" t="s">
        <v>407</v>
      </c>
      <c r="G20" s="79" t="s">
        <v>408</v>
      </c>
      <c r="H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row>
    <row r="21" customFormat="false" ht="15" hidden="false" customHeight="false" outlineLevel="0" collapsed="false">
      <c r="A21" s="72"/>
      <c r="B21" s="72" t="s">
        <v>409</v>
      </c>
      <c r="C21" s="72" t="s">
        <v>410</v>
      </c>
      <c r="D21" s="72"/>
      <c r="E21" s="72"/>
      <c r="F21" s="7" t="s">
        <v>411</v>
      </c>
      <c r="G21" s="72" t="s">
        <v>412</v>
      </c>
      <c r="H21" s="72"/>
      <c r="M21" s="106" t="s">
        <v>287</v>
      </c>
      <c r="N21" s="72" t="s">
        <v>412</v>
      </c>
      <c r="O21" s="72"/>
      <c r="P21" s="72"/>
      <c r="Q21" s="72"/>
      <c r="R21" s="72"/>
      <c r="S21" s="72"/>
      <c r="T21" s="72"/>
      <c r="U21" s="72"/>
      <c r="V21" s="72"/>
      <c r="W21" s="72"/>
      <c r="X21" s="72"/>
      <c r="Y21" s="72"/>
      <c r="Z21" s="72"/>
      <c r="AA21" s="72"/>
      <c r="AB21" s="72"/>
      <c r="AC21" s="72"/>
      <c r="AD21" s="72"/>
      <c r="AE21" s="72"/>
      <c r="AF21" s="72"/>
      <c r="AG21" s="72"/>
      <c r="AH21" s="72"/>
      <c r="AI21" s="72"/>
      <c r="AJ21" s="72"/>
    </row>
    <row r="22" customFormat="false" ht="15" hidden="false" customHeight="false" outlineLevel="0" collapsed="false">
      <c r="A22" s="72"/>
      <c r="B22" s="72" t="s">
        <v>413</v>
      </c>
      <c r="C22" s="72" t="s">
        <v>410</v>
      </c>
      <c r="D22" s="72"/>
      <c r="E22" s="72"/>
      <c r="F22" s="72" t="s">
        <v>414</v>
      </c>
      <c r="G22" s="72" t="n">
        <v>523</v>
      </c>
      <c r="H22" s="72"/>
      <c r="I22" s="105" t="s">
        <v>415</v>
      </c>
      <c r="J22" s="72" t="s">
        <v>416</v>
      </c>
      <c r="K22" s="72" t="s">
        <v>417</v>
      </c>
      <c r="M22" s="106" t="s">
        <v>288</v>
      </c>
      <c r="N22" s="72" t="s">
        <v>418</v>
      </c>
      <c r="O22" s="72"/>
      <c r="P22" s="72"/>
      <c r="Q22" s="72"/>
      <c r="R22" s="72"/>
      <c r="S22" s="72"/>
      <c r="T22" s="72"/>
      <c r="U22" s="72"/>
      <c r="V22" s="72"/>
      <c r="W22" s="72"/>
      <c r="X22" s="72"/>
      <c r="Y22" s="72"/>
      <c r="Z22" s="72"/>
      <c r="AA22" s="72"/>
      <c r="AB22" s="72"/>
      <c r="AC22" s="72"/>
      <c r="AD22" s="72"/>
      <c r="AE22" s="72"/>
      <c r="AF22" s="72"/>
      <c r="AG22" s="72"/>
      <c r="AH22" s="72"/>
      <c r="AI22" s="72"/>
      <c r="AJ22" s="72"/>
    </row>
    <row r="23" customFormat="false" ht="15" hidden="false" customHeight="false" outlineLevel="0" collapsed="false">
      <c r="A23" s="72"/>
      <c r="B23" s="72" t="s">
        <v>419</v>
      </c>
      <c r="C23" s="72" t="s">
        <v>420</v>
      </c>
      <c r="D23" s="72"/>
      <c r="E23" s="72"/>
      <c r="F23" s="72" t="s">
        <v>421</v>
      </c>
      <c r="G23" s="72" t="n">
        <v>582</v>
      </c>
      <c r="H23" s="72"/>
      <c r="I23" s="72" t="s">
        <v>422</v>
      </c>
      <c r="J23" s="72" t="n">
        <v>5349</v>
      </c>
      <c r="K23" s="7" t="s">
        <v>423</v>
      </c>
      <c r="M23" s="72"/>
      <c r="N23" s="72" t="s">
        <v>424</v>
      </c>
      <c r="O23" s="72"/>
      <c r="P23" s="72"/>
      <c r="Q23" s="72"/>
      <c r="R23" s="72"/>
      <c r="S23" s="72"/>
      <c r="T23" s="72"/>
      <c r="U23" s="72"/>
      <c r="V23" s="72"/>
      <c r="W23" s="72"/>
      <c r="X23" s="72"/>
      <c r="Y23" s="72"/>
      <c r="Z23" s="72"/>
      <c r="AA23" s="72"/>
      <c r="AB23" s="72"/>
      <c r="AC23" s="72"/>
      <c r="AD23" s="72"/>
      <c r="AE23" s="79" t="s">
        <v>286</v>
      </c>
      <c r="AF23" s="72"/>
      <c r="AG23" s="72"/>
      <c r="AH23" s="72"/>
      <c r="AI23" s="72"/>
      <c r="AJ23" s="72"/>
    </row>
    <row r="24" customFormat="false" ht="15" hidden="false" customHeight="false" outlineLevel="0" collapsed="false">
      <c r="A24" s="72"/>
      <c r="B24" s="72" t="s">
        <v>419</v>
      </c>
      <c r="C24" s="72" t="s">
        <v>420</v>
      </c>
      <c r="D24" s="72"/>
      <c r="E24" s="72"/>
      <c r="F24" s="72" t="s">
        <v>425</v>
      </c>
      <c r="G24" s="72" t="n">
        <v>1563</v>
      </c>
      <c r="H24" s="72"/>
      <c r="I24" s="72" t="s">
        <v>426</v>
      </c>
      <c r="J24" s="72" t="n">
        <v>5336</v>
      </c>
      <c r="K24" s="7" t="s">
        <v>427</v>
      </c>
      <c r="M24" s="72"/>
      <c r="N24" s="72" t="s">
        <v>428</v>
      </c>
      <c r="O24" s="72"/>
      <c r="P24" s="72"/>
      <c r="Q24" s="72"/>
      <c r="R24" s="72"/>
      <c r="S24" s="72"/>
      <c r="T24" s="72"/>
      <c r="U24" s="72"/>
      <c r="V24" s="72"/>
      <c r="W24" s="72"/>
      <c r="X24" s="72"/>
      <c r="Y24" s="72"/>
      <c r="Z24" s="72"/>
      <c r="AA24" s="72"/>
      <c r="AB24" s="72"/>
      <c r="AC24" s="72"/>
      <c r="AD24" s="72"/>
      <c r="AE24" s="72"/>
      <c r="AF24" s="72"/>
      <c r="AG24" s="72"/>
      <c r="AH24" s="72"/>
      <c r="AI24" s="72"/>
      <c r="AJ24" s="72"/>
    </row>
    <row r="25" customFormat="false" ht="15" hidden="false" customHeight="false" outlineLevel="0" collapsed="false">
      <c r="A25" s="72"/>
      <c r="B25" s="72" t="s">
        <v>429</v>
      </c>
      <c r="C25" s="72" t="s">
        <v>430</v>
      </c>
      <c r="D25" s="72"/>
      <c r="E25" s="72"/>
      <c r="F25" s="72" t="s">
        <v>431</v>
      </c>
      <c r="G25" s="72" t="n">
        <v>3005</v>
      </c>
      <c r="H25" s="72"/>
      <c r="I25" s="72" t="s">
        <v>432</v>
      </c>
      <c r="J25" s="72" t="n">
        <v>5084</v>
      </c>
      <c r="K25" s="7" t="s">
        <v>433</v>
      </c>
      <c r="M25" s="72"/>
      <c r="N25" s="72" t="s">
        <v>434</v>
      </c>
      <c r="O25" s="72"/>
      <c r="P25" s="72"/>
      <c r="Q25" s="72"/>
      <c r="R25" s="72"/>
      <c r="S25" s="72"/>
      <c r="T25" s="72"/>
      <c r="U25" s="72"/>
      <c r="V25" s="72"/>
      <c r="W25" s="72"/>
      <c r="X25" s="72"/>
      <c r="Y25" s="72"/>
      <c r="Z25" s="72"/>
      <c r="AA25" s="72"/>
      <c r="AB25" s="72"/>
      <c r="AC25" s="72"/>
      <c r="AD25" s="72"/>
      <c r="AE25" s="72"/>
      <c r="AF25" s="72"/>
      <c r="AG25" s="72"/>
      <c r="AH25" s="72"/>
      <c r="AI25" s="72"/>
      <c r="AJ25" s="72"/>
    </row>
    <row r="26" customFormat="false" ht="15" hidden="false" customHeight="false" outlineLevel="0" collapsed="false">
      <c r="A26" s="72"/>
      <c r="B26" s="72"/>
      <c r="C26" s="72"/>
      <c r="D26" s="72"/>
      <c r="E26" s="72"/>
      <c r="F26" s="72" t="s">
        <v>435</v>
      </c>
      <c r="G26" s="72" t="n">
        <v>5663</v>
      </c>
      <c r="H26" s="72"/>
      <c r="I26" s="72" t="s">
        <v>436</v>
      </c>
      <c r="J26" s="72" t="n">
        <v>7685</v>
      </c>
      <c r="K26" s="7" t="s">
        <v>437</v>
      </c>
      <c r="M26" s="72"/>
      <c r="N26" s="72" t="s">
        <v>438</v>
      </c>
      <c r="O26" s="72"/>
      <c r="P26" s="72"/>
      <c r="Q26" s="72"/>
      <c r="R26" s="72"/>
      <c r="S26" s="72"/>
      <c r="T26" s="72"/>
      <c r="U26" s="72"/>
      <c r="V26" s="72"/>
      <c r="W26" s="72"/>
      <c r="X26" s="72"/>
      <c r="Y26" s="72"/>
      <c r="Z26" s="72"/>
      <c r="AA26" s="72"/>
      <c r="AB26" s="72"/>
      <c r="AC26" s="72"/>
      <c r="AD26" s="72"/>
      <c r="AE26" s="72"/>
      <c r="AF26" s="72"/>
      <c r="AG26" s="72"/>
      <c r="AH26" s="72"/>
      <c r="AI26" s="72"/>
      <c r="AJ26" s="72"/>
    </row>
    <row r="27" customFormat="false" ht="15" hidden="false" customHeight="false" outlineLevel="0" collapsed="false">
      <c r="A27" s="72"/>
      <c r="B27" s="72"/>
      <c r="C27" s="72"/>
      <c r="D27" s="72"/>
      <c r="E27" s="72"/>
      <c r="F27" s="72" t="s">
        <v>439</v>
      </c>
      <c r="G27" s="72" t="n">
        <v>8937</v>
      </c>
      <c r="H27" s="72"/>
      <c r="I27" s="72" t="s">
        <v>440</v>
      </c>
      <c r="J27" s="72" t="n">
        <v>4748</v>
      </c>
      <c r="K27" s="7" t="s">
        <v>441</v>
      </c>
      <c r="M27" s="72"/>
      <c r="N27" s="72" t="s">
        <v>442</v>
      </c>
      <c r="O27" s="72"/>
      <c r="P27" s="72"/>
      <c r="Q27" s="72"/>
      <c r="R27" s="72"/>
      <c r="S27" s="72"/>
      <c r="T27" s="72"/>
      <c r="U27" s="72"/>
      <c r="V27" s="72"/>
      <c r="W27" s="72"/>
      <c r="X27" s="72"/>
      <c r="Y27" s="72"/>
      <c r="Z27" s="72"/>
      <c r="AA27" s="72"/>
      <c r="AB27" s="72"/>
      <c r="AC27" s="72"/>
      <c r="AD27" s="72"/>
      <c r="AE27" s="72"/>
      <c r="AF27" s="72"/>
      <c r="AG27" s="72"/>
      <c r="AH27" s="72"/>
      <c r="AI27" s="72"/>
      <c r="AJ27" s="72"/>
    </row>
    <row r="28" customFormat="false" ht="15" hidden="false" customHeight="false" outlineLevel="0" collapsed="false">
      <c r="A28" s="72"/>
      <c r="B28" s="72"/>
      <c r="C28" s="72"/>
      <c r="D28" s="72"/>
      <c r="E28" s="72"/>
      <c r="F28" s="72"/>
      <c r="G28" s="72"/>
      <c r="H28" s="72"/>
      <c r="I28" s="72" t="s">
        <v>443</v>
      </c>
      <c r="J28" s="72" t="n">
        <v>6428</v>
      </c>
      <c r="K28" s="7" t="s">
        <v>444</v>
      </c>
      <c r="M28" s="72"/>
      <c r="N28" s="72"/>
      <c r="O28" s="72"/>
      <c r="P28" s="72"/>
      <c r="Q28" s="72"/>
      <c r="R28" s="72"/>
      <c r="S28" s="72"/>
      <c r="T28" s="72"/>
      <c r="U28" s="72"/>
      <c r="V28" s="72"/>
      <c r="W28" s="72"/>
      <c r="X28" s="72"/>
      <c r="Y28" s="72"/>
      <c r="Z28" s="72"/>
      <c r="AA28" s="72"/>
      <c r="AB28" s="72"/>
      <c r="AC28" s="72"/>
      <c r="AD28" s="72"/>
      <c r="AE28" s="72"/>
      <c r="AF28" s="72"/>
      <c r="AG28" s="72"/>
      <c r="AH28" s="72"/>
      <c r="AI28" s="72"/>
      <c r="AJ28" s="72"/>
    </row>
    <row r="29" customFormat="false" ht="15" hidden="false" customHeight="false" outlineLevel="0" collapsed="false">
      <c r="A29" s="72"/>
      <c r="B29" s="72"/>
      <c r="C29" s="72"/>
      <c r="D29" s="72"/>
      <c r="E29" s="72"/>
      <c r="F29" s="72"/>
      <c r="G29" s="72"/>
      <c r="H29" s="72"/>
      <c r="I29" s="72" t="s">
        <v>445</v>
      </c>
      <c r="J29" s="72" t="n">
        <v>4777</v>
      </c>
      <c r="K29" s="7" t="s">
        <v>446</v>
      </c>
      <c r="M29" s="72"/>
      <c r="N29" s="72"/>
      <c r="O29" s="72"/>
      <c r="P29" s="72"/>
      <c r="Q29" s="72"/>
      <c r="R29" s="72"/>
      <c r="S29" s="72"/>
      <c r="T29" s="72"/>
      <c r="U29" s="72"/>
      <c r="V29" s="72"/>
      <c r="W29" s="72"/>
      <c r="X29" s="72"/>
      <c r="Y29" s="72"/>
      <c r="Z29" s="72"/>
      <c r="AA29" s="72"/>
      <c r="AB29" s="72"/>
      <c r="AC29" s="72"/>
      <c r="AD29" s="72"/>
      <c r="AE29" s="72"/>
      <c r="AF29" s="72"/>
      <c r="AG29" s="72"/>
      <c r="AH29" s="72"/>
      <c r="AI29" s="72"/>
      <c r="AJ29" s="72"/>
    </row>
    <row r="30" customFormat="false" ht="15" hidden="false" customHeight="false" outlineLevel="0" collapsed="false">
      <c r="A30" s="72"/>
      <c r="B30" s="72"/>
      <c r="C30" s="72"/>
      <c r="D30" s="72"/>
      <c r="E30" s="72"/>
      <c r="F30" s="72"/>
      <c r="G30" s="72"/>
      <c r="H30" s="72"/>
      <c r="I30" s="72" t="s">
        <v>447</v>
      </c>
      <c r="J30" s="72" t="n">
        <v>4218</v>
      </c>
      <c r="K30" s="7" t="s">
        <v>448</v>
      </c>
      <c r="M30" s="72"/>
      <c r="N30" s="72"/>
      <c r="O30" s="72"/>
      <c r="P30" s="72"/>
      <c r="Q30" s="72"/>
      <c r="R30" s="72"/>
      <c r="S30" s="72"/>
      <c r="T30" s="72"/>
      <c r="U30" s="72"/>
      <c r="V30" s="72"/>
      <c r="W30" s="72"/>
      <c r="X30" s="72"/>
      <c r="Y30" s="72"/>
      <c r="Z30" s="72"/>
      <c r="AA30" s="72"/>
      <c r="AB30" s="72"/>
      <c r="AC30" s="72"/>
      <c r="AD30" s="72"/>
      <c r="AE30" s="72"/>
      <c r="AF30" s="72"/>
      <c r="AG30" s="72"/>
      <c r="AH30" s="72"/>
      <c r="AI30" s="72"/>
      <c r="AJ30" s="72"/>
    </row>
    <row r="31" customFormat="false" ht="15" hidden="false" customHeight="false" outlineLevel="0" collapsed="false">
      <c r="A31" s="72"/>
      <c r="B31" s="105" t="s">
        <v>449</v>
      </c>
      <c r="C31" s="72" t="s">
        <v>450</v>
      </c>
      <c r="D31" s="72"/>
      <c r="E31" s="72"/>
      <c r="F31" s="72"/>
      <c r="G31" s="72"/>
      <c r="H31" s="72"/>
      <c r="I31" s="72" t="s">
        <v>451</v>
      </c>
      <c r="J31" s="72" t="n">
        <v>4787</v>
      </c>
      <c r="K31" s="7" t="s">
        <v>452</v>
      </c>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row>
    <row r="32" customFormat="false" ht="15" hidden="false" customHeight="false" outlineLevel="0" collapsed="false">
      <c r="A32" s="72"/>
      <c r="B32" s="105" t="s">
        <v>453</v>
      </c>
      <c r="C32" s="72" t="s">
        <v>454</v>
      </c>
      <c r="D32" s="72" t="s">
        <v>455</v>
      </c>
      <c r="E32" s="72" t="s">
        <v>456</v>
      </c>
      <c r="F32" s="72" t="s">
        <v>457</v>
      </c>
      <c r="G32" s="72" t="s">
        <v>458</v>
      </c>
      <c r="H32" s="72" t="s">
        <v>459</v>
      </c>
      <c r="I32" s="7" t="s">
        <v>302</v>
      </c>
      <c r="J32" s="7" t="n">
        <v>4228</v>
      </c>
      <c r="K32" s="7" t="s">
        <v>460</v>
      </c>
      <c r="Q32" s="72"/>
      <c r="R32" s="72"/>
      <c r="S32" s="72"/>
      <c r="T32" s="72"/>
      <c r="U32" s="72"/>
      <c r="V32" s="72"/>
      <c r="W32" s="72"/>
      <c r="X32" s="72"/>
      <c r="Y32" s="72"/>
      <c r="Z32" s="72"/>
      <c r="AA32" s="72"/>
      <c r="AB32" s="72"/>
      <c r="AC32" s="72"/>
      <c r="AD32" s="72"/>
      <c r="AE32" s="72"/>
      <c r="AF32" s="72"/>
      <c r="AG32" s="72"/>
      <c r="AH32" s="72"/>
      <c r="AI32" s="72"/>
      <c r="AJ32" s="72"/>
    </row>
    <row r="33" customFormat="false" ht="15" hidden="false" customHeight="false" outlineLevel="0" collapsed="false">
      <c r="A33" s="72"/>
      <c r="B33" s="6" t="s">
        <v>461</v>
      </c>
      <c r="C33" s="7"/>
      <c r="D33" s="72"/>
      <c r="E33" s="72"/>
      <c r="F33" s="72"/>
      <c r="G33" s="72"/>
      <c r="H33" s="72"/>
      <c r="I33" s="7" t="s">
        <v>462</v>
      </c>
      <c r="J33" s="7" t="n">
        <v>4491</v>
      </c>
      <c r="K33" s="7" t="s">
        <v>463</v>
      </c>
      <c r="Q33" s="72"/>
      <c r="R33" s="72"/>
      <c r="S33" s="72"/>
      <c r="T33" s="72"/>
      <c r="U33" s="72"/>
      <c r="V33" s="72"/>
      <c r="W33" s="72"/>
      <c r="X33" s="72"/>
      <c r="Y33" s="72"/>
      <c r="Z33" s="72"/>
      <c r="AA33" s="72"/>
      <c r="AB33" s="72"/>
      <c r="AC33" s="72"/>
      <c r="AD33" s="72"/>
      <c r="AE33" s="72"/>
      <c r="AF33" s="72"/>
      <c r="AG33" s="72"/>
      <c r="AH33" s="72"/>
      <c r="AI33" s="72"/>
      <c r="AJ33" s="72"/>
    </row>
    <row r="34" customFormat="false" ht="15" hidden="false" customHeight="false" outlineLevel="0" collapsed="false">
      <c r="A34" s="72"/>
      <c r="B34" s="72" t="s">
        <v>464</v>
      </c>
      <c r="C34" s="72" t="n">
        <v>3.7</v>
      </c>
      <c r="D34" s="72" t="n">
        <v>3.1</v>
      </c>
      <c r="E34" s="72" t="n">
        <v>0.96</v>
      </c>
      <c r="F34" s="72" t="n">
        <v>0.373</v>
      </c>
      <c r="G34" s="72" t="n">
        <v>0.085</v>
      </c>
      <c r="H34" s="72" t="n">
        <v>0.041</v>
      </c>
      <c r="I34" s="72"/>
      <c r="J34" s="72"/>
      <c r="K34" s="72" t="s">
        <v>465</v>
      </c>
      <c r="Q34" s="72"/>
      <c r="R34" s="72"/>
      <c r="S34" s="72"/>
      <c r="T34" s="72"/>
      <c r="U34" s="72"/>
      <c r="V34" s="72"/>
      <c r="W34" s="72"/>
      <c r="X34" s="72"/>
      <c r="Y34" s="72"/>
      <c r="Z34" s="72"/>
      <c r="AA34" s="72"/>
      <c r="AB34" s="72"/>
      <c r="AC34" s="72"/>
      <c r="AD34" s="72"/>
      <c r="AE34" s="72"/>
      <c r="AF34" s="72"/>
      <c r="AG34" s="72"/>
      <c r="AH34" s="72"/>
      <c r="AI34" s="72"/>
      <c r="AJ34" s="72"/>
    </row>
    <row r="35" customFormat="false" ht="15" hidden="false" customHeight="false" outlineLevel="0" collapsed="false">
      <c r="A35" s="72"/>
      <c r="B35" s="72" t="s">
        <v>466</v>
      </c>
      <c r="C35" s="72" t="n">
        <v>1.22</v>
      </c>
      <c r="D35" s="72" t="n">
        <v>0.375</v>
      </c>
      <c r="E35" s="72" t="n">
        <v>0.101</v>
      </c>
      <c r="F35" s="72" t="n">
        <v>0.022</v>
      </c>
      <c r="G35" s="72" t="n">
        <v>0.006</v>
      </c>
      <c r="H35" s="72" t="n">
        <v>0.006</v>
      </c>
      <c r="I35" s="72"/>
      <c r="J35" s="72"/>
      <c r="K35" s="72"/>
      <c r="Q35" s="72"/>
      <c r="R35" s="72"/>
      <c r="S35" s="72"/>
      <c r="T35" s="72"/>
      <c r="U35" s="72"/>
      <c r="V35" s="72"/>
      <c r="W35" s="72"/>
      <c r="X35" s="72"/>
      <c r="Y35" s="72"/>
      <c r="Z35" s="72"/>
      <c r="AA35" s="72"/>
      <c r="AB35" s="72"/>
      <c r="AC35" s="72"/>
      <c r="AD35" s="72"/>
      <c r="AE35" s="72"/>
      <c r="AF35" s="72"/>
      <c r="AG35" s="72"/>
      <c r="AH35" s="72"/>
      <c r="AI35" s="72"/>
      <c r="AJ35" s="72"/>
    </row>
    <row r="36" customFormat="false" ht="15" hidden="false" customHeight="false" outlineLevel="0" collapsed="false">
      <c r="A36" s="72"/>
      <c r="B36" s="72" t="s">
        <v>467</v>
      </c>
      <c r="C36" s="72" t="n">
        <v>0.27</v>
      </c>
      <c r="D36" s="72" t="n">
        <v>0.14</v>
      </c>
      <c r="E36" s="72" t="n">
        <v>0.067</v>
      </c>
      <c r="F36" s="72" t="n">
        <v>0.042</v>
      </c>
      <c r="G36" s="72" t="n">
        <v>0.009</v>
      </c>
      <c r="H36" s="72" t="n">
        <v>0.003</v>
      </c>
      <c r="I36" s="72"/>
      <c r="J36" s="72"/>
      <c r="K36" s="72"/>
      <c r="Q36" s="12"/>
      <c r="R36" s="72"/>
      <c r="S36" s="72"/>
      <c r="T36" s="72"/>
      <c r="U36" s="72"/>
      <c r="V36" s="72"/>
      <c r="W36" s="72"/>
      <c r="X36" s="72"/>
      <c r="Y36" s="72"/>
      <c r="Z36" s="72"/>
      <c r="AA36" s="72"/>
      <c r="AB36" s="72"/>
      <c r="AC36" s="72"/>
      <c r="AD36" s="72"/>
      <c r="AE36" s="72"/>
      <c r="AF36" s="72"/>
      <c r="AG36" s="72"/>
      <c r="AH36" s="72"/>
      <c r="AI36" s="72"/>
      <c r="AJ36" s="72"/>
    </row>
    <row r="37" customFormat="false" ht="15" hidden="false" customHeight="false" outlineLevel="0" collapsed="false">
      <c r="A37" s="72"/>
      <c r="B37" s="72" t="s">
        <v>468</v>
      </c>
      <c r="C37" s="72" t="n">
        <v>1.857</v>
      </c>
      <c r="D37" s="72" t="n">
        <v>0.523</v>
      </c>
      <c r="E37" s="72" t="n">
        <v>0.214</v>
      </c>
      <c r="F37" s="72" t="n">
        <v>0.0598</v>
      </c>
      <c r="G37" s="72" t="n">
        <v>0.013</v>
      </c>
      <c r="H37" s="72" t="n">
        <v>0.006</v>
      </c>
      <c r="I37" s="72"/>
      <c r="J37" s="72"/>
      <c r="K37" s="72"/>
      <c r="Q37" s="72"/>
      <c r="R37" s="72"/>
      <c r="S37" s="72"/>
      <c r="T37" s="72"/>
      <c r="U37" s="72"/>
      <c r="V37" s="72"/>
      <c r="W37" s="72"/>
      <c r="X37" s="72"/>
      <c r="Y37" s="72"/>
      <c r="Z37" s="72"/>
      <c r="AA37" s="72"/>
      <c r="AB37" s="72"/>
      <c r="AC37" s="72"/>
      <c r="AD37" s="72"/>
      <c r="AE37" s="72"/>
      <c r="AF37" s="72"/>
      <c r="AG37" s="72"/>
      <c r="AH37" s="72"/>
      <c r="AI37" s="72"/>
      <c r="AJ37" s="72"/>
    </row>
    <row r="38" customFormat="false" ht="15" hidden="false" customHeight="false" outlineLevel="0" collapsed="false">
      <c r="A38" s="72"/>
      <c r="B38" s="72" t="s">
        <v>469</v>
      </c>
      <c r="C38" s="72" t="n">
        <v>1.123</v>
      </c>
      <c r="D38" s="72" t="n">
        <v>0.591</v>
      </c>
      <c r="E38" s="72" t="n">
        <v>0.135</v>
      </c>
      <c r="F38" s="72" t="n">
        <v>0.029</v>
      </c>
      <c r="G38" s="72" t="n">
        <v>0.028</v>
      </c>
      <c r="H38" s="72" t="n">
        <v>0.009</v>
      </c>
      <c r="I38" s="72"/>
      <c r="J38" s="72"/>
      <c r="K38" s="72"/>
      <c r="Q38" s="72"/>
      <c r="R38" s="72"/>
      <c r="S38" s="72"/>
      <c r="T38" s="72"/>
      <c r="U38" s="72"/>
      <c r="V38" s="72"/>
      <c r="W38" s="72"/>
      <c r="X38" s="72"/>
      <c r="Y38" s="72"/>
      <c r="Z38" s="72"/>
      <c r="AA38" s="72"/>
      <c r="AB38" s="72"/>
      <c r="AC38" s="72"/>
      <c r="AD38" s="72"/>
      <c r="AE38" s="72"/>
      <c r="AF38" s="72"/>
      <c r="AG38" s="72"/>
      <c r="AH38" s="72"/>
      <c r="AI38" s="72"/>
      <c r="AJ38" s="72"/>
    </row>
    <row r="39" customFormat="false" ht="15" hidden="false" customHeight="false" outlineLevel="0" collapsed="false">
      <c r="A39" s="72"/>
      <c r="B39" s="72" t="s">
        <v>470</v>
      </c>
      <c r="C39" s="72" t="n">
        <v>3.94</v>
      </c>
      <c r="D39" s="72" t="n">
        <v>2.46</v>
      </c>
      <c r="E39" s="72" t="n">
        <v>0.716</v>
      </c>
      <c r="F39" s="72" t="n">
        <v>0.224</v>
      </c>
      <c r="G39" s="72" t="n">
        <v>0.087</v>
      </c>
      <c r="H39" s="72" t="n">
        <v>0.047</v>
      </c>
      <c r="I39" s="72"/>
      <c r="J39" s="72"/>
      <c r="K39" s="72"/>
      <c r="Q39" s="72"/>
      <c r="R39" s="72"/>
      <c r="S39" s="72"/>
      <c r="T39" s="72"/>
      <c r="U39" s="72"/>
      <c r="V39" s="72"/>
      <c r="W39" s="72"/>
      <c r="X39" s="72"/>
      <c r="Y39" s="72"/>
      <c r="Z39" s="72"/>
      <c r="AA39" s="72"/>
      <c r="AB39" s="72"/>
      <c r="AC39" s="72"/>
      <c r="AD39" s="72"/>
      <c r="AE39" s="72"/>
      <c r="AF39" s="72"/>
      <c r="AG39" s="72"/>
      <c r="AH39" s="72"/>
      <c r="AI39" s="72"/>
      <c r="AJ39" s="72"/>
    </row>
    <row r="40" customFormat="false" ht="15" hidden="false" customHeight="false" outlineLevel="0" collapsed="false">
      <c r="A40" s="72"/>
      <c r="B40" s="72" t="s">
        <v>471</v>
      </c>
      <c r="C40" s="72" t="n">
        <v>1.853</v>
      </c>
      <c r="D40" s="72" t="n">
        <v>0.861</v>
      </c>
      <c r="E40" s="72" t="n">
        <v>0.149</v>
      </c>
      <c r="F40" s="72" t="n">
        <v>0.106</v>
      </c>
      <c r="G40" s="72" t="n">
        <v>0.009</v>
      </c>
      <c r="H40" s="72" t="n">
        <v>0.006</v>
      </c>
      <c r="I40" s="72"/>
      <c r="J40" s="72"/>
      <c r="K40" s="72"/>
      <c r="Q40" s="72"/>
      <c r="R40" s="72"/>
      <c r="S40" s="72"/>
      <c r="T40" s="72"/>
      <c r="U40" s="72"/>
      <c r="V40" s="72"/>
      <c r="W40" s="72"/>
      <c r="X40" s="72"/>
      <c r="Y40" s="72"/>
      <c r="Z40" s="72"/>
      <c r="AA40" s="72"/>
      <c r="AB40" s="72"/>
      <c r="AC40" s="72"/>
      <c r="AD40" s="72"/>
      <c r="AE40" s="72"/>
      <c r="AF40" s="72"/>
      <c r="AG40" s="72"/>
      <c r="AH40" s="72"/>
      <c r="AI40" s="72"/>
      <c r="AJ40" s="72"/>
    </row>
  </sheetData>
  <mergeCells count="2">
    <mergeCell ref="B1:B2"/>
    <mergeCell ref="O1:Q1"/>
  </mergeCells>
  <hyperlinks>
    <hyperlink ref="C20" r:id="rId2" display="http://www.aidsdatahub.org/sites/default/files/documents/Responding_to_HIV_in_Afghanistan.pdf.pdf"/>
    <hyperlink ref="G20" r:id="rId3" display="http://download.springer.com/static/pdf/682/art%253A10.2165%252F11587500-000000000-00000.pdf?originUrl=http%3A%2F%2Flink.springer.com%2Farticle%2F10.2165%2F11587500-000000000-00000&amp;token2=exp=1456537651~acl=%2Fstatic%2Fpdf%2F682%2Fart%25253A10.2165%25252F11587500-000000000-00000.pdf%3ForiginUrl%3Dhttp%253A%252F%252Flink.springer.com%252Farticle%252F10.2165%252F11587500-000000000-00000*~hmac=24c59607df1749110edd3d12df3dadc959cbe37ea7a2e4ddba435142a6a3c73f"/>
    <hyperlink ref="M21" r:id="rId4" display="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hyperlink ref="M22" r:id="rId5" display="http://jama.jamanetwork.com/article.aspx?articleid=1150355"/>
    <hyperlink ref="AE23" r:id="rId6" display="http://www.ncbi.nlm.nih.gov/pmc/articles/PMC2365748/pdf/nihms45505.pdf"/>
    <hyperlink ref="B33" r:id="rId7" display="http://archinte.jamanetwork.com/article.aspx?articleid=214173&amp;resultclick=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8"/>
</worksheet>
</file>

<file path=docProps/app.xml><?xml version="1.0" encoding="utf-8"?>
<Properties xmlns="http://schemas.openxmlformats.org/officeDocument/2006/extended-properties" xmlns:vt="http://schemas.openxmlformats.org/officeDocument/2006/docPropsVTypes">
  <Template/>
  <TotalTime>24</TotalTime>
  <Application>LibreOffice/5.2.4.2.1$Linux_X86_64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2017-02-08T17:46:49Z</dcterms:modified>
  <cp:revision>5</cp:revision>
  <dc:subject/>
  <dc:title/>
</cp:coreProperties>
</file>