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E:\Excel Project\"/>
    </mc:Choice>
  </mc:AlternateContent>
  <xr:revisionPtr revIDLastSave="0" documentId="13_ncr:1_{08EBC80C-A15B-453E-A43A-DA1599045687}" xr6:coauthVersionLast="47" xr6:coauthVersionMax="47" xr10:uidLastSave="{00000000-0000-0000-0000-000000000000}"/>
  <bookViews>
    <workbookView xWindow="-120" yWindow="-120" windowWidth="20730" windowHeight="11160" firstSheet="8" activeTab="11" xr2:uid="{26D4546B-D2A1-4444-8EAF-A6228F96F0C1}"/>
  </bookViews>
  <sheets>
    <sheet name="All Staff" sheetId="5" r:id="rId1"/>
    <sheet name="india_staff" sheetId="4" r:id="rId2"/>
    <sheet name="nz_staff" sheetId="3" r:id="rId3"/>
    <sheet name="Data" sheetId="1" r:id="rId4"/>
    <sheet name="India Staff" sheetId="2" r:id="rId5"/>
    <sheet name="Info Finder 2.0" sheetId="6" r:id="rId6"/>
    <sheet name="Male Vs Female" sheetId="7" r:id="rId7"/>
    <sheet name="Salary Spread" sheetId="8" r:id="rId8"/>
    <sheet name="Salary Vs Rating" sheetId="9" r:id="rId9"/>
    <sheet name="Employee trend" sheetId="11" r:id="rId10"/>
    <sheet name="Sheet2" sheetId="12" r:id="rId11"/>
    <sheet name="Sheet4" sheetId="13" r:id="rId12"/>
    <sheet name="Sheet3" sheetId="10" r:id="rId13"/>
  </sheets>
  <definedNames>
    <definedName name="_xlnm._FilterDatabase" localSheetId="3" hidden="1">Data!$C$5:$I$105</definedName>
    <definedName name="_xlnm._FilterDatabase" localSheetId="4" hidden="1">'India Staff'!$B$2:$H$114</definedName>
    <definedName name="_xlchart.v1.0" hidden="1">'All Staff'!$F$1</definedName>
    <definedName name="_xlchart.v1.1" hidden="1">'All Staff'!$F$2:$F$184</definedName>
    <definedName name="_xlchart.v1.2" hidden="1">'All Staff'!$F$1</definedName>
    <definedName name="_xlchart.v1.3" hidden="1">'All Staff'!$F$2:$F$184</definedName>
    <definedName name="_xlcn.WorksheetConnection_blankdatafile.xlsxstaff1" hidden="1">Staff[]</definedName>
    <definedName name="ExternalData_1" localSheetId="2" hidden="1">nz_staff!$A$1:$H$102</definedName>
    <definedName name="ExternalData_2" localSheetId="1" hidden="1">india_staff!$A$1:$H$113</definedName>
    <definedName name="ExternalData_3" localSheetId="0" hidden="1">'All Staff'!$A$1:$H$184</definedName>
    <definedName name="Slicer_Country">#N/A</definedName>
  </definedNames>
  <calcPr calcId="191029"/>
  <pivotCaches>
    <pivotCache cacheId="16" r:id="rId14"/>
    <pivotCache cacheId="20" r:id="rId15"/>
    <pivotCache cacheId="170" r:id="rId16"/>
    <pivotCache cacheId="206" r:id="rId17"/>
    <pivotCache cacheId="209" r:id="rId18"/>
  </pivotCaches>
  <extLst>
    <ext xmlns:x14="http://schemas.microsoft.com/office/spreadsheetml/2009/9/main" uri="{876F7934-8845-4945-9796-88D515C7AA90}">
      <x14:pivotCaches>
        <pivotCache cacheId="19" r:id="rId19"/>
      </x14:pivotCaches>
    </ex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2" l="1"/>
  <c r="J3" i="12"/>
  <c r="L3" i="12" s="1"/>
  <c r="G3" i="12"/>
  <c r="C3" i="12"/>
  <c r="E3" i="12" s="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S4" i="11" a="1"/>
  <c r="S4" i="11" s="1"/>
  <c r="T4" i="11" s="1"/>
  <c r="U7" i="11" l="1"/>
  <c r="U11" i="11"/>
  <c r="U15" i="11"/>
  <c r="U19" i="11"/>
  <c r="U23" i="11"/>
  <c r="U27" i="11"/>
  <c r="U31" i="11"/>
  <c r="U35" i="11"/>
  <c r="U39" i="11"/>
  <c r="U6" i="11"/>
  <c r="U10" i="11"/>
  <c r="U14" i="11"/>
  <c r="U18" i="11"/>
  <c r="U22" i="11"/>
  <c r="U26" i="11"/>
  <c r="U30" i="11"/>
  <c r="U34" i="11"/>
  <c r="U38" i="11"/>
  <c r="U8" i="11"/>
  <c r="U12" i="11"/>
  <c r="U16" i="11"/>
  <c r="U20" i="11"/>
  <c r="U24" i="11"/>
  <c r="U28" i="11"/>
  <c r="U32" i="11"/>
  <c r="U36" i="11"/>
  <c r="U4" i="11"/>
  <c r="U5" i="11"/>
  <c r="U9" i="11"/>
  <c r="U13" i="11"/>
  <c r="U17" i="11"/>
  <c r="U21" i="11"/>
  <c r="U25" i="11"/>
  <c r="U29" i="11"/>
  <c r="U33" i="11"/>
  <c r="U37" i="11"/>
  <c r="R4" i="11" a="1"/>
  <c r="R4" i="11" s="1"/>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F4" i="6"/>
  <c r="O8" i="5"/>
  <c r="I2" i="5"/>
  <c r="J2" i="5" s="1"/>
  <c r="I3" i="5"/>
  <c r="J3" i="5" s="1"/>
  <c r="I4" i="5"/>
  <c r="J4" i="5" s="1"/>
  <c r="I5" i="5"/>
  <c r="J5" i="5" s="1"/>
  <c r="I6" i="5"/>
  <c r="J6" i="5" s="1"/>
  <c r="I7" i="5"/>
  <c r="J7" i="5" s="1"/>
  <c r="I8" i="5"/>
  <c r="J8" i="5" s="1"/>
  <c r="I9" i="5"/>
  <c r="J9" i="5" s="1"/>
  <c r="I10" i="5"/>
  <c r="J10" i="5" s="1"/>
  <c r="I11" i="5"/>
  <c r="J11" i="5" s="1"/>
  <c r="I12" i="5"/>
  <c r="J12" i="5" s="1"/>
  <c r="I13" i="5"/>
  <c r="J13" i="5" s="1"/>
  <c r="I14" i="5"/>
  <c r="J14" i="5" s="1"/>
  <c r="I15" i="5"/>
  <c r="J15" i="5" s="1"/>
  <c r="I16" i="5"/>
  <c r="J16" i="5" s="1"/>
  <c r="I17" i="5"/>
  <c r="J17" i="5" s="1"/>
  <c r="I18" i="5"/>
  <c r="J18" i="5" s="1"/>
  <c r="I19" i="5"/>
  <c r="J19" i="5" s="1"/>
  <c r="I20" i="5"/>
  <c r="J20" i="5" s="1"/>
  <c r="I21" i="5"/>
  <c r="J21" i="5" s="1"/>
  <c r="I22" i="5"/>
  <c r="J22" i="5" s="1"/>
  <c r="I23" i="5"/>
  <c r="J23" i="5" s="1"/>
  <c r="I24" i="5"/>
  <c r="J24" i="5" s="1"/>
  <c r="I25" i="5"/>
  <c r="J25" i="5" s="1"/>
  <c r="I26" i="5"/>
  <c r="J26" i="5" s="1"/>
  <c r="I27" i="5"/>
  <c r="J27" i="5" s="1"/>
  <c r="I28" i="5"/>
  <c r="J28" i="5" s="1"/>
  <c r="I29" i="5"/>
  <c r="J29" i="5" s="1"/>
  <c r="I30" i="5"/>
  <c r="J30" i="5" s="1"/>
  <c r="I31" i="5"/>
  <c r="J31" i="5" s="1"/>
  <c r="I32" i="5"/>
  <c r="J32" i="5" s="1"/>
  <c r="I33" i="5"/>
  <c r="J33" i="5" s="1"/>
  <c r="I34" i="5"/>
  <c r="J34" i="5" s="1"/>
  <c r="I35" i="5"/>
  <c r="J35" i="5" s="1"/>
  <c r="I36" i="5"/>
  <c r="J36" i="5" s="1"/>
  <c r="I37" i="5"/>
  <c r="J37" i="5" s="1"/>
  <c r="I38" i="5"/>
  <c r="J38" i="5" s="1"/>
  <c r="I39" i="5"/>
  <c r="J39" i="5" s="1"/>
  <c r="I40" i="5"/>
  <c r="J40" i="5" s="1"/>
  <c r="I41" i="5"/>
  <c r="J41" i="5" s="1"/>
  <c r="I42" i="5"/>
  <c r="J42" i="5" s="1"/>
  <c r="I43" i="5"/>
  <c r="J43" i="5" s="1"/>
  <c r="I44" i="5"/>
  <c r="J44" i="5" s="1"/>
  <c r="I45" i="5"/>
  <c r="J45" i="5" s="1"/>
  <c r="I46" i="5"/>
  <c r="J46" i="5" s="1"/>
  <c r="I47" i="5"/>
  <c r="J47" i="5" s="1"/>
  <c r="I48" i="5"/>
  <c r="J48" i="5" s="1"/>
  <c r="I49" i="5"/>
  <c r="J49" i="5" s="1"/>
  <c r="I50" i="5"/>
  <c r="J50" i="5" s="1"/>
  <c r="I51" i="5"/>
  <c r="J51" i="5" s="1"/>
  <c r="I52" i="5"/>
  <c r="J52" i="5" s="1"/>
  <c r="I53" i="5"/>
  <c r="J53" i="5" s="1"/>
  <c r="I54" i="5"/>
  <c r="J54" i="5" s="1"/>
  <c r="I55" i="5"/>
  <c r="J55" i="5" s="1"/>
  <c r="I56" i="5"/>
  <c r="J56" i="5" s="1"/>
  <c r="I57" i="5"/>
  <c r="J57" i="5" s="1"/>
  <c r="I58" i="5"/>
  <c r="J58" i="5" s="1"/>
  <c r="I59" i="5"/>
  <c r="J59" i="5" s="1"/>
  <c r="I60" i="5"/>
  <c r="J60" i="5" s="1"/>
  <c r="I61" i="5"/>
  <c r="J61" i="5" s="1"/>
  <c r="I62" i="5"/>
  <c r="J62" i="5" s="1"/>
  <c r="I63" i="5"/>
  <c r="J63" i="5" s="1"/>
  <c r="I64" i="5"/>
  <c r="J64" i="5" s="1"/>
  <c r="I65" i="5"/>
  <c r="J65" i="5" s="1"/>
  <c r="I66" i="5"/>
  <c r="J66" i="5" s="1"/>
  <c r="I67" i="5"/>
  <c r="J67" i="5" s="1"/>
  <c r="I68" i="5"/>
  <c r="J68" i="5" s="1"/>
  <c r="I69" i="5"/>
  <c r="J69" i="5" s="1"/>
  <c r="I70" i="5"/>
  <c r="J70" i="5" s="1"/>
  <c r="I71" i="5"/>
  <c r="J71" i="5" s="1"/>
  <c r="I72" i="5"/>
  <c r="J72" i="5" s="1"/>
  <c r="I73" i="5"/>
  <c r="J73" i="5" s="1"/>
  <c r="I74" i="5"/>
  <c r="J74" i="5" s="1"/>
  <c r="I75" i="5"/>
  <c r="J75" i="5" s="1"/>
  <c r="I76" i="5"/>
  <c r="J76" i="5" s="1"/>
  <c r="I77" i="5"/>
  <c r="J77" i="5" s="1"/>
  <c r="I78" i="5"/>
  <c r="J78" i="5" s="1"/>
  <c r="I79" i="5"/>
  <c r="J79" i="5" s="1"/>
  <c r="I80" i="5"/>
  <c r="J80" i="5" s="1"/>
  <c r="I81" i="5"/>
  <c r="J81" i="5" s="1"/>
  <c r="I82" i="5"/>
  <c r="J82" i="5" s="1"/>
  <c r="I83" i="5"/>
  <c r="J83" i="5" s="1"/>
  <c r="I84" i="5"/>
  <c r="J84" i="5" s="1"/>
  <c r="I85" i="5"/>
  <c r="J85" i="5" s="1"/>
  <c r="I86" i="5"/>
  <c r="J86" i="5" s="1"/>
  <c r="I87" i="5"/>
  <c r="J87" i="5" s="1"/>
  <c r="I88" i="5"/>
  <c r="J88" i="5" s="1"/>
  <c r="I89" i="5"/>
  <c r="J89" i="5" s="1"/>
  <c r="I90" i="5"/>
  <c r="J90" i="5" s="1"/>
  <c r="I91" i="5"/>
  <c r="J91" i="5" s="1"/>
  <c r="I92" i="5"/>
  <c r="J92" i="5" s="1"/>
  <c r="I93" i="5"/>
  <c r="J93" i="5" s="1"/>
  <c r="I94" i="5"/>
  <c r="J94" i="5" s="1"/>
  <c r="I95" i="5"/>
  <c r="J95" i="5" s="1"/>
  <c r="I96" i="5"/>
  <c r="J96" i="5" s="1"/>
  <c r="I97" i="5"/>
  <c r="J97" i="5" s="1"/>
  <c r="I98" i="5"/>
  <c r="J98" i="5" s="1"/>
  <c r="I99" i="5"/>
  <c r="J99" i="5" s="1"/>
  <c r="I100" i="5"/>
  <c r="J100" i="5" s="1"/>
  <c r="I101" i="5"/>
  <c r="J101" i="5" s="1"/>
  <c r="I102" i="5"/>
  <c r="J102" i="5" s="1"/>
  <c r="I103" i="5"/>
  <c r="J103" i="5" s="1"/>
  <c r="I104" i="5"/>
  <c r="J104" i="5" s="1"/>
  <c r="I105" i="5"/>
  <c r="J105" i="5" s="1"/>
  <c r="I106" i="5"/>
  <c r="J106" i="5" s="1"/>
  <c r="I107" i="5"/>
  <c r="J107" i="5" s="1"/>
  <c r="I108" i="5"/>
  <c r="J108" i="5" s="1"/>
  <c r="I109" i="5"/>
  <c r="J109" i="5" s="1"/>
  <c r="I110" i="5"/>
  <c r="J110" i="5" s="1"/>
  <c r="I111" i="5"/>
  <c r="J111" i="5" s="1"/>
  <c r="I112" i="5"/>
  <c r="J112" i="5" s="1"/>
  <c r="I113" i="5"/>
  <c r="J113" i="5" s="1"/>
  <c r="I114" i="5"/>
  <c r="J114" i="5" s="1"/>
  <c r="I115" i="5"/>
  <c r="J115" i="5" s="1"/>
  <c r="I116" i="5"/>
  <c r="J116" i="5" s="1"/>
  <c r="I117" i="5"/>
  <c r="J117" i="5" s="1"/>
  <c r="I118" i="5"/>
  <c r="J118" i="5" s="1"/>
  <c r="I119" i="5"/>
  <c r="J119" i="5" s="1"/>
  <c r="I120" i="5"/>
  <c r="J120" i="5" s="1"/>
  <c r="I121" i="5"/>
  <c r="J121" i="5" s="1"/>
  <c r="I122" i="5"/>
  <c r="J122" i="5" s="1"/>
  <c r="I123" i="5"/>
  <c r="J123" i="5" s="1"/>
  <c r="I124" i="5"/>
  <c r="J124" i="5" s="1"/>
  <c r="I125" i="5"/>
  <c r="J125" i="5" s="1"/>
  <c r="I126" i="5"/>
  <c r="J126" i="5" s="1"/>
  <c r="I127" i="5"/>
  <c r="J127" i="5" s="1"/>
  <c r="I128" i="5"/>
  <c r="J128" i="5" s="1"/>
  <c r="I129" i="5"/>
  <c r="J129" i="5" s="1"/>
  <c r="I130" i="5"/>
  <c r="J130" i="5" s="1"/>
  <c r="I131" i="5"/>
  <c r="J131" i="5" s="1"/>
  <c r="I132" i="5"/>
  <c r="J132" i="5" s="1"/>
  <c r="I133" i="5"/>
  <c r="J133" i="5" s="1"/>
  <c r="I134" i="5"/>
  <c r="J134" i="5" s="1"/>
  <c r="I135" i="5"/>
  <c r="J135" i="5" s="1"/>
  <c r="I136" i="5"/>
  <c r="J136" i="5" s="1"/>
  <c r="I137" i="5"/>
  <c r="J137" i="5" s="1"/>
  <c r="I138" i="5"/>
  <c r="J138" i="5" s="1"/>
  <c r="I139" i="5"/>
  <c r="J139" i="5" s="1"/>
  <c r="I140" i="5"/>
  <c r="J140" i="5" s="1"/>
  <c r="I141" i="5"/>
  <c r="J141" i="5" s="1"/>
  <c r="I142" i="5"/>
  <c r="J142" i="5" s="1"/>
  <c r="I143" i="5"/>
  <c r="J143" i="5" s="1"/>
  <c r="I144" i="5"/>
  <c r="J144" i="5" s="1"/>
  <c r="I145" i="5"/>
  <c r="J145" i="5" s="1"/>
  <c r="I146" i="5"/>
  <c r="J146" i="5" s="1"/>
  <c r="I147" i="5"/>
  <c r="J147" i="5" s="1"/>
  <c r="I148" i="5"/>
  <c r="J148" i="5" s="1"/>
  <c r="I149" i="5"/>
  <c r="J149" i="5" s="1"/>
  <c r="I150" i="5"/>
  <c r="J150" i="5" s="1"/>
  <c r="I151" i="5"/>
  <c r="J151" i="5" s="1"/>
  <c r="I152" i="5"/>
  <c r="J152" i="5" s="1"/>
  <c r="I153" i="5"/>
  <c r="J153" i="5" s="1"/>
  <c r="I154" i="5"/>
  <c r="J154" i="5" s="1"/>
  <c r="I155" i="5"/>
  <c r="J155" i="5" s="1"/>
  <c r="I156" i="5"/>
  <c r="J156" i="5" s="1"/>
  <c r="I157" i="5"/>
  <c r="J157" i="5" s="1"/>
  <c r="I158" i="5"/>
  <c r="J158" i="5" s="1"/>
  <c r="I159" i="5"/>
  <c r="J159" i="5" s="1"/>
  <c r="I160" i="5"/>
  <c r="J160" i="5" s="1"/>
  <c r="I161" i="5"/>
  <c r="J161" i="5" s="1"/>
  <c r="I162" i="5"/>
  <c r="J162" i="5" s="1"/>
  <c r="I163" i="5"/>
  <c r="J163" i="5" s="1"/>
  <c r="I164" i="5"/>
  <c r="J164" i="5" s="1"/>
  <c r="I165" i="5"/>
  <c r="J165" i="5" s="1"/>
  <c r="I166" i="5"/>
  <c r="J166" i="5" s="1"/>
  <c r="I167" i="5"/>
  <c r="J167" i="5" s="1"/>
  <c r="I168" i="5"/>
  <c r="J168" i="5" s="1"/>
  <c r="I169" i="5"/>
  <c r="J169" i="5" s="1"/>
  <c r="I170" i="5"/>
  <c r="J170" i="5" s="1"/>
  <c r="I171" i="5"/>
  <c r="J171" i="5" s="1"/>
  <c r="I172" i="5"/>
  <c r="J172" i="5" s="1"/>
  <c r="I173" i="5"/>
  <c r="J173" i="5" s="1"/>
  <c r="I174" i="5"/>
  <c r="J174" i="5" s="1"/>
  <c r="I175" i="5"/>
  <c r="J175" i="5" s="1"/>
  <c r="I176" i="5"/>
  <c r="J176" i="5" s="1"/>
  <c r="I177" i="5"/>
  <c r="J177" i="5" s="1"/>
  <c r="I178" i="5"/>
  <c r="J178" i="5" s="1"/>
  <c r="I179" i="5"/>
  <c r="J179" i="5" s="1"/>
  <c r="I180" i="5"/>
  <c r="J180" i="5" s="1"/>
  <c r="I181" i="5"/>
  <c r="J181" i="5" s="1"/>
  <c r="I182" i="5"/>
  <c r="J182" i="5" s="1"/>
  <c r="I183" i="5"/>
  <c r="J183" i="5" s="1"/>
  <c r="I184" i="5"/>
  <c r="J184" i="5" s="1"/>
  <c r="P5" i="5"/>
  <c r="P4" i="5"/>
  <c r="O5" i="5"/>
  <c r="O4" i="5"/>
  <c r="O3" i="5"/>
  <c r="F106" i="1"/>
  <c r="H106" i="1"/>
  <c r="I106" i="1"/>
  <c r="O14" i="5" l="1" a="1"/>
  <c r="O14" i="5" s="1"/>
  <c r="B6" i="6" a="1"/>
  <c r="B6" i="6" s="1"/>
  <c r="O7" i="5"/>
  <c r="O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482B2C-956D-4747-B578-6B51F2108D2C}" keepAlive="1" name="Query - india_staff" description="Connection to the 'india_staff' query in the workbook." type="5" refreshedVersion="8" background="1" saveData="1">
    <dbPr connection="Provider=Microsoft.Mashup.OleDb.1;Data Source=$Workbook$;Location=india_staff;Extended Properties=&quot;&quot;" command="SELECT * FROM [india_staff]"/>
  </connection>
  <connection id="2" xr16:uid="{700CF18E-D5D4-4981-84BF-638701753D52}" keepAlive="1" name="Query - nz_staff" description="Connection to the 'nz_staff' query in the workbook." type="5" refreshedVersion="8" background="1" saveData="1">
    <dbPr connection="Provider=Microsoft.Mashup.OleDb.1;Data Source=$Workbook$;Location=nz_staff;Extended Properties=&quot;&quot;" command="SELECT * FROM [nz_staff]"/>
  </connection>
  <connection id="3" xr16:uid="{6A0FE652-7CC1-4048-8769-646CA8B477BC}"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AAFFA52-0782-4E81-8886-2820C02C2500}" keepAlive="1" name="Query - Staff (2)" description="Connection to the 'Staff (2)' query in the workbook." type="5" refreshedVersion="0" background="1">
    <dbPr connection="Provider=Microsoft.Mashup.OleDb.1;Data Source=$Workbook$;Location=&quot;Staff (2)&quot;;Extended Properties=&quot;&quot;" command="SELECT * FROM [Staff (2)]"/>
  </connection>
  <connection id="5" xr16:uid="{662DF833-8D84-4580-9A32-83E94D60396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5E9A4892-454D-45DC-B5E2-3107EF3183A6}"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<sst xmlns="http://schemas.openxmlformats.org/spreadsheetml/2006/main" count="2959" uniqueCount="254">
  <si>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</si>
  <si>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</si>
  <si>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</si>
  <si>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</si>
  <si>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</si>
  <si>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</si>
  <si>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</si>
  <si>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</si>
  <si>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</si>
  <si>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</si>
  <si>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</si>
  <si>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</si>
  <si>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</si>
  <si>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</si>
  <si>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</si>
  <si>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</si>
  <si>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</si>
  <si>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</si>
  <si>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</si>
  <si>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</si>
  <si>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</si>
  <si>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</si>
  <si>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</si>
  <si>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</si>
  <si>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</si>
  <si>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</si>
  <si>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</si>
  <si>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</si>
  <si>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</si>
  <si>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</si>
  <si>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</si>
  <si>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</si>
  <si>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</si>
  <si>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</si>
  <si>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</si>
  <si>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</si>
  <si>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</si>
  <si>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</si>
  <si>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</si>
  <si>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</si>
  <si>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</si>
  <si>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</si>
  <si>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</si>
  <si>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</si>
  <si>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</si>
  <si>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</si>
  <si>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</si>
  <si>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</si>
  <si>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</si>
  <si>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</si>
  <si>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</si>
  <si>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</si>
  <si>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</si>
  <si>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</si>
  <si>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</si>
  <si>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</si>
  <si>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</si>
  <si>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</si>
  <si>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</si>
  <si>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</si>
  <si>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</si>
  <si>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</si>
  <si>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</si>
  <si>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</si>
  <si>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</si>
  <si>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</si>
  <si>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</si>
  <si>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</si>
  <si>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</si>
  <si>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</si>
  <si>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</si>
  <si>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</si>
  <si>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</si>
  <si>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</si>
  <si>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</si>
  <si>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</si>
  <si>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</si>
  <si>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</si>
  <si>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</si>
  <si>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</si>
  <si>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</si>
  <si>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</si>
  <si>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</si>
  <si>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</si>
  <si>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</si>
  <si>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</si>
  <si>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</si>
  <si>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</si>
  <si>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</si>
  <si>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</si>
  <si>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</si>
  <si>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</si>
  <si>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</si>
  <si>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</si>
  <si>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</si>
  <si>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</si>
  <si>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</si>
  <si>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</si>
  <si>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</si>
  <si>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</si>
  <si>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</si>
  <si>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</si>
  <si>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</si>
  <si>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</si>
  <si>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</si>
  <si>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</si>
  <si>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</si>
  <si>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</si>
  <si>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</si>
  <si>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</si>
  <si>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</si>
  <si>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</si>
  <si>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</si>
  <si>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</si>
  <si>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</si>
  <si>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</si>
  <si>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</si>
  <si>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</si>
  <si>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</si>
  <si>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</si>
  <si>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</si>
  <si>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</si>
  <si>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</si>
  <si>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</si>
  <si>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</si>
  <si>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</si>
  <si>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</si>
  <si>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</si>
  <si>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</si>
  <si>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</si>
  <si>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</si>
  <si>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</si>
  <si>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</si>
  <si>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</si>
  <si>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</si>
  <si>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</si>
  <si>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</si>
  <si>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</si>
  <si>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</si>
  <si>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</si>
  <si>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</si>
  <si>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</si>
  <si>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</si>
  <si>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</si>
  <si>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</si>
  <si>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</si>
  <si>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</si>
  <si>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</si>
  <si>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</si>
  <si>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</si>
  <si>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</si>
  <si>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</si>
  <si>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</si>
  <si>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</si>
  <si>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</si>
  <si>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</si>
  <si>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</si>
  <si>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</si>
  <si>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</si>
  <si>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</si>
  <si>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</si>
  <si>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</si>
  <si>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</si>
  <si>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</si>
  <si>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</si>
  <si>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</si>
  <si>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</si>
  <si>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</si>
  <si>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</si>
  <si>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</si>
  <si>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</si>
  <si>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</si>
  <si>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</si>
  <si>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</si>
  <si>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</si>
  <si>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</si>
  <si>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</si>
  <si>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</si>
  <si>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</si>
  <si>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</si>
  <si>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</si>
  <si>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</si>
  <si>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</si>
  <si>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</si>
  <si>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</si>
  <si>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</si>
  <si>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</si>
  <si>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</si>
  <si>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</si>
  <si>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</si>
  <si>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</si>
  <si>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</si>
  <si>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</si>
  <si>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</si>
  <si>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</si>
  <si>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</si>
  <si>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</si>
  <si>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</si>
  <si>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</si>
  <si>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</si>
  <si>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</si>
  <si>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</si>
  <si>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</si>
  <si>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</si>
  <si>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</si>
  <si>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</si>
  <si>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IND</t>
  </si>
  <si>
    <t>Other</t>
  </si>
  <si>
    <t>Average Age</t>
  </si>
  <si>
    <t>Average Tenure</t>
  </si>
  <si>
    <t>Average Salary</t>
  </si>
  <si>
    <t>Female Ratio %</t>
  </si>
  <si>
    <t xml:space="preserve">Count of Employees   </t>
  </si>
  <si>
    <t>Tenure</t>
  </si>
  <si>
    <t>Female count</t>
  </si>
  <si>
    <t>Summary Of Data :</t>
  </si>
  <si>
    <t>Date of join</t>
  </si>
  <si>
    <t>Employee Info :</t>
  </si>
  <si>
    <t>Information Finder</t>
  </si>
  <si>
    <t>Department :</t>
  </si>
  <si>
    <t>Number Of People :</t>
  </si>
  <si>
    <t>Column Labels</t>
  </si>
  <si>
    <t>Grand Total</t>
  </si>
  <si>
    <t>Count of Name</t>
  </si>
  <si>
    <t>Average of Age</t>
  </si>
  <si>
    <t>Values</t>
  </si>
  <si>
    <t>Average of Salary</t>
  </si>
  <si>
    <t>Average of Tenure</t>
  </si>
  <si>
    <t>Male Vs Female :</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</si>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</sst>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quot;$&quot;#,##0.00"/>
    <numFmt numFmtId="166" formatCode="_(&quot;$&quot;* #,##0_);_(&quot;$&quot;* \(#,##0\);_(&quot;$&quot;* &quot;-&quot;??_);_(@_)"/>
    <numFmt numFmtId="167" formatCode="&quot;$&quot;#,##0"/>
    <numFmt numFmtId="172" formatCode="[$-409]mmm\-yy;@"/>
  </numFmts>
  <fonts count="18"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4"/>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sz val="14"/>
      <color theme="1"/>
      <name val="Calibri"/>
      <family val="2"/>
      <scheme val="minor"/>
    </font>
    <font>
      <b/>
      <sz val="24"/>
      <color theme="1"/>
      <name val="Calibri"/>
      <family val="2"/>
      <scheme val="minor"/>
    </font>
    <font>
      <b/>
      <sz val="36"/>
      <color theme="0"/>
      <name val="Calibri"/>
      <family val="2"/>
      <scheme val="minor"/>
    </font>
    <font>
      <b/>
      <sz val="28"/>
      <color theme="0"/>
      <name val="Calibri"/>
      <family val="2"/>
      <scheme val="minor"/>
    </font>
    <font>
      <b/>
      <sz val="72"/>
      <color theme="0"/>
      <name val="Calibri"/>
      <family val="2"/>
      <scheme val="minor"/>
    </font>
    <font>
      <b/>
      <sz val="72"/>
      <name val="Calibri"/>
      <family val="2"/>
      <scheme val="minor"/>
    </font>
    <font>
      <b/>
      <sz val="36"/>
      <name val="Calibri"/>
      <family val="2"/>
      <scheme val="minor"/>
    </font>
    <font>
      <b/>
      <sz val="28"/>
      <name val="Calibri"/>
      <family val="2"/>
      <scheme val="minor"/>
    </font>
    <font>
      <sz val="26"/>
      <name val="Calibri"/>
      <family val="2"/>
      <scheme val="minor"/>
    </font>
    <font>
      <sz val="28"/>
      <color theme="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theme="5"/>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5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22" fontId="0" fillId="0" borderId="0" xfId="0" applyNumberFormat="1"/>
    <xf numFmtId="14"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xf>
    <xf numFmtId="0" fontId="0" fillId="0" borderId="0" xfId="0" applyAlignment="1">
      <alignment horizontal="left" vertical="top"/>
    </xf>
    <xf numFmtId="44" fontId="0" fillId="0" borderId="0" xfId="1" applyFont="1"/>
    <xf numFmtId="2" fontId="0" fillId="0" borderId="0" xfId="0" applyNumberFormat="1"/>
    <xf numFmtId="9" fontId="0" fillId="0" borderId="0" xfId="0" applyNumberFormat="1"/>
    <xf numFmtId="0" fontId="4" fillId="4" borderId="0" xfId="0" applyFont="1" applyFill="1"/>
    <xf numFmtId="0" fontId="0" fillId="6" borderId="0" xfId="0" applyFill="1"/>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0" fontId="5" fillId="7" borderId="0" xfId="0" applyFont="1" applyFill="1"/>
    <xf numFmtId="0" fontId="3" fillId="5" borderId="2" xfId="0" applyFont="1" applyFill="1" applyBorder="1" applyAlignment="1">
      <alignment horizontal="center" vertical="center"/>
    </xf>
    <xf numFmtId="0" fontId="6" fillId="0" borderId="0" xfId="0" applyFont="1"/>
    <xf numFmtId="0" fontId="7" fillId="0" borderId="0" xfId="0" applyFont="1"/>
    <xf numFmtId="0" fontId="5" fillId="0" borderId="2" xfId="0" applyFont="1" applyBorder="1" applyAlignment="1">
      <alignment horizontal="center"/>
    </xf>
    <xf numFmtId="0" fontId="8" fillId="0" borderId="0" xfId="0" applyFont="1"/>
    <xf numFmtId="0" fontId="0" fillId="0" borderId="0" xfId="0" pivotButton="1"/>
    <xf numFmtId="164" fontId="0" fillId="0" borderId="0" xfId="0" applyNumberFormat="1"/>
    <xf numFmtId="165" fontId="0" fillId="0" borderId="0" xfId="0" applyNumberFormat="1"/>
    <xf numFmtId="0" fontId="9" fillId="8" borderId="0" xfId="0" applyFont="1" applyFill="1"/>
    <xf numFmtId="166" fontId="0" fillId="0" borderId="0" xfId="1" applyNumberFormat="1" applyFont="1"/>
    <xf numFmtId="167" fontId="0" fillId="0" borderId="0" xfId="0" applyNumberFormat="1"/>
    <xf numFmtId="0" fontId="0" fillId="0" borderId="0" xfId="1" applyNumberFormat="1" applyFont="1"/>
    <xf numFmtId="0" fontId="0" fillId="0" borderId="0" xfId="0" applyNumberFormat="1"/>
    <xf numFmtId="0" fontId="0" fillId="0" borderId="0" xfId="0" applyAlignment="1">
      <alignment horizontal="left" indent="1"/>
    </xf>
    <xf numFmtId="172" fontId="0" fillId="0" borderId="0" xfId="0" applyNumberFormat="1"/>
    <xf numFmtId="0" fontId="0" fillId="0" borderId="0" xfId="0" applyBorder="1"/>
    <xf numFmtId="9" fontId="10" fillId="9" borderId="0" xfId="0" applyNumberFormat="1" applyFont="1" applyFill="1" applyAlignment="1">
      <alignment horizontal="center" vertical="center"/>
    </xf>
    <xf numFmtId="6" fontId="11" fillId="9" borderId="0" xfId="0" applyNumberFormat="1" applyFont="1" applyFill="1" applyAlignment="1">
      <alignment horizontal="center" vertical="center"/>
    </xf>
    <xf numFmtId="0" fontId="12" fillId="9" borderId="0" xfId="0" applyFont="1" applyFill="1" applyAlignment="1">
      <alignment horizontal="center" vertical="center"/>
    </xf>
    <xf numFmtId="0" fontId="13" fillId="10" borderId="0" xfId="0" applyFont="1" applyFill="1" applyAlignment="1">
      <alignment horizontal="center" vertical="center"/>
    </xf>
    <xf numFmtId="9" fontId="14" fillId="10" borderId="0" xfId="0" applyNumberFormat="1" applyFont="1" applyFill="1" applyAlignment="1">
      <alignment horizontal="center" vertical="center"/>
    </xf>
    <xf numFmtId="6" fontId="15" fillId="10" borderId="0" xfId="0" applyNumberFormat="1" applyFont="1" applyFill="1" applyAlignment="1">
      <alignment horizontal="center" vertical="center"/>
    </xf>
    <xf numFmtId="0" fontId="16" fillId="11" borderId="3" xfId="0" applyFont="1" applyFill="1" applyBorder="1" applyAlignment="1">
      <alignment horizontal="center" vertical="center"/>
    </xf>
    <xf numFmtId="0" fontId="16" fillId="11" borderId="4" xfId="0" applyFont="1" applyFill="1" applyBorder="1" applyAlignment="1">
      <alignment horizontal="center" vertical="center"/>
    </xf>
    <xf numFmtId="0" fontId="16" fillId="11" borderId="5"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17" fillId="3" borderId="5" xfId="0" applyFont="1" applyFill="1" applyBorder="1" applyAlignment="1">
      <alignment horizontal="center" vertical="center"/>
    </xf>
  </cellXfs>
  <cellStyles count="2">
    <cellStyle name="Currency" xfId="1" builtinId="4"/>
    <cellStyle name="Normal" xfId="0" builtinId="0"/>
  </cellStyles>
  <dxfs count="26">
    <dxf>
      <font>
        <color rgb="FF9C0006"/>
      </font>
      <fill>
        <patternFill>
          <bgColor rgb="FFFFC7CE"/>
        </patternFill>
      </fill>
    </dxf>
    <dxf>
      <numFmt numFmtId="19" formatCode="m/d/yyyy"/>
    </dxf>
    <dxf>
      <numFmt numFmtId="20" formatCode="d\-mmm\-yy"/>
    </dxf>
    <dxf>
      <numFmt numFmtId="12" formatCode="&quot;$&quot;#,##0.00_);[Red]\(&quot;$&quot;#,##0.00\)"/>
    </dxf>
    <dxf>
      <numFmt numFmtId="12" formatCode="&quot;$&quot;#,##0.00_);[Red]\(&quot;$&quot;#,##0.0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left"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27" formatCode="m/d/yyyy\ h:mm"/>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dxf>
    <dxf>
      <numFmt numFmtId="166" formatCode="_(&quot;$&quot;* #,##0_);_(&quot;$&quot;* \(#,##0\);_(&quot;$&quot;* &quot;-&quot;??_);_(@_)"/>
    </dxf>
    <dxf>
      <numFmt numFmtId="2" formatCode="0.00"/>
    </dxf>
    <dxf>
      <numFmt numFmtId="166" formatCode="_(&quot;$&quot;* #,##0_);_(&quot;$&quot;* \(#,##0\);_(&quot;$&quot;* &quot;-&quot;??_);_(@_)"/>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VS Rating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'All Staff'!$F$2:$F$184</c:f>
              <c:numCache>
                <c:formatCode>_("$"* #,##0_);_("$"* \(#,##0\);_("$"* "-"??_);_(@_)</c:formatCode>
                <c:ptCount val="183"/>
                <c:pt idx="0">
                  <c:v>112780</c:v>
                </c:pt>
                <c:pt idx="1">
                  <c:v>70610</c:v>
                </c:pt>
                <c:pt idx="2">
                  <c:v>53240</c:v>
                </c:pt>
                <c:pt idx="3">
                  <c:v>115440</c:v>
                </c:pt>
                <c:pt idx="4">
                  <c:v>53540</c:v>
                </c:pt>
                <c:pt idx="5">
                  <c:v>112570</c:v>
                </c:pt>
                <c:pt idx="6">
                  <c:v>48530</c:v>
                </c:pt>
                <c:pt idx="7">
                  <c:v>62780</c:v>
                </c:pt>
                <c:pt idx="8">
                  <c:v>53870</c:v>
                </c:pt>
                <c:pt idx="9">
                  <c:v>119110</c:v>
                </c:pt>
                <c:pt idx="10">
                  <c:v>112110</c:v>
                </c:pt>
                <c:pt idx="11">
                  <c:v>65700</c:v>
                </c:pt>
                <c:pt idx="12">
                  <c:v>69070</c:v>
                </c:pt>
                <c:pt idx="13">
                  <c:v>107700</c:v>
                </c:pt>
                <c:pt idx="14">
                  <c:v>43840</c:v>
                </c:pt>
                <c:pt idx="15">
                  <c:v>99750</c:v>
                </c:pt>
                <c:pt idx="16">
                  <c:v>37920</c:v>
                </c:pt>
                <c:pt idx="17">
                  <c:v>57090</c:v>
                </c:pt>
                <c:pt idx="18">
                  <c:v>41980</c:v>
                </c:pt>
                <c:pt idx="19">
                  <c:v>75880</c:v>
                </c:pt>
                <c:pt idx="20">
                  <c:v>58940</c:v>
                </c:pt>
                <c:pt idx="21">
                  <c:v>67910</c:v>
                </c:pt>
                <c:pt idx="22">
                  <c:v>58100</c:v>
                </c:pt>
                <c:pt idx="23">
                  <c:v>48980</c:v>
                </c:pt>
                <c:pt idx="24">
                  <c:v>64000</c:v>
                </c:pt>
                <c:pt idx="25">
                  <c:v>75000</c:v>
                </c:pt>
                <c:pt idx="26">
                  <c:v>87620</c:v>
                </c:pt>
                <c:pt idx="27">
                  <c:v>34980</c:v>
                </c:pt>
                <c:pt idx="28">
                  <c:v>75970</c:v>
                </c:pt>
                <c:pt idx="29">
                  <c:v>60130</c:v>
                </c:pt>
                <c:pt idx="30">
                  <c:v>75480</c:v>
                </c:pt>
                <c:pt idx="31">
                  <c:v>115920</c:v>
                </c:pt>
                <c:pt idx="32">
                  <c:v>78540</c:v>
                </c:pt>
                <c:pt idx="33">
                  <c:v>109190</c:v>
                </c:pt>
                <c:pt idx="34">
                  <c:v>49630</c:v>
                </c:pt>
                <c:pt idx="35">
                  <c:v>99970</c:v>
                </c:pt>
                <c:pt idx="36">
                  <c:v>96140</c:v>
                </c:pt>
                <c:pt idx="37">
                  <c:v>103550</c:v>
                </c:pt>
                <c:pt idx="38">
                  <c:v>48950</c:v>
                </c:pt>
                <c:pt idx="39">
                  <c:v>52610</c:v>
                </c:pt>
                <c:pt idx="40">
                  <c:v>78390</c:v>
                </c:pt>
                <c:pt idx="41">
                  <c:v>86570</c:v>
                </c:pt>
                <c:pt idx="42">
                  <c:v>83750</c:v>
                </c:pt>
                <c:pt idx="43">
                  <c:v>92450</c:v>
                </c:pt>
                <c:pt idx="44">
                  <c:v>112650</c:v>
                </c:pt>
                <c:pt idx="45">
                  <c:v>79570</c:v>
                </c:pt>
                <c:pt idx="46">
                  <c:v>68900</c:v>
                </c:pt>
                <c:pt idx="47">
                  <c:v>80700</c:v>
                </c:pt>
                <c:pt idx="48">
                  <c:v>58960</c:v>
                </c:pt>
                <c:pt idx="49">
                  <c:v>118840</c:v>
                </c:pt>
                <c:pt idx="50">
                  <c:v>48170</c:v>
                </c:pt>
                <c:pt idx="51">
                  <c:v>45510</c:v>
                </c:pt>
                <c:pt idx="52">
                  <c:v>114890</c:v>
                </c:pt>
                <c:pt idx="53">
                  <c:v>69710</c:v>
                </c:pt>
                <c:pt idx="54">
                  <c:v>71380</c:v>
                </c:pt>
                <c:pt idx="55">
                  <c:v>109160</c:v>
                </c:pt>
                <c:pt idx="56">
                  <c:v>113280</c:v>
                </c:pt>
                <c:pt idx="57">
                  <c:v>69120</c:v>
                </c:pt>
                <c:pt idx="58">
                  <c:v>118100</c:v>
                </c:pt>
                <c:pt idx="59">
                  <c:v>76900</c:v>
                </c:pt>
                <c:pt idx="60">
                  <c:v>114870</c:v>
                </c:pt>
                <c:pt idx="61">
                  <c:v>91310</c:v>
                </c:pt>
                <c:pt idx="62">
                  <c:v>104770</c:v>
                </c:pt>
                <c:pt idx="63">
                  <c:v>54970</c:v>
                </c:pt>
                <c:pt idx="64">
                  <c:v>90700</c:v>
                </c:pt>
                <c:pt idx="65">
                  <c:v>56870</c:v>
                </c:pt>
                <c:pt idx="66">
                  <c:v>92700</c:v>
                </c:pt>
                <c:pt idx="67">
                  <c:v>65920</c:v>
                </c:pt>
                <c:pt idx="68">
                  <c:v>47360</c:v>
                </c:pt>
                <c:pt idx="69">
                  <c:v>60570</c:v>
                </c:pt>
                <c:pt idx="70">
                  <c:v>104120</c:v>
                </c:pt>
                <c:pt idx="71">
                  <c:v>88050</c:v>
                </c:pt>
                <c:pt idx="72">
                  <c:v>100420</c:v>
                </c:pt>
                <c:pt idx="73">
                  <c:v>114180</c:v>
                </c:pt>
                <c:pt idx="74">
                  <c:v>33920</c:v>
                </c:pt>
                <c:pt idx="75">
                  <c:v>106460</c:v>
                </c:pt>
                <c:pt idx="76">
                  <c:v>40400</c:v>
                </c:pt>
                <c:pt idx="77">
                  <c:v>91650</c:v>
                </c:pt>
                <c:pt idx="78">
                  <c:v>36040</c:v>
                </c:pt>
                <c:pt idx="79">
                  <c:v>104410</c:v>
                </c:pt>
                <c:pt idx="80">
                  <c:v>96800</c:v>
                </c:pt>
                <c:pt idx="81">
                  <c:v>85000</c:v>
                </c:pt>
                <c:pt idx="82">
                  <c:v>43510</c:v>
                </c:pt>
                <c:pt idx="83">
                  <c:v>59430</c:v>
                </c:pt>
                <c:pt idx="84">
                  <c:v>65360</c:v>
                </c:pt>
                <c:pt idx="85">
                  <c:v>41570</c:v>
                </c:pt>
                <c:pt idx="86">
                  <c:v>75280</c:v>
                </c:pt>
                <c:pt idx="87">
                  <c:v>74550</c:v>
                </c:pt>
                <c:pt idx="88">
                  <c:v>67950</c:v>
                </c:pt>
                <c:pt idx="89">
                  <c:v>70270</c:v>
                </c:pt>
                <c:pt idx="90">
                  <c:v>53540</c:v>
                </c:pt>
                <c:pt idx="91">
                  <c:v>112650</c:v>
                </c:pt>
                <c:pt idx="92">
                  <c:v>43840</c:v>
                </c:pt>
                <c:pt idx="93">
                  <c:v>103550</c:v>
                </c:pt>
                <c:pt idx="94">
                  <c:v>45510</c:v>
                </c:pt>
                <c:pt idx="95">
                  <c:v>115440</c:v>
                </c:pt>
                <c:pt idx="96">
                  <c:v>56870</c:v>
                </c:pt>
                <c:pt idx="97">
                  <c:v>92700</c:v>
                </c:pt>
                <c:pt idx="98">
                  <c:v>91310</c:v>
                </c:pt>
                <c:pt idx="99">
                  <c:v>74550</c:v>
                </c:pt>
                <c:pt idx="100">
                  <c:v>109190</c:v>
                </c:pt>
                <c:pt idx="101">
                  <c:v>104410</c:v>
                </c:pt>
                <c:pt idx="102">
                  <c:v>96800</c:v>
                </c:pt>
                <c:pt idx="103">
                  <c:v>48170</c:v>
                </c:pt>
                <c:pt idx="104">
                  <c:v>37920</c:v>
                </c:pt>
                <c:pt idx="105">
                  <c:v>112650</c:v>
                </c:pt>
                <c:pt idx="106">
                  <c:v>49630</c:v>
                </c:pt>
                <c:pt idx="107">
                  <c:v>118840</c:v>
                </c:pt>
                <c:pt idx="108">
                  <c:v>69710</c:v>
                </c:pt>
                <c:pt idx="109">
                  <c:v>79570</c:v>
                </c:pt>
                <c:pt idx="110">
                  <c:v>76900</c:v>
                </c:pt>
                <c:pt idx="111">
                  <c:v>54970</c:v>
                </c:pt>
                <c:pt idx="112">
                  <c:v>88050</c:v>
                </c:pt>
                <c:pt idx="113">
                  <c:v>36040</c:v>
                </c:pt>
                <c:pt idx="114">
                  <c:v>75000</c:v>
                </c:pt>
                <c:pt idx="115">
                  <c:v>40400</c:v>
                </c:pt>
                <c:pt idx="116">
                  <c:v>100420</c:v>
                </c:pt>
                <c:pt idx="117">
                  <c:v>58100</c:v>
                </c:pt>
                <c:pt idx="118">
                  <c:v>114870</c:v>
                </c:pt>
                <c:pt idx="119">
                  <c:v>41570</c:v>
                </c:pt>
                <c:pt idx="120">
                  <c:v>112570</c:v>
                </c:pt>
                <c:pt idx="121">
                  <c:v>47360</c:v>
                </c:pt>
                <c:pt idx="122">
                  <c:v>65920</c:v>
                </c:pt>
                <c:pt idx="123">
                  <c:v>99970</c:v>
                </c:pt>
                <c:pt idx="124">
                  <c:v>80700</c:v>
                </c:pt>
                <c:pt idx="125">
                  <c:v>52610</c:v>
                </c:pt>
                <c:pt idx="126">
                  <c:v>112110</c:v>
                </c:pt>
                <c:pt idx="127">
                  <c:v>119110</c:v>
                </c:pt>
                <c:pt idx="128">
                  <c:v>112780</c:v>
                </c:pt>
                <c:pt idx="129">
                  <c:v>114890</c:v>
                </c:pt>
                <c:pt idx="130">
                  <c:v>48980</c:v>
                </c:pt>
                <c:pt idx="131">
                  <c:v>75880</c:v>
                </c:pt>
                <c:pt idx="132">
                  <c:v>53240</c:v>
                </c:pt>
                <c:pt idx="133">
                  <c:v>85000</c:v>
                </c:pt>
                <c:pt idx="134">
                  <c:v>33920</c:v>
                </c:pt>
                <c:pt idx="135">
                  <c:v>75280</c:v>
                </c:pt>
                <c:pt idx="136">
                  <c:v>58940</c:v>
                </c:pt>
                <c:pt idx="137">
                  <c:v>104770</c:v>
                </c:pt>
                <c:pt idx="138">
                  <c:v>57090</c:v>
                </c:pt>
                <c:pt idx="139">
                  <c:v>91650</c:v>
                </c:pt>
                <c:pt idx="140">
                  <c:v>70270</c:v>
                </c:pt>
                <c:pt idx="141">
                  <c:v>75970</c:v>
                </c:pt>
                <c:pt idx="142">
                  <c:v>90700</c:v>
                </c:pt>
                <c:pt idx="143">
                  <c:v>60570</c:v>
                </c:pt>
                <c:pt idx="144">
                  <c:v>115920</c:v>
                </c:pt>
                <c:pt idx="145">
                  <c:v>65360</c:v>
                </c:pt>
                <c:pt idx="146">
                  <c:v>64000</c:v>
                </c:pt>
                <c:pt idx="147">
                  <c:v>92450</c:v>
                </c:pt>
                <c:pt idx="148">
                  <c:v>48950</c:v>
                </c:pt>
                <c:pt idx="149">
                  <c:v>83750</c:v>
                </c:pt>
                <c:pt idx="150">
                  <c:v>87620</c:v>
                </c:pt>
                <c:pt idx="151">
                  <c:v>68900</c:v>
                </c:pt>
                <c:pt idx="152">
                  <c:v>53540</c:v>
                </c:pt>
                <c:pt idx="153">
                  <c:v>43510</c:v>
                </c:pt>
                <c:pt idx="154">
                  <c:v>109160</c:v>
                </c:pt>
                <c:pt idx="155">
                  <c:v>99750</c:v>
                </c:pt>
                <c:pt idx="156">
                  <c:v>41980</c:v>
                </c:pt>
                <c:pt idx="157">
                  <c:v>71380</c:v>
                </c:pt>
                <c:pt idx="158">
                  <c:v>113280</c:v>
                </c:pt>
                <c:pt idx="159">
                  <c:v>86570</c:v>
                </c:pt>
                <c:pt idx="160">
                  <c:v>53540</c:v>
                </c:pt>
                <c:pt idx="161">
                  <c:v>69070</c:v>
                </c:pt>
                <c:pt idx="162">
                  <c:v>67910</c:v>
                </c:pt>
                <c:pt idx="163">
                  <c:v>69120</c:v>
                </c:pt>
                <c:pt idx="164">
                  <c:v>60130</c:v>
                </c:pt>
                <c:pt idx="165">
                  <c:v>106460</c:v>
                </c:pt>
                <c:pt idx="166">
                  <c:v>118100</c:v>
                </c:pt>
                <c:pt idx="167">
                  <c:v>78390</c:v>
                </c:pt>
                <c:pt idx="168">
                  <c:v>114180</c:v>
                </c:pt>
                <c:pt idx="169">
                  <c:v>104120</c:v>
                </c:pt>
                <c:pt idx="170">
                  <c:v>67950</c:v>
                </c:pt>
                <c:pt idx="171">
                  <c:v>34980</c:v>
                </c:pt>
                <c:pt idx="172">
                  <c:v>62780</c:v>
                </c:pt>
                <c:pt idx="173">
                  <c:v>107700</c:v>
                </c:pt>
                <c:pt idx="174">
                  <c:v>65700</c:v>
                </c:pt>
                <c:pt idx="175">
                  <c:v>75480</c:v>
                </c:pt>
                <c:pt idx="176">
                  <c:v>53870</c:v>
                </c:pt>
                <c:pt idx="177">
                  <c:v>78540</c:v>
                </c:pt>
                <c:pt idx="178">
                  <c:v>58960</c:v>
                </c:pt>
                <c:pt idx="179">
                  <c:v>70610</c:v>
                </c:pt>
                <c:pt idx="180">
                  <c:v>59430</c:v>
                </c:pt>
                <c:pt idx="181">
                  <c:v>48530</c:v>
                </c:pt>
                <c:pt idx="182">
                  <c:v>96140</c:v>
                </c:pt>
              </c:numCache>
            </c:numRef>
          </c:xVal>
          <c:yVal>
            <c:numRef>
              <c:f>'All Staff'!$K$2:$K$184</c:f>
              <c:numCache>
                <c:formatCode>General</c:formatCode>
                <c:ptCount val="183"/>
                <c:pt idx="0">
                  <c:v>4</c:v>
                </c:pt>
                <c:pt idx="1">
                  <c:v>3</c:v>
                </c:pt>
                <c:pt idx="2">
                  <c:v>3</c:v>
                </c:pt>
                <c:pt idx="3">
                  <c:v>2</c:v>
                </c:pt>
                <c:pt idx="4">
                  <c:v>3</c:v>
                </c:pt>
                <c:pt idx="5">
                  <c:v>3</c:v>
                </c:pt>
                <c:pt idx="6">
                  <c:v>4</c:v>
                </c:pt>
                <c:pt idx="7">
                  <c:v>3</c:v>
                </c:pt>
                <c:pt idx="8">
                  <c:v>3</c:v>
                </c:pt>
                <c:pt idx="9">
                  <c:v>3</c:v>
                </c:pt>
                <c:pt idx="10">
                  <c:v>2</c:v>
                </c:pt>
                <c:pt idx="11">
                  <c:v>3</c:v>
                </c:pt>
                <c:pt idx="12">
                  <c:v>3</c:v>
                </c:pt>
                <c:pt idx="13">
                  <c:v>3</c:v>
                </c:pt>
                <c:pt idx="14">
                  <c:v>4</c:v>
                </c:pt>
                <c:pt idx="15">
                  <c:v>3</c:v>
                </c:pt>
                <c:pt idx="16">
                  <c:v>3</c:v>
                </c:pt>
                <c:pt idx="17">
                  <c:v>3</c:v>
                </c:pt>
                <c:pt idx="18">
                  <c:v>3</c:v>
                </c:pt>
                <c:pt idx="19">
                  <c:v>3</c:v>
                </c:pt>
                <c:pt idx="20">
                  <c:v>3</c:v>
                </c:pt>
                <c:pt idx="21">
                  <c:v>2</c:v>
                </c:pt>
                <c:pt idx="22">
                  <c:v>3</c:v>
                </c:pt>
                <c:pt idx="23">
                  <c:v>3</c:v>
                </c:pt>
                <c:pt idx="24">
                  <c:v>3</c:v>
                </c:pt>
                <c:pt idx="25">
                  <c:v>5</c:v>
                </c:pt>
                <c:pt idx="26">
                  <c:v>3</c:v>
                </c:pt>
                <c:pt idx="27">
                  <c:v>3</c:v>
                </c:pt>
                <c:pt idx="28">
                  <c:v>3</c:v>
                </c:pt>
                <c:pt idx="29">
                  <c:v>3</c:v>
                </c:pt>
                <c:pt idx="30">
                  <c:v>1</c:v>
                </c:pt>
                <c:pt idx="31">
                  <c:v>3</c:v>
                </c:pt>
                <c:pt idx="32">
                  <c:v>3</c:v>
                </c:pt>
                <c:pt idx="33">
                  <c:v>4</c:v>
                </c:pt>
                <c:pt idx="34">
                  <c:v>2</c:v>
                </c:pt>
                <c:pt idx="35">
                  <c:v>3</c:v>
                </c:pt>
                <c:pt idx="36">
                  <c:v>3</c:v>
                </c:pt>
                <c:pt idx="37">
                  <c:v>3</c:v>
                </c:pt>
                <c:pt idx="38">
                  <c:v>3</c:v>
                </c:pt>
                <c:pt idx="39">
                  <c:v>2</c:v>
                </c:pt>
                <c:pt idx="40">
                  <c:v>3</c:v>
                </c:pt>
                <c:pt idx="41">
                  <c:v>3</c:v>
                </c:pt>
                <c:pt idx="42">
                  <c:v>3</c:v>
                </c:pt>
                <c:pt idx="43">
                  <c:v>3</c:v>
                </c:pt>
                <c:pt idx="44">
                  <c:v>3</c:v>
                </c:pt>
                <c:pt idx="45">
                  <c:v>3</c:v>
                </c:pt>
                <c:pt idx="46">
                  <c:v>2</c:v>
                </c:pt>
                <c:pt idx="47">
                  <c:v>4</c:v>
                </c:pt>
                <c:pt idx="48">
                  <c:v>3</c:v>
                </c:pt>
                <c:pt idx="49">
                  <c:v>3</c:v>
                </c:pt>
                <c:pt idx="50">
                  <c:v>4</c:v>
                </c:pt>
                <c:pt idx="51">
                  <c:v>3</c:v>
                </c:pt>
                <c:pt idx="52">
                  <c:v>3</c:v>
                </c:pt>
                <c:pt idx="53">
                  <c:v>3</c:v>
                </c:pt>
                <c:pt idx="54">
                  <c:v>3</c:v>
                </c:pt>
                <c:pt idx="55">
                  <c:v>5</c:v>
                </c:pt>
                <c:pt idx="56">
                  <c:v>1</c:v>
                </c:pt>
                <c:pt idx="57">
                  <c:v>3</c:v>
                </c:pt>
                <c:pt idx="58">
                  <c:v>3</c:v>
                </c:pt>
                <c:pt idx="59">
                  <c:v>4</c:v>
                </c:pt>
                <c:pt idx="60">
                  <c:v>3</c:v>
                </c:pt>
                <c:pt idx="61">
                  <c:v>3</c:v>
                </c:pt>
                <c:pt idx="62">
                  <c:v>3</c:v>
                </c:pt>
                <c:pt idx="63">
                  <c:v>3</c:v>
                </c:pt>
                <c:pt idx="64">
                  <c:v>4</c:v>
                </c:pt>
                <c:pt idx="65">
                  <c:v>4</c:v>
                </c:pt>
                <c:pt idx="66">
                  <c:v>3</c:v>
                </c:pt>
                <c:pt idx="67">
                  <c:v>3</c:v>
                </c:pt>
                <c:pt idx="68">
                  <c:v>3</c:v>
                </c:pt>
                <c:pt idx="69">
                  <c:v>3</c:v>
                </c:pt>
                <c:pt idx="70">
                  <c:v>3</c:v>
                </c:pt>
                <c:pt idx="71">
                  <c:v>2</c:v>
                </c:pt>
                <c:pt idx="72">
                  <c:v>3</c:v>
                </c:pt>
                <c:pt idx="73">
                  <c:v>3</c:v>
                </c:pt>
                <c:pt idx="74">
                  <c:v>3</c:v>
                </c:pt>
                <c:pt idx="75">
                  <c:v>3</c:v>
                </c:pt>
                <c:pt idx="76">
                  <c:v>3</c:v>
                </c:pt>
                <c:pt idx="77">
                  <c:v>4</c:v>
                </c:pt>
                <c:pt idx="78">
                  <c:v>3</c:v>
                </c:pt>
                <c:pt idx="79">
                  <c:v>3</c:v>
                </c:pt>
                <c:pt idx="80">
                  <c:v>3</c:v>
                </c:pt>
                <c:pt idx="81">
                  <c:v>3</c:v>
                </c:pt>
                <c:pt idx="82">
                  <c:v>1</c:v>
                </c:pt>
                <c:pt idx="83">
                  <c:v>3</c:v>
                </c:pt>
                <c:pt idx="84">
                  <c:v>3</c:v>
                </c:pt>
                <c:pt idx="85">
                  <c:v>3</c:v>
                </c:pt>
                <c:pt idx="86">
                  <c:v>3</c:v>
                </c:pt>
                <c:pt idx="87">
                  <c:v>3</c:v>
                </c:pt>
                <c:pt idx="88">
                  <c:v>3</c:v>
                </c:pt>
                <c:pt idx="89">
                  <c:v>2</c:v>
                </c:pt>
                <c:pt idx="90">
                  <c:v>3</c:v>
                </c:pt>
                <c:pt idx="91">
                  <c:v>3</c:v>
                </c:pt>
                <c:pt idx="92">
                  <c:v>4</c:v>
                </c:pt>
                <c:pt idx="93">
                  <c:v>3</c:v>
                </c:pt>
                <c:pt idx="94">
                  <c:v>3</c:v>
                </c:pt>
                <c:pt idx="95">
                  <c:v>2</c:v>
                </c:pt>
                <c:pt idx="96">
                  <c:v>4</c:v>
                </c:pt>
                <c:pt idx="97">
                  <c:v>3</c:v>
                </c:pt>
                <c:pt idx="98">
                  <c:v>3</c:v>
                </c:pt>
                <c:pt idx="99">
                  <c:v>3</c:v>
                </c:pt>
                <c:pt idx="100">
                  <c:v>4</c:v>
                </c:pt>
                <c:pt idx="101">
                  <c:v>3</c:v>
                </c:pt>
                <c:pt idx="102">
                  <c:v>3</c:v>
                </c:pt>
                <c:pt idx="103">
                  <c:v>4</c:v>
                </c:pt>
                <c:pt idx="104">
                  <c:v>3</c:v>
                </c:pt>
                <c:pt idx="105">
                  <c:v>3</c:v>
                </c:pt>
                <c:pt idx="106">
                  <c:v>2</c:v>
                </c:pt>
                <c:pt idx="107">
                  <c:v>3</c:v>
                </c:pt>
                <c:pt idx="108">
                  <c:v>3</c:v>
                </c:pt>
                <c:pt idx="109">
                  <c:v>3</c:v>
                </c:pt>
                <c:pt idx="110">
                  <c:v>4</c:v>
                </c:pt>
                <c:pt idx="111">
                  <c:v>3</c:v>
                </c:pt>
                <c:pt idx="112">
                  <c:v>2</c:v>
                </c:pt>
                <c:pt idx="113">
                  <c:v>3</c:v>
                </c:pt>
                <c:pt idx="114">
                  <c:v>5</c:v>
                </c:pt>
                <c:pt idx="115">
                  <c:v>3</c:v>
                </c:pt>
                <c:pt idx="116">
                  <c:v>3</c:v>
                </c:pt>
                <c:pt idx="117">
                  <c:v>3</c:v>
                </c:pt>
                <c:pt idx="118">
                  <c:v>3</c:v>
                </c:pt>
                <c:pt idx="119">
                  <c:v>3</c:v>
                </c:pt>
                <c:pt idx="120">
                  <c:v>3</c:v>
                </c:pt>
                <c:pt idx="121">
                  <c:v>3</c:v>
                </c:pt>
                <c:pt idx="122">
                  <c:v>3</c:v>
                </c:pt>
                <c:pt idx="123">
                  <c:v>3</c:v>
                </c:pt>
                <c:pt idx="124">
                  <c:v>4</c:v>
                </c:pt>
                <c:pt idx="125">
                  <c:v>2</c:v>
                </c:pt>
                <c:pt idx="126">
                  <c:v>2</c:v>
                </c:pt>
                <c:pt idx="127">
                  <c:v>3</c:v>
                </c:pt>
                <c:pt idx="128">
                  <c:v>4</c:v>
                </c:pt>
                <c:pt idx="129">
                  <c:v>3</c:v>
                </c:pt>
                <c:pt idx="130">
                  <c:v>3</c:v>
                </c:pt>
                <c:pt idx="131">
                  <c:v>3</c:v>
                </c:pt>
                <c:pt idx="132">
                  <c:v>3</c:v>
                </c:pt>
                <c:pt idx="133">
                  <c:v>3</c:v>
                </c:pt>
                <c:pt idx="134">
                  <c:v>3</c:v>
                </c:pt>
                <c:pt idx="135">
                  <c:v>3</c:v>
                </c:pt>
                <c:pt idx="136">
                  <c:v>3</c:v>
                </c:pt>
                <c:pt idx="137">
                  <c:v>3</c:v>
                </c:pt>
                <c:pt idx="138">
                  <c:v>3</c:v>
                </c:pt>
                <c:pt idx="139">
                  <c:v>4</c:v>
                </c:pt>
                <c:pt idx="140">
                  <c:v>2</c:v>
                </c:pt>
                <c:pt idx="141">
                  <c:v>3</c:v>
                </c:pt>
                <c:pt idx="142">
                  <c:v>4</c:v>
                </c:pt>
                <c:pt idx="143">
                  <c:v>3</c:v>
                </c:pt>
                <c:pt idx="144">
                  <c:v>3</c:v>
                </c:pt>
                <c:pt idx="145">
                  <c:v>3</c:v>
                </c:pt>
                <c:pt idx="146">
                  <c:v>3</c:v>
                </c:pt>
                <c:pt idx="147">
                  <c:v>3</c:v>
                </c:pt>
                <c:pt idx="148">
                  <c:v>3</c:v>
                </c:pt>
                <c:pt idx="149">
                  <c:v>3</c:v>
                </c:pt>
                <c:pt idx="150">
                  <c:v>3</c:v>
                </c:pt>
                <c:pt idx="151">
                  <c:v>2</c:v>
                </c:pt>
                <c:pt idx="152">
                  <c:v>3</c:v>
                </c:pt>
                <c:pt idx="153">
                  <c:v>1</c:v>
                </c:pt>
                <c:pt idx="154">
                  <c:v>5</c:v>
                </c:pt>
                <c:pt idx="155">
                  <c:v>3</c:v>
                </c:pt>
                <c:pt idx="156">
                  <c:v>3</c:v>
                </c:pt>
                <c:pt idx="157">
                  <c:v>3</c:v>
                </c:pt>
                <c:pt idx="158">
                  <c:v>1</c:v>
                </c:pt>
                <c:pt idx="159">
                  <c:v>3</c:v>
                </c:pt>
                <c:pt idx="160">
                  <c:v>3</c:v>
                </c:pt>
                <c:pt idx="161">
                  <c:v>3</c:v>
                </c:pt>
                <c:pt idx="162">
                  <c:v>2</c:v>
                </c:pt>
                <c:pt idx="163">
                  <c:v>3</c:v>
                </c:pt>
                <c:pt idx="164">
                  <c:v>3</c:v>
                </c:pt>
                <c:pt idx="165">
                  <c:v>3</c:v>
                </c:pt>
                <c:pt idx="166">
                  <c:v>3</c:v>
                </c:pt>
                <c:pt idx="167">
                  <c:v>3</c:v>
                </c:pt>
                <c:pt idx="168">
                  <c:v>3</c:v>
                </c:pt>
                <c:pt idx="169">
                  <c:v>3</c:v>
                </c:pt>
                <c:pt idx="170">
                  <c:v>3</c:v>
                </c:pt>
                <c:pt idx="171">
                  <c:v>3</c:v>
                </c:pt>
                <c:pt idx="172">
                  <c:v>3</c:v>
                </c:pt>
                <c:pt idx="173">
                  <c:v>3</c:v>
                </c:pt>
                <c:pt idx="174">
                  <c:v>3</c:v>
                </c:pt>
                <c:pt idx="175">
                  <c:v>1</c:v>
                </c:pt>
                <c:pt idx="176">
                  <c:v>3</c:v>
                </c:pt>
                <c:pt idx="177">
                  <c:v>3</c:v>
                </c:pt>
                <c:pt idx="178">
                  <c:v>3</c:v>
                </c:pt>
                <c:pt idx="179">
                  <c:v>3</c:v>
                </c:pt>
                <c:pt idx="180">
                  <c:v>3</c:v>
                </c:pt>
                <c:pt idx="181">
                  <c:v>4</c:v>
                </c:pt>
                <c:pt idx="182">
                  <c:v>3</c:v>
                </c:pt>
              </c:numCache>
            </c:numRef>
          </c:yVal>
          <c:smooth val="0"/>
          <c:extLst>
            <c:ext xmlns:c16="http://schemas.microsoft.com/office/drawing/2014/chart" uri="{C3380CC4-5D6E-409C-BE32-E72D297353CC}">
              <c16:uniqueId val="{00000000-C77B-4C54-89F6-865C66FEC8E2}"/>
            </c:ext>
          </c:extLst>
        </c:ser>
        <c:dLbls>
          <c:showLegendKey val="0"/>
          <c:showVal val="0"/>
          <c:showCatName val="0"/>
          <c:showSerName val="0"/>
          <c:showPercent val="0"/>
          <c:showBubbleSize val="0"/>
        </c:dLbls>
        <c:axId val="640058080"/>
        <c:axId val="640059040"/>
      </c:scatterChart>
      <c:valAx>
        <c:axId val="640058080"/>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0059040"/>
        <c:crosses val="autoZero"/>
        <c:crossBetween val="midCat"/>
      </c:valAx>
      <c:valAx>
        <c:axId val="6400590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0058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[blank-data-file.xlsx]Employee trend!PivotTable1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Months VS Employee Joined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'Employee trend'!$B$3:$B$38</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trend'!$C$3:$C$38</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8FB2-487D-8A23-82B335461C49}"/>
            </c:ext>
          </c:extLst>
        </c:ser>
        <c:dLbls>
          <c:showLegendKey val="0"/>
          <c:showVal val="0"/>
          <c:showCatName val="0"/>
          <c:showSerName val="0"/>
          <c:showPercent val="0"/>
          <c:showBubbleSize val="0"/>
        </c:dLbls>
        <c:marker val="1"/>
        <c:smooth val="0"/>
        <c:axId val="640061920"/>
        <c:axId val="640062400"/>
      </c:lineChart>
      <c:catAx>
        <c:axId val="6400619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0062400"/>
        <c:crosses val="autoZero"/>
        <c:auto val="1"/>
        <c:lblAlgn val="ctr"/>
        <c:lblOffset val="100"/>
        <c:noMultiLvlLbl val="0"/>
      </c:catAx>
      <c:valAx>
        <c:axId val="640062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006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Months VS Employee Joined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spPr>
            <a:ln w="22225" cap="rnd">
              <a:solidFill>
                <a:schemeClr val="accent1"/>
              </a:solidFill>
            </a:ln>
            <a:effectLst>
              <a:glow rad="139700">
                <a:schemeClr val="accent1">
                  <a:satMod val="175000"/>
                  <a:alpha val="14000"/>
                </a:schemeClr>
              </a:glow>
            </a:effectLst>
          </c:spPr>
          <c:marker>
            <c:symbol val="none"/>
          </c:marker>
          <c:cat>
            <c:numRef>
              <c:f>'Employee trend'!$S$4:$S$39</c:f>
              <c:numCache>
                <c:formatCode>[$-409]mmm\-yy;@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trend'!$U$4:$U$39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229D-4F45-BE0F-D7DD5B0735DC}"/>
            </c:ext>
          </c:extLst>
        </c:ser>
        <c:dLbls>
          <c:showLegendKey val="0"/>
          <c:showVal val="0"/>
          <c:showCatName val="0"/>
          <c:showSerName val="0"/>
          <c:showPercent val="0"/>
          <c:showBubbleSize val="0"/>
        </c:dLbls>
        <c:smooth val="0"/>
        <c:axId val="1074885664"/>
        <c:axId val="885012000"/>
      </c:lineChart>
      <c:dateAx>
        <c:axId val="1074885664"/>
        <c:scaling>
          <c:orientation val="minMax"/>
        </c:scaling>
        <c:delete val="0"/>
        <c:axPos val="b"/>
        <c:numFmt formatCode="[$-409]mmm\-yy;@"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5012000"/>
        <c:crosses val="autoZero"/>
        <c:auto val="1"/>
        <c:lblOffset val="100"/>
        <c:baseTimeUnit val="months"/>
      </c:dateAx>
      <c:valAx>
        <c:axId val="8850120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488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[blank-data-file.xlsx]Sheet4!PivotTable3</c:name>
    <c:fmtId val="9"/>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Sheet4!$F$3</c:f>
              <c:strCache>
                <c:ptCount val="1"/>
                <c:pt idx="0">
                  <c:v>Total</c:v>
                </c:pt>
              </c:strCache>
            </c:strRef>
          </c:tx>
          <c:spPr>
            <a:solidFill>
              <a:schemeClr val="accent2"/>
            </a:solidFill>
            <a:ln>
              <a:noFill/>
            </a:ln>
            <a:effectLst/>
          </c:spPr>
          <c:invertIfNegative val="0"/>
          <c:cat>
            <c:strRef>
              <c:f>Sheet4!$E$4:$E$9</c:f>
              <c:strCache>
                <c:ptCount val="5"/>
                <c:pt idx="0">
                  <c:v>Procurement</c:v>
                </c:pt>
                <c:pt idx="1">
                  <c:v>Website</c:v>
                </c:pt>
                <c:pt idx="2">
                  <c:v>Finance</c:v>
                </c:pt>
                <c:pt idx="3">
                  <c:v>Sales</c:v>
                </c:pt>
                <c:pt idx="4">
                  <c:v>HR</c:v>
                </c:pt>
              </c:strCache>
            </c:strRef>
          </c:cat>
          <c:val>
            <c:numRef>
              <c:f>Sheet4!$F$4:$F$9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EE7C-4E00-9A8B-05EA097DED7B}"/>
            </c:ext>
          </c:extLst>
        </c:ser>
        <c:dLbls>
          <c:showLegendKey val="0"/>
          <c:showVal val="0"/>
          <c:showCatName val="0"/>
          <c:showSerName val="0"/>
          <c:showPercent val="0"/>
          <c:showBubbleSize val="0"/>
        </c:dLbls>
        <c:gapWidth val="182"/>
        <c:axId val="992771615"/>
        <c:axId val="992771135"/>
      </c:barChart>
      <c:catAx>
        <c:axId val="9927716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71135"/>
        <c:crosses val="autoZero"/>
        <c:auto val="1"/>
        <c:lblAlgn val="ctr"/>
        <c:lblOffset val="100"/>
        <c:noMultiLvlLbl val="0"/>
      </c:catAx>
      <c:valAx>
        <c:axId val="99277113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7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[blank-data-file.xlsx]Sheet4!PivotTable2</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Sheet4!$C$3</c:f>
              <c:strCache>
                <c:ptCount val="1"/>
                <c:pt idx="0">
                  <c:v>Total</c:v>
                </c:pt>
              </c:strCache>
            </c:strRef>
          </c:tx>
          <c:spPr>
            <a:solidFill>
              <a:schemeClr val="accent1"/>
            </a:solidFill>
            <a:ln>
              <a:noFill/>
            </a:ln>
            <a:effectLst/>
          </c:spPr>
          <c:invertIfNegative val="0"/>
          <c:cat>
            <c:strRef>
              <c:f>Sheet4!$B$4:$B$9</c:f>
              <c:strCache>
                <c:ptCount val="5"/>
                <c:pt idx="0">
                  <c:v>Website</c:v>
                </c:pt>
                <c:pt idx="1">
                  <c:v>Procurement</c:v>
                </c:pt>
                <c:pt idx="2">
                  <c:v>Finance</c:v>
                </c:pt>
                <c:pt idx="3">
                  <c:v>Sales</c:v>
                </c:pt>
                <c:pt idx="4">
                  <c:v>HR</c:v>
                </c:pt>
              </c:strCache>
            </c:strRef>
          </c:cat>
          <c:val>
            <c:numRef>
              <c:f>Sheet4!$C$4:$C$9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7998-4AEB-A0C3-B78769C13482}"/>
            </c:ext>
          </c:extLst>
        </c:ser>
        <c:dLbls>
          <c:showLegendKey val="0"/>
          <c:showVal val="0"/>
          <c:showCatName val="0"/>
          <c:showSerName val="0"/>
          <c:showPercent val="0"/>
          <c:showBubbleSize val="0"/>
        </c:dLbls>
        <c:gapWidth val="182"/>
        <c:axId val="992772575"/>
        <c:axId val="992773055"/>
      </c:barChart>
      <c:catAx>
        <c:axId val="9927725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73055"/>
        <c:crosses val="autoZero"/>
        <c:auto val="1"/>
        <c:lblAlgn val="ctr"/>
        <c:lblOffset val="100"/>
        <c:noMultiLvlLbl val="0"/>
      </c:catAx>
      <c:valAx>
        <c:axId val="992773055"/>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77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Spread-by $10k</a:t>
          </a:r>
        </a:p>
      </cx:txPr>
    </cx:title>
    <cx:plotArea>
      <cx:plotAreaRegion>
        <cx:series layoutId="clusteredColumn" uniqueId="{B6E69536-6392-428D-950F-F8AD77DD3C51}">
          <cx:tx>
            <cx:txData>
              <cx:f>_xlchart.v1.2</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C9412948-7C5E-46E2-BEC0-FF53E71BE46D}">
          <cx:tx>
            <cx:txData>
              <cx:f>_xlchart.v1.0</cx:f>
              <cx:v> 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4</xdr:row>
      <xdr:rowOff>9526</xdr:rowOff>
    </xdr:from>
    <xdr:to>
      <xdr:col>6</xdr:col>
      <xdr:colOff>409575</xdr:colOff>
      <xdr:row>8</xdr:row>
      <xdr:rowOff>142876</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B526ACAF-442A-E8C9-7237-00DE293BF81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676650" y="100012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304800</xdr:colOff>
      <xdr:row>20</xdr:row>
      <xdr:rowOff>190499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44AD52D-D83A-43F0-B48B-9810C76DB6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90500"/>
              <a:ext cx="7010400" cy="38099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1</xdr:row>
      <xdr:rowOff>0</xdr:rowOff>
    </xdr:from>
    <xdr:to>
      <xdr:col>20</xdr:col>
      <xdr:colOff>304800</xdr:colOff>
      <xdr:row>30</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30F5959-C7C1-45D4-B259-EEC84A3962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24800" y="190500"/>
              <a:ext cx="4572000" cy="563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171450</xdr:colOff>
      <xdr:row>1</xdr:row>
      <xdr:rowOff>9524</xdr:rowOff>
    </xdr:from>
    <xdr:to>
      <xdr:col>12</xdr:col>
      <xdr:colOff>361950</xdr:colOff>
      <xdr:row>16</xdr:row>
      <xdr:rowOff>171449</xdr:rowOff>
    </xdr:to>
    <xdr:graphicFrame macro="">
      <xdr:nvGraphicFramePr>
        <xdr:cNvPr id="2" name="Chart 1">
          <a:extLst>
            <a:ext uri="{FF2B5EF4-FFF2-40B4-BE49-F238E27FC236}">
              <a16:creationId xmlns:a16="http://schemas.microsoft.com/office/drawing/2014/main" id="{9780A07D-3CDB-4960-909D-8A04618C1C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524996</xdr:colOff>
      <xdr:row>1</xdr:row>
      <xdr:rowOff>14286</xdr:rowOff>
    </xdr:from>
    <xdr:to>
      <xdr:col>12</xdr:col>
      <xdr:colOff>280147</xdr:colOff>
      <xdr:row>17</xdr:row>
      <xdr:rowOff>78441</xdr:rowOff>
    </xdr:to>
    <xdr:graphicFrame macro="">
      <xdr:nvGraphicFramePr>
        <xdr:cNvPr id="3" name="Chart 2">
          <a:extLst>
            <a:ext uri="{FF2B5EF4-FFF2-40B4-BE49-F238E27FC236}">
              <a16:creationId xmlns:a16="http://schemas.microsoft.com/office/drawing/2014/main" id="{F0D5C5DD-4558-BBAC-DFBC-E695E72F1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537882</xdr:colOff>
      <xdr:row>18</xdr:row>
      <xdr:rowOff>1121</xdr:rowOff>
    </xdr:from>
    <xdr:to>
      <xdr:col>12</xdr:col>
      <xdr:colOff>291353</xdr:colOff>
      <xdr:row>32</xdr:row>
      <xdr:rowOff>77321</xdr:rowOff>
    </xdr:to>
    <xdr:graphicFrame macro="">
      <xdr:nvGraphicFramePr>
        <xdr:cNvPr id="4" name="Chart 3">
          <a:extLst>
            <a:ext uri="{FF2B5EF4-FFF2-40B4-BE49-F238E27FC236}">
              <a16:creationId xmlns:a16="http://schemas.microsoft.com/office/drawing/2014/main" id="{18CF7C4B-AFF8-8E00-CFC3-5B0F4383B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7</xdr:row>
      <xdr:rowOff>0</xdr:rowOff>
    </xdr:from>
    <xdr:to>
      <xdr:col>13</xdr:col>
      <xdr:colOff>1400175</xdr:colOff>
      <xdr:row>23</xdr:row>
      <xdr:rowOff>0</xdr:rowOff>
    </xdr:to>
    <xdr:graphicFrame macro="">
      <xdr:nvGraphicFramePr>
        <xdr:cNvPr id="8" name="Chart 7">
          <a:extLst>
            <a:ext uri="{FF2B5EF4-FFF2-40B4-BE49-F238E27FC236}">
              <a16:creationId xmlns:a16="http://schemas.microsoft.com/office/drawing/2014/main" id="{BBDDFF2C-B885-456F-826E-E106A0B33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6</xdr:row>
      <xdr:rowOff>171450</xdr:rowOff>
    </xdr:from>
    <xdr:to>
      <xdr:col>7</xdr:col>
      <xdr:colOff>0</xdr:colOff>
      <xdr:row>22</xdr:row>
      <xdr:rowOff>180975</xdr:rowOff>
    </xdr:to>
    <xdr:graphicFrame macro="">
      <xdr:nvGraphicFramePr>
        <xdr:cNvPr id="9" name="Chart 8">
          <a:extLst>
            <a:ext uri="{FF2B5EF4-FFF2-40B4-BE49-F238E27FC236}">
              <a16:creationId xmlns:a16="http://schemas.microsoft.com/office/drawing/2014/main" id="{6093FEEA-C833-4987-8120-5646BE5FB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706991666666" backgroundQuery="1" createdVersion="8" refreshedVersion="8" minRefreshableVersion="3" recordCount="0" supportSubquery="1" supportAdvancedDrill="1" xr:uid="{3F35AA75-C901-4A03-A80A-3C1AB8D33917}">
  <cacheSource type="external" connectionId="5"/>
  <cacheFields count="3">
    <cacheField name="[staff].[Rating].[Rating]" caption="Rating" numFmtId="0" hierarchy="6"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7069962963" backgroundQuery="1" createdVersion="8" refreshedVersion="8" minRefreshableVersion="3" recordCount="0" supportSubquery="1" supportAdvancedDrill="1" xr:uid="{80FAF8D0-6C63-4B5E-A380-B8088E7C01CE}">
  <cacheSource type="external" connectionId="5"/>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713699074076" backgroundQuery="1" createdVersion="8" refreshedVersion="8" minRefreshableVersion="3" recordCount="0" supportSubquery="1" supportAdvancedDrill="1" xr:uid="{ECC5F25E-189F-4DA3-88D6-9478F1DFA571}">
  <cacheSource type="external" connectionId="5"/>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850858101854" backgroundQuery="1" createdVersion="8" refreshedVersion="8" minRefreshableVersion="3" recordCount="0" supportSubquery="1" supportAdvancedDrill="1" xr:uid="{FD6FC3A6-4846-4BFE-9C5D-0155F59A5E9F}">
  <cacheSource type="external" connectionId="5"/>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850959606483" backgroundQuery="1" createdVersion="8" refreshedVersion="8" minRefreshableVersion="3" recordCount="0" supportSubquery="1" supportAdvancedDrill="1" xr:uid="{DE4710E4-57A1-471E-A126-B187006D0F54}">
  <cacheSource type="external" connectionId="5"/>
  <cacheFields count="3">
    <cacheField name="[staff].[Department].[Department]" caption="Department" numFmtId="0" hierarchy="2"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til" refreshedDate="45610.706992708336" backgroundQuery="1" createdVersion="3" refreshedVersion="8" minRefreshableVersion="3" recordCount="0" supportSubquery="1" supportAdvancedDrill="1" xr:uid="{71CFDC78-D769-4C23-953B-D41E6A64FD74}">
  <cacheSource type="external" connectionId="5">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55278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151F30-ACC7-437E-9F25-154560D405F7}" name="PivotTable4" cacheId="2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2"/>
  </dataFields>
  <pivotHierarchies count="22">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1C87B1-8654-4DD6-8CF1-D2AB35531064}" name="PivotTable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D7"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name="Count of Name" fld="1" subtotal="count" baseField="0" baseItem="0"/>
    <dataField name="Average of Salary" fld="2" subtotal="average" baseField="0" baseItem="0" numFmtId="167"/>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3CA13A-EA1F-43CA-B30D-0684C448D471}" name="PivotTable1" cacheId="17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1">
  <location ref="B2:C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6">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rowItems>
  <colItems count="1">
    <i/>
  </colItems>
  <dataFields count="1">
    <dataField name="Count of Name" fld="2" subtotal="count" showDataAs="runTotal" baseField="0" baseItem="0"/>
  </dataFields>
  <chartFormats count="1">
    <chartFormat chart="8"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F2E953-5B4A-4B55-A725-C397ED21EAAC}" name="PivotTable3" cacheId="20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3:F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55BC0B-FE7B-422D-B590-26BD4F89067B}" name="PivotTable2" cacheId="2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B3:C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1">
    <chartFormat chart="23"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6E4AB089-0ACA-4AA0-9819-5F000D2AEA75}"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1B7A57D1-E5C6-4CF8-837F-5A884662F558}"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769A6C2E-74E7-470F-AF0C-58B2CB8B71BB}" autoFormatId="16" applyNumberFormats="0" applyBorderFormats="0" applyFontFormats="0" applyPatternFormats="0" applyAlignmentFormats="0" applyWidthHeightFormats="0">
  <queryTableRefresh nextId="9">
    <queryTableFields count="8">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917188B-39B7-49BE-90A6-F7716D41F8A9}" sourceName="[staff].[Country]">
  <pivotTables>
    <pivotTable tabId="7" name="PivotTable4"/>
  </pivotTables>
  <data>
    <olap pivotCacheId="552782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E13E35E-1985-4045-9EE9-A67369F7B5F2}" cache="Slicer_Country" caption="Count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663D867-BC6B-4FE3-9FC1-506EF5FB296E}" name="Staff" displayName="Staff" ref="A1:K184" tableType="queryTable" totalsRowShown="0">
  <autoFilter ref="A1:K184" xr:uid="{A663D867-BC6B-4FE3-9FC1-506EF5FB296E}"/>
  <tableColumns count="11">
    <tableColumn id="1" xr3:uid="{7A2B6ABE-D486-4C65-BA4F-71549EE7E1B2}" uniqueName="1" name="Name" queryTableFieldId="1" dataDxfId="25"/>
    <tableColumn id="2" xr3:uid="{27DD9077-1167-4504-8B9B-60BFDC524FD8}" uniqueName="2" name="Gender" queryTableFieldId="2" dataDxfId="24"/>
    <tableColumn id="3" xr3:uid="{D3CE8876-CB66-4393-84F5-C1E93DCFEE33}" uniqueName="3" name="Department" queryTableFieldId="3" dataDxfId="23"/>
    <tableColumn id="4" xr3:uid="{AE25FE1A-3D3E-4761-9FA7-2283C2218A74}" uniqueName="4" name="Age" queryTableFieldId="4"/>
    <tableColumn id="5" xr3:uid="{9E937720-0069-4A22-9BF0-59C92BD02364}" uniqueName="5" name="Date Joined" queryTableFieldId="5" dataDxfId="1"/>
    <tableColumn id="6" xr3:uid="{B62A8531-D798-4F4B-9B86-1177536FD4E3}" uniqueName="6" name="Salary" queryTableFieldId="6" dataDxfId="22" dataCellStyle="Currency"/>
    <tableColumn id="7" xr3:uid="{BB8DE099-2535-4004-9BF9-DD5B9CCD002B}" uniqueName="7" name="Rating" queryTableFieldId="7"/>
    <tableColumn id="8" xr3:uid="{2088CD53-1F44-4351-A99A-BBAA8E6A842F}" uniqueName="8" name="Country" queryTableFieldId="8"/>
    <tableColumn id="9" xr3:uid="{8533FC2F-A52D-4138-925A-A3C8E188B453}" uniqueName="9" name="Tenure" queryTableFieldId="9" dataDxfId="21">
      <calculatedColumnFormula>(TODAY()-Staff[[#This Row],[Date Joined]])/365</calculatedColumnFormula>
    </tableColumn>
    <tableColumn id="10" xr3:uid="{078F37A5-0701-4B3D-9412-B11E1946854A}" uniqueName="10" name="Bonus" queryTableFieldId="10" dataDxfId="20" dataCellStyle="Currency">
      <calculatedColumnFormula>ROUNDUP(IF(Staff[[#This Row],[Tenure]]&gt;2,3%,2%)*Staff[[#This Row],[Salary]],0)</calculatedColumnFormula>
    </tableColumn>
    <tableColumn id="11" xr3:uid="{84AC6B76-2838-4D74-AEFA-BBB13FF40471}" uniqueName="11" name="Rating As Number" queryTableFieldId="11" dataDxfId="19" dataCellStyle="Currency">
      <calculatedColumnFormula>_xlfn.XLOOKUP(Staff[[#This Row],[Rating]],Sheet3!$B$3:$B$7,Sheet3!$C$3:$C$7)</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CCD372-6E70-4929-8D48-4683179E1907}" name="india_staff_1" displayName="india_staff_1" ref="A1:H113" tableType="queryTable" totalsRowShown="0">
  <autoFilter ref="A1:H113" xr:uid="{58CCD372-6E70-4929-8D48-4683179E1907}"/>
  <tableColumns count="8">
    <tableColumn id="1" xr3:uid="{75D61F98-32F5-4614-928D-72FB3525FC19}" uniqueName="1" name="Name" queryTableFieldId="1" dataDxfId="18"/>
    <tableColumn id="2" xr3:uid="{AB4684FC-279C-44DE-852B-AEA7170D27C9}" uniqueName="2" name="Gender" queryTableFieldId="2" dataDxfId="17"/>
    <tableColumn id="3" xr3:uid="{14919926-623B-44DF-A89F-277D85957AF7}" uniqueName="3" name="Age" queryTableFieldId="3"/>
    <tableColumn id="4" xr3:uid="{9A7011A6-0ADF-4882-A9E8-E37A94D9A8C2}" uniqueName="4" name="Rating" queryTableFieldId="4"/>
    <tableColumn id="5" xr3:uid="{A05379C6-5907-4AF2-BEB5-A51992A9078E}" uniqueName="5" name="Date Joined" queryTableFieldId="5" dataDxfId="16"/>
    <tableColumn id="6" xr3:uid="{E70B28B5-8A71-44FA-8545-A90169729BA7}" uniqueName="6" name="Department" queryTableFieldId="6" dataDxfId="15"/>
    <tableColumn id="7" xr3:uid="{FF2AD6D2-0A89-4558-923B-01CBB7D69278}" uniqueName="7" name="Salary" queryTableFieldId="7"/>
    <tableColumn id="8" xr3:uid="{2451A578-E471-4A0D-AB81-F30CC3519C7A}" uniqueName="8" name="Country"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ADC51E-7C2B-4AD6-A3E3-23743E5FBA52}" name="nz_staff_1" displayName="nz_staff_1" ref="A1:H102" tableType="queryTable" totalsRowShown="0" headerRowDxfId="14" dataDxfId="13">
  <autoFilter ref="A1:H102" xr:uid="{E3ADC51E-7C2B-4AD6-A3E3-23743E5FBA52}"/>
  <tableColumns count="8">
    <tableColumn id="1" xr3:uid="{27F147C5-E174-4028-A7C6-25CFEAA94BB8}" uniqueName="1" name="Name" queryTableFieldId="1" dataDxfId="12"/>
    <tableColumn id="2" xr3:uid="{AC198372-5077-4961-8A40-8BC76C59618E}" uniqueName="2" name="Gender" queryTableFieldId="2" dataDxfId="11"/>
    <tableColumn id="3" xr3:uid="{3DA6C61D-7C5D-4BF3-9C6F-1B90126F8441}" uniqueName="3" name="Department" queryTableFieldId="3" dataDxfId="10"/>
    <tableColumn id="4" xr3:uid="{9027FE98-171C-4F9F-AEB3-80E1F39CF82A}" uniqueName="4" name="Age" queryTableFieldId="4" dataDxfId="9"/>
    <tableColumn id="5" xr3:uid="{755B1E3B-3520-4748-A091-92A5F652674B}" uniqueName="5" name="Date Joined" queryTableFieldId="5" dataDxfId="8"/>
    <tableColumn id="6" xr3:uid="{4FE47C34-ED71-42A8-8626-02EB95C1300F}" uniqueName="6" name="Salary" queryTableFieldId="6" dataDxfId="7"/>
    <tableColumn id="7" xr3:uid="{26ABFD2C-07B4-489C-B070-0AE10FECB588}" uniqueName="7" name="Rating" queryTableFieldId="7" dataDxfId="6"/>
    <tableColumn id="8" xr3:uid="{1B20C527-8016-4841-B8CB-A4274BF7A80B}" uniqueName="8" name="Country" queryTableFieldId="8"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21DD9F-7554-43CE-AE14-A672B5F7221D}" name="nz_staff" displayName="nz_staff" ref="C5:I106" totalsRowCount="1">
  <autoFilter ref="C5:I105" xr:uid="{6521DD9F-7554-43CE-AE14-A672B5F7221D}"/>
  <tableColumns count="7">
    <tableColumn id="1" xr3:uid="{115DC358-8707-4CE4-8D39-20DA973F4846}" name="Name" totalsRowLabel="Total"/>
    <tableColumn id="2" xr3:uid="{45FE92D5-EC79-44BF-8440-365D1F939129}" name="Gender"/>
    <tableColumn id="3" xr3:uid="{6628D814-E741-4D64-BCFA-3428DC810B72}" name="Department"/>
    <tableColumn id="4" xr3:uid="{45BAD3A3-C516-41B1-B13A-29D0B62C8B14}" name="Age" totalsRowFunction="average"/>
    <tableColumn id="5" xr3:uid="{B036849E-135C-4BB2-8BA8-03FC988EDA0C}" name="Date Joined"/>
    <tableColumn id="6" xr3:uid="{6A448673-83C3-4956-B601-5A5FA8B36412}" name="Salary" totalsRowFunction="average" dataDxfId="4" totalsRowDxfId="3"/>
    <tableColumn id="7" xr3:uid="{1E4BE4D9-FB31-4ADB-A6A0-6B0CE36870D5}" name="Rating" totalsRowFunction="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E16C49-2292-4508-8C69-91F84A5D7416}" name="india_staff" displayName="india_staff" ref="B2:H114" totalsRowShown="0">
  <autoFilter ref="B2:H114" xr:uid="{FBE16C49-2292-4508-8C69-91F84A5D7416}"/>
  <tableColumns count="7">
    <tableColumn id="1" xr3:uid="{8451ABFC-6CCC-4116-A5A3-FB99DDE044F7}" name="Name"/>
    <tableColumn id="2" xr3:uid="{1EF5A206-2B7F-4549-8827-96A1F1677C19}" name="Gender"/>
    <tableColumn id="3" xr3:uid="{8655306A-F0BF-41BE-9D7D-B673AECEDDF5}" name="Age"/>
    <tableColumn id="4" xr3:uid="{02778F32-DA78-4588-BFF1-BD76454E724E}" name="Rating"/>
    <tableColumn id="5" xr3:uid="{1138649B-251D-49AD-B903-A550F67B787A}" name="Date Joined" dataDxfId="2"/>
    <tableColumn id="6" xr3:uid="{2D4B86DF-98B0-45E9-B1E2-FD9CF2384B41}" name="Department"/>
    <tableColumn id="7" xr3:uid="{059BBE74-2138-45AA-B11C-DAA0F6EB0FD9}" name="Salary"/>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B62B-0AE6-4F2D-9D52-8D08BCCAE077}">
  <sheetPr>
    <tabColor theme="7" tint="0.39997558519241921"/>
  </sheetPr>
  <dimension ref="A1:P184"/>
  <sheetViews>
    <sheetView workbookViewId="0">
      <selection activeCell="E5" sqref="E5"/>
    </sheetView>
  </sheetViews>
  <sheetFormatPr defaultRowHeight="15" x14ac:dyDescent="0.25"/>
  <cols>
    <col min="1" max="1" width="30" bestFit="1" customWidth="1"/>
    <col min="2" max="2" width="10" bestFit="1" customWidth="1"/>
    <col min="3" max="3" width="14" bestFit="1" customWidth="1"/>
    <col min="4" max="4" width="6.7109375" bestFit="1" customWidth="1"/>
    <col min="5" max="5" width="14.85546875" style="7" bestFit="1" customWidth="1"/>
    <col min="6" max="6" width="12.5703125" style="31" bestFit="1" customWidth="1"/>
    <col min="7" max="7" width="14.28515625" bestFit="1" customWidth="1"/>
    <col min="8" max="8" width="10.28515625" bestFit="1" customWidth="1"/>
    <col min="9" max="9" width="10.7109375" style="13" bestFit="1" customWidth="1"/>
    <col min="10" max="10" width="10.7109375" style="31" customWidth="1"/>
    <col min="11" max="11" width="20.85546875" style="33" bestFit="1" customWidth="1"/>
    <col min="12" max="12" width="10.7109375" style="13" customWidth="1"/>
    <col min="14" max="14" width="20.28515625" bestFit="1" customWidth="1"/>
    <col min="15" max="15" width="12.5703125" bestFit="1" customWidth="1"/>
  </cols>
  <sheetData>
    <row r="1" spans="1:16" ht="15.75" thickBot="1" x14ac:dyDescent="0.3">
      <c r="A1" t="s">
        <v>0</v>
      </c>
      <c r="B1" t="s">
        <v>1</v>
      </c>
      <c r="C1" t="s">
        <v>2</v>
      </c>
      <c r="D1" t="s">
        <v>3</v>
      </c>
      <c r="E1" s="7" t="s">
        <v>4</v>
      </c>
      <c r="F1" s="31" t="s">
        <v>5</v>
      </c>
      <c r="G1" t="s">
        <v>6</v>
      </c>
      <c r="H1" t="s">
        <v>204</v>
      </c>
      <c r="I1" s="13" t="s">
        <v>213</v>
      </c>
      <c r="J1" s="31" t="s">
        <v>229</v>
      </c>
      <c r="K1" s="33" t="s">
        <v>231</v>
      </c>
      <c r="M1" s="22">
        <v>1</v>
      </c>
    </row>
    <row r="2" spans="1:16" ht="18.75" x14ac:dyDescent="0.3">
      <c r="A2" t="s">
        <v>58</v>
      </c>
      <c r="B2" t="s">
        <v>15</v>
      </c>
      <c r="C2" t="s">
        <v>19</v>
      </c>
      <c r="D2">
        <v>22</v>
      </c>
      <c r="E2" s="7">
        <v>44446</v>
      </c>
      <c r="F2" s="31">
        <v>112780</v>
      </c>
      <c r="G2" t="s">
        <v>13</v>
      </c>
      <c r="H2" t="s">
        <v>205</v>
      </c>
      <c r="I2" s="13">
        <f ca="1">(TODAY()-Staff[[#This Row],[Date Joined]])/365</f>
        <v>3.1890410958904107</v>
      </c>
      <c r="J2" s="31">
        <f ca="1">ROUNDUP(IF(Staff[[#This Row],[Tenure]]&gt;2,3%,2%)*Staff[[#This Row],[Salary]],0)</f>
        <v>3384</v>
      </c>
      <c r="K2" s="33">
        <f>_xlfn.XLOOKUP(Staff[[#This Row],[Rating]],Sheet3!$B$3:$B$7,Sheet3!$C$3:$C$7)</f>
        <v>4</v>
      </c>
      <c r="N2" s="15" t="s">
        <v>215</v>
      </c>
    </row>
    <row r="3" spans="1:16" x14ac:dyDescent="0.25">
      <c r="A3" t="s">
        <v>70</v>
      </c>
      <c r="B3" t="s">
        <v>15</v>
      </c>
      <c r="C3" t="s">
        <v>9</v>
      </c>
      <c r="D3">
        <v>46</v>
      </c>
      <c r="E3" s="7">
        <v>44758</v>
      </c>
      <c r="F3" s="31">
        <v>70610</v>
      </c>
      <c r="G3" t="s">
        <v>16</v>
      </c>
      <c r="H3" t="s">
        <v>205</v>
      </c>
      <c r="I3" s="13">
        <f ca="1">(TODAY()-Staff[[#This Row],[Date Joined]])/365</f>
        <v>2.3342465753424659</v>
      </c>
      <c r="J3" s="31">
        <f ca="1">ROUNDUP(IF(Staff[[#This Row],[Tenure]]&gt;2,3%,2%)*Staff[[#This Row],[Salary]],0)</f>
        <v>2119</v>
      </c>
      <c r="K3" s="33">
        <f>_xlfn.XLOOKUP(Staff[[#This Row],[Rating]],Sheet3!$B$3:$B$7,Sheet3!$C$3:$C$7)</f>
        <v>3</v>
      </c>
      <c r="N3" t="s">
        <v>212</v>
      </c>
      <c r="O3">
        <f>COUNTA(A:A)</f>
        <v>184</v>
      </c>
    </row>
    <row r="4" spans="1:16" x14ac:dyDescent="0.25">
      <c r="A4" t="s">
        <v>75</v>
      </c>
      <c r="B4" t="s">
        <v>8</v>
      </c>
      <c r="C4" t="s">
        <v>19</v>
      </c>
      <c r="D4">
        <v>28</v>
      </c>
      <c r="E4" s="7">
        <v>44357</v>
      </c>
      <c r="F4" s="31">
        <v>53240</v>
      </c>
      <c r="G4" t="s">
        <v>16</v>
      </c>
      <c r="H4" t="s">
        <v>205</v>
      </c>
      <c r="I4" s="13">
        <f ca="1">(TODAY()-Staff[[#This Row],[Date Joined]])/365</f>
        <v>3.4328767123287673</v>
      </c>
      <c r="J4" s="31">
        <f ca="1">ROUNDUP(IF(Staff[[#This Row],[Tenure]]&gt;2,3%,2%)*Staff[[#This Row],[Salary]],0)</f>
        <v>1598</v>
      </c>
      <c r="K4" s="33">
        <f>_xlfn.XLOOKUP(Staff[[#This Row],[Rating]],Sheet3!$B$3:$B$7,Sheet3!$C$3:$C$7)</f>
        <v>3</v>
      </c>
      <c r="N4" t="s">
        <v>210</v>
      </c>
      <c r="O4" s="12">
        <f>AVERAGE(F:F)</f>
        <v>77173.715846994543</v>
      </c>
      <c r="P4">
        <f>MEDIAN(F:F)</f>
        <v>75000</v>
      </c>
    </row>
    <row r="5" spans="1:16" x14ac:dyDescent="0.25">
      <c r="A5" t="s">
        <v>49</v>
      </c>
      <c r="B5" t="s">
        <v>207</v>
      </c>
      <c r="C5" t="s">
        <v>21</v>
      </c>
      <c r="D5">
        <v>37</v>
      </c>
      <c r="E5" s="7">
        <v>44146</v>
      </c>
      <c r="F5" s="31">
        <v>115440</v>
      </c>
      <c r="G5" t="s">
        <v>24</v>
      </c>
      <c r="H5" t="s">
        <v>205</v>
      </c>
      <c r="I5" s="13">
        <f ca="1">(TODAY()-Staff[[#This Row],[Date Joined]])/365</f>
        <v>4.0109589041095894</v>
      </c>
      <c r="J5" s="31">
        <f ca="1">ROUNDUP(IF(Staff[[#This Row],[Tenure]]&gt;2,3%,2%)*Staff[[#This Row],[Salary]],0)</f>
        <v>3464</v>
      </c>
      <c r="K5" s="33">
        <f>_xlfn.XLOOKUP(Staff[[#This Row],[Rating]],Sheet3!$B$3:$B$7,Sheet3!$C$3:$C$7)</f>
        <v>2</v>
      </c>
      <c r="N5" t="s">
        <v>208</v>
      </c>
      <c r="O5">
        <f>AVERAGE(D:D)</f>
        <v>30.42622950819672</v>
      </c>
      <c r="P5">
        <f>MEDIAN(D:D)</f>
        <v>30</v>
      </c>
    </row>
    <row r="6" spans="1:16" x14ac:dyDescent="0.25">
      <c r="A6" t="s">
        <v>65</v>
      </c>
      <c r="B6" t="s">
        <v>15</v>
      </c>
      <c r="C6" t="s">
        <v>19</v>
      </c>
      <c r="D6">
        <v>32</v>
      </c>
      <c r="E6" s="7">
        <v>44465</v>
      </c>
      <c r="F6" s="31">
        <v>53540</v>
      </c>
      <c r="G6" t="s">
        <v>16</v>
      </c>
      <c r="H6" t="s">
        <v>205</v>
      </c>
      <c r="I6" s="13">
        <f ca="1">(TODAY()-Staff[[#This Row],[Date Joined]])/365</f>
        <v>3.1369863013698631</v>
      </c>
      <c r="J6" s="31">
        <f ca="1">ROUNDUP(IF(Staff[[#This Row],[Tenure]]&gt;2,3%,2%)*Staff[[#This Row],[Salary]],0)</f>
        <v>1607</v>
      </c>
      <c r="K6" s="33">
        <f>_xlfn.XLOOKUP(Staff[[#This Row],[Rating]],Sheet3!$B$3:$B$7,Sheet3!$C$3:$C$7)</f>
        <v>3</v>
      </c>
      <c r="N6" t="s">
        <v>209</v>
      </c>
      <c r="O6">
        <f ca="1">AVERAGE(Staff[[#All],[Tenure]])</f>
        <v>3.2245677071637111</v>
      </c>
    </row>
    <row r="7" spans="1:16" x14ac:dyDescent="0.25">
      <c r="A7" t="s">
        <v>81</v>
      </c>
      <c r="B7" t="s">
        <v>8</v>
      </c>
      <c r="C7" t="s">
        <v>9</v>
      </c>
      <c r="D7">
        <v>30</v>
      </c>
      <c r="E7" s="7">
        <v>44861</v>
      </c>
      <c r="F7" s="31">
        <v>112570</v>
      </c>
      <c r="G7" t="s">
        <v>16</v>
      </c>
      <c r="H7" t="s">
        <v>205</v>
      </c>
      <c r="I7" s="13">
        <f ca="1">(TODAY()-Staff[[#This Row],[Date Joined]])/365</f>
        <v>2.0520547945205481</v>
      </c>
      <c r="J7" s="31">
        <f ca="1">ROUNDUP(IF(Staff[[#This Row],[Tenure]]&gt;2,3%,2%)*Staff[[#This Row],[Salary]],0)</f>
        <v>3378</v>
      </c>
      <c r="K7" s="33">
        <f>_xlfn.XLOOKUP(Staff[[#This Row],[Rating]],Sheet3!$B$3:$B$7,Sheet3!$C$3:$C$7)</f>
        <v>3</v>
      </c>
      <c r="N7" t="s">
        <v>211</v>
      </c>
      <c r="O7" s="14">
        <f>O8/O3</f>
        <v>0.46739130434782611</v>
      </c>
    </row>
    <row r="8" spans="1:16" x14ac:dyDescent="0.25">
      <c r="A8" t="s">
        <v>51</v>
      </c>
      <c r="B8" t="s">
        <v>15</v>
      </c>
      <c r="C8" t="s">
        <v>9</v>
      </c>
      <c r="D8">
        <v>33</v>
      </c>
      <c r="E8" s="7">
        <v>44701</v>
      </c>
      <c r="F8" s="31">
        <v>48530</v>
      </c>
      <c r="G8" t="s">
        <v>13</v>
      </c>
      <c r="H8" t="s">
        <v>205</v>
      </c>
      <c r="I8" s="13">
        <f ca="1">(TODAY()-Staff[[#This Row],[Date Joined]])/365</f>
        <v>2.4904109589041097</v>
      </c>
      <c r="J8" s="31">
        <f ca="1">ROUNDUP(IF(Staff[[#This Row],[Tenure]]&gt;2,3%,2%)*Staff[[#This Row],[Salary]],0)</f>
        <v>1456</v>
      </c>
      <c r="K8" s="33">
        <f>_xlfn.XLOOKUP(Staff[[#This Row],[Rating]],Sheet3!$B$3:$B$7,Sheet3!$C$3:$C$7)</f>
        <v>4</v>
      </c>
      <c r="N8" t="s">
        <v>214</v>
      </c>
      <c r="O8">
        <f>COUNTIFS(B:B,"Female")</f>
        <v>86</v>
      </c>
    </row>
    <row r="9" spans="1:16" x14ac:dyDescent="0.25">
      <c r="A9" t="s">
        <v>61</v>
      </c>
      <c r="B9" t="s">
        <v>8</v>
      </c>
      <c r="C9" t="s">
        <v>12</v>
      </c>
      <c r="D9">
        <v>24</v>
      </c>
      <c r="E9" s="7">
        <v>44148</v>
      </c>
      <c r="F9" s="31">
        <v>62780</v>
      </c>
      <c r="G9" t="s">
        <v>16</v>
      </c>
      <c r="H9" t="s">
        <v>205</v>
      </c>
      <c r="I9" s="13">
        <f ca="1">(TODAY()-Staff[[#This Row],[Date Joined]])/365</f>
        <v>4.0054794520547947</v>
      </c>
      <c r="J9" s="31">
        <f ca="1">ROUNDUP(IF(Staff[[#This Row],[Tenure]]&gt;2,3%,2%)*Staff[[#This Row],[Salary]],0)</f>
        <v>1884</v>
      </c>
      <c r="K9" s="33">
        <f>_xlfn.XLOOKUP(Staff[[#This Row],[Rating]],Sheet3!$B$3:$B$7,Sheet3!$C$3:$C$7)</f>
        <v>3</v>
      </c>
    </row>
    <row r="10" spans="1:16" ht="15.75" thickBot="1" x14ac:dyDescent="0.3">
      <c r="A10" t="s">
        <v>82</v>
      </c>
      <c r="B10" t="s">
        <v>15</v>
      </c>
      <c r="C10" t="s">
        <v>12</v>
      </c>
      <c r="D10">
        <v>33</v>
      </c>
      <c r="E10" s="7">
        <v>44509</v>
      </c>
      <c r="F10" s="31">
        <v>53870</v>
      </c>
      <c r="G10" t="s">
        <v>16</v>
      </c>
      <c r="H10" t="s">
        <v>205</v>
      </c>
      <c r="I10" s="13">
        <f ca="1">(TODAY()-Staff[[#This Row],[Date Joined]])/365</f>
        <v>3.0164383561643837</v>
      </c>
      <c r="J10" s="31">
        <f ca="1">ROUNDUP(IF(Staff[[#This Row],[Tenure]]&gt;2,3%,2%)*Staff[[#This Row],[Salary]],0)</f>
        <v>1617</v>
      </c>
      <c r="K10" s="33">
        <f>_xlfn.XLOOKUP(Staff[[#This Row],[Rating]],Sheet3!$B$3:$B$7,Sheet3!$C$3:$C$7)</f>
        <v>3</v>
      </c>
    </row>
    <row r="11" spans="1:16" ht="19.5" thickBot="1" x14ac:dyDescent="0.35">
      <c r="A11" t="s">
        <v>60</v>
      </c>
      <c r="B11" t="s">
        <v>8</v>
      </c>
      <c r="C11" t="s">
        <v>56</v>
      </c>
      <c r="D11">
        <v>27</v>
      </c>
      <c r="E11" s="7">
        <v>44122</v>
      </c>
      <c r="F11" s="31">
        <v>119110</v>
      </c>
      <c r="G11" t="s">
        <v>16</v>
      </c>
      <c r="H11" t="s">
        <v>205</v>
      </c>
      <c r="I11" s="13">
        <f ca="1">(TODAY()-Staff[[#This Row],[Date Joined]])/365</f>
        <v>4.0767123287671234</v>
      </c>
      <c r="J11" s="31">
        <f ca="1">ROUNDUP(IF(Staff[[#This Row],[Tenure]]&gt;2,3%,2%)*Staff[[#This Row],[Salary]],0)</f>
        <v>3574</v>
      </c>
      <c r="K11" s="33">
        <f>_xlfn.XLOOKUP(Staff[[#This Row],[Rating]],Sheet3!$B$3:$B$7,Sheet3!$C$3:$C$7)</f>
        <v>3</v>
      </c>
      <c r="M11" s="22">
        <v>2</v>
      </c>
      <c r="N11" s="21" t="s">
        <v>217</v>
      </c>
    </row>
    <row r="12" spans="1:16" x14ac:dyDescent="0.25">
      <c r="A12" t="s">
        <v>87</v>
      </c>
      <c r="B12" t="s">
        <v>15</v>
      </c>
      <c r="C12" t="s">
        <v>12</v>
      </c>
      <c r="D12">
        <v>29</v>
      </c>
      <c r="E12" s="7">
        <v>44180</v>
      </c>
      <c r="F12" s="31">
        <v>112110</v>
      </c>
      <c r="G12" t="s">
        <v>24</v>
      </c>
      <c r="H12" t="s">
        <v>205</v>
      </c>
      <c r="I12" s="13">
        <f ca="1">(TODAY()-Staff[[#This Row],[Date Joined]])/365</f>
        <v>3.9178082191780823</v>
      </c>
      <c r="J12" s="31">
        <f ca="1">ROUNDUP(IF(Staff[[#This Row],[Tenure]]&gt;2,3%,2%)*Staff[[#This Row],[Salary]],0)</f>
        <v>3364</v>
      </c>
      <c r="K12" s="33">
        <f>_xlfn.XLOOKUP(Staff[[#This Row],[Rating]],Sheet3!$B$3:$B$7,Sheet3!$C$3:$C$7)</f>
        <v>2</v>
      </c>
      <c r="N12" s="16" t="s">
        <v>75</v>
      </c>
    </row>
    <row r="13" spans="1:16" x14ac:dyDescent="0.25">
      <c r="A13" t="s">
        <v>76</v>
      </c>
      <c r="B13" t="s">
        <v>15</v>
      </c>
      <c r="C13" t="s">
        <v>19</v>
      </c>
      <c r="D13">
        <v>25</v>
      </c>
      <c r="E13" s="7">
        <v>44383</v>
      </c>
      <c r="F13" s="31">
        <v>65700</v>
      </c>
      <c r="G13" t="s">
        <v>16</v>
      </c>
      <c r="H13" t="s">
        <v>205</v>
      </c>
      <c r="I13" s="13">
        <f ca="1">(TODAY()-Staff[[#This Row],[Date Joined]])/365</f>
        <v>3.3616438356164382</v>
      </c>
      <c r="J13" s="31">
        <f ca="1">ROUNDUP(IF(Staff[[#This Row],[Tenure]]&gt;2,3%,2%)*Staff[[#This Row],[Salary]],0)</f>
        <v>1971</v>
      </c>
      <c r="K13" s="33">
        <f>_xlfn.XLOOKUP(Staff[[#This Row],[Rating]],Sheet3!$B$3:$B$7,Sheet3!$C$3:$C$7)</f>
        <v>3</v>
      </c>
    </row>
    <row r="14" spans="1:16" x14ac:dyDescent="0.25">
      <c r="A14" t="s">
        <v>97</v>
      </c>
      <c r="B14" t="s">
        <v>15</v>
      </c>
      <c r="C14" t="s">
        <v>12</v>
      </c>
      <c r="D14">
        <v>37</v>
      </c>
      <c r="E14" s="7">
        <v>44701</v>
      </c>
      <c r="F14" s="31">
        <v>69070</v>
      </c>
      <c r="G14" t="s">
        <v>16</v>
      </c>
      <c r="H14" t="s">
        <v>205</v>
      </c>
      <c r="I14" s="13">
        <f ca="1">(TODAY()-Staff[[#This Row],[Date Joined]])/365</f>
        <v>2.4904109589041097</v>
      </c>
      <c r="J14" s="31">
        <f ca="1">ROUNDUP(IF(Staff[[#This Row],[Tenure]]&gt;2,3%,2%)*Staff[[#This Row],[Salary]],0)</f>
        <v>2073</v>
      </c>
      <c r="K14" s="33">
        <f>_xlfn.XLOOKUP(Staff[[#This Row],[Rating]],Sheet3!$B$3:$B$7,Sheet3!$C$3:$C$7)</f>
        <v>3</v>
      </c>
      <c r="N14" s="17" t="s">
        <v>1</v>
      </c>
      <c r="O14" s="18" t="str" cm="1">
        <f t="array" aca="1" ref="O14:O21" ca="1">TRANSPOSE(_xlfn.XLOOKUP(N12,Staff[Name],Staff[[Gender]:[Tenure]]))</f>
        <v>Female</v>
      </c>
    </row>
    <row r="15" spans="1:16" x14ac:dyDescent="0.25">
      <c r="A15" t="s">
        <v>22</v>
      </c>
      <c r="B15" t="s">
        <v>15</v>
      </c>
      <c r="C15" t="s">
        <v>12</v>
      </c>
      <c r="D15">
        <v>20</v>
      </c>
      <c r="E15" s="7">
        <v>44459</v>
      </c>
      <c r="F15" s="31">
        <v>107700</v>
      </c>
      <c r="G15" t="s">
        <v>16</v>
      </c>
      <c r="H15" t="s">
        <v>205</v>
      </c>
      <c r="I15" s="13">
        <f ca="1">(TODAY()-Staff[[#This Row],[Date Joined]])/365</f>
        <v>3.1534246575342464</v>
      </c>
      <c r="J15" s="31">
        <f ca="1">ROUNDUP(IF(Staff[[#This Row],[Tenure]]&gt;2,3%,2%)*Staff[[#This Row],[Salary]],0)</f>
        <v>3231</v>
      </c>
      <c r="K15" s="33">
        <f>_xlfn.XLOOKUP(Staff[[#This Row],[Rating]],Sheet3!$B$3:$B$7,Sheet3!$C$3:$C$7)</f>
        <v>3</v>
      </c>
      <c r="N15" s="18" t="s">
        <v>2</v>
      </c>
      <c r="O15" s="18" t="str">
        <f ca="1"/>
        <v>Sales</v>
      </c>
    </row>
    <row r="16" spans="1:16" x14ac:dyDescent="0.25">
      <c r="A16" t="s">
        <v>84</v>
      </c>
      <c r="B16" t="s">
        <v>8</v>
      </c>
      <c r="C16" t="s">
        <v>12</v>
      </c>
      <c r="D16">
        <v>32</v>
      </c>
      <c r="E16" s="7">
        <v>44354</v>
      </c>
      <c r="F16" s="31">
        <v>43840</v>
      </c>
      <c r="G16" t="s">
        <v>13</v>
      </c>
      <c r="H16" t="s">
        <v>205</v>
      </c>
      <c r="I16" s="13">
        <f ca="1">(TODAY()-Staff[[#This Row],[Date Joined]])/365</f>
        <v>3.441095890410959</v>
      </c>
      <c r="J16" s="31">
        <f ca="1">ROUNDUP(IF(Staff[[#This Row],[Tenure]]&gt;2,3%,2%)*Staff[[#This Row],[Salary]],0)</f>
        <v>1316</v>
      </c>
      <c r="K16" s="33">
        <f>_xlfn.XLOOKUP(Staff[[#This Row],[Rating]],Sheet3!$B$3:$B$7,Sheet3!$C$3:$C$7)</f>
        <v>4</v>
      </c>
      <c r="N16" s="18" t="s">
        <v>3</v>
      </c>
      <c r="O16" s="18">
        <f ca="1"/>
        <v>28</v>
      </c>
    </row>
    <row r="17" spans="1:15" x14ac:dyDescent="0.25">
      <c r="A17" t="s">
        <v>105</v>
      </c>
      <c r="B17" t="s">
        <v>15</v>
      </c>
      <c r="C17" t="s">
        <v>9</v>
      </c>
      <c r="D17">
        <v>40</v>
      </c>
      <c r="E17" s="7">
        <v>44263</v>
      </c>
      <c r="F17" s="31">
        <v>99750</v>
      </c>
      <c r="G17" t="s">
        <v>16</v>
      </c>
      <c r="H17" t="s">
        <v>205</v>
      </c>
      <c r="I17" s="13">
        <f ca="1">(TODAY()-Staff[[#This Row],[Date Joined]])/365</f>
        <v>3.6904109589041094</v>
      </c>
      <c r="J17" s="31">
        <f ca="1">ROUNDUP(IF(Staff[[#This Row],[Tenure]]&gt;2,3%,2%)*Staff[[#This Row],[Salary]],0)</f>
        <v>2993</v>
      </c>
      <c r="K17" s="33">
        <f>_xlfn.XLOOKUP(Staff[[#This Row],[Rating]],Sheet3!$B$3:$B$7,Sheet3!$C$3:$C$7)</f>
        <v>3</v>
      </c>
      <c r="N17" s="18" t="s">
        <v>216</v>
      </c>
      <c r="O17" s="19">
        <f ca="1"/>
        <v>44357</v>
      </c>
    </row>
    <row r="18" spans="1:15" x14ac:dyDescent="0.25">
      <c r="A18" t="s">
        <v>47</v>
      </c>
      <c r="B18" t="s">
        <v>15</v>
      </c>
      <c r="C18" t="s">
        <v>9</v>
      </c>
      <c r="D18">
        <v>21</v>
      </c>
      <c r="E18" s="7">
        <v>44104</v>
      </c>
      <c r="F18" s="31">
        <v>37920</v>
      </c>
      <c r="G18" t="s">
        <v>16</v>
      </c>
      <c r="H18" t="s">
        <v>205</v>
      </c>
      <c r="I18" s="13">
        <f ca="1">(TODAY()-Staff[[#This Row],[Date Joined]])/365</f>
        <v>4.1260273972602741</v>
      </c>
      <c r="J18" s="31">
        <f ca="1">ROUNDUP(IF(Staff[[#This Row],[Tenure]]&gt;2,3%,2%)*Staff[[#This Row],[Salary]],0)</f>
        <v>1138</v>
      </c>
      <c r="K18" s="33">
        <f>_xlfn.XLOOKUP(Staff[[#This Row],[Rating]],Sheet3!$B$3:$B$7,Sheet3!$C$3:$C$7)</f>
        <v>3</v>
      </c>
      <c r="N18" s="18" t="s">
        <v>5</v>
      </c>
      <c r="O18" s="18">
        <f ca="1"/>
        <v>53240</v>
      </c>
    </row>
    <row r="19" spans="1:15" x14ac:dyDescent="0.25">
      <c r="A19" t="s">
        <v>31</v>
      </c>
      <c r="B19" t="s">
        <v>15</v>
      </c>
      <c r="C19" t="s">
        <v>9</v>
      </c>
      <c r="D19">
        <v>21</v>
      </c>
      <c r="E19" s="7">
        <v>44762</v>
      </c>
      <c r="F19" s="31">
        <v>57090</v>
      </c>
      <c r="G19" t="s">
        <v>16</v>
      </c>
      <c r="H19" t="s">
        <v>205</v>
      </c>
      <c r="I19" s="13">
        <f ca="1">(TODAY()-Staff[[#This Row],[Date Joined]])/365</f>
        <v>2.3232876712328765</v>
      </c>
      <c r="J19" s="31">
        <f ca="1">ROUNDUP(IF(Staff[[#This Row],[Tenure]]&gt;2,3%,2%)*Staff[[#This Row],[Salary]],0)</f>
        <v>1713</v>
      </c>
      <c r="K19" s="33">
        <f>_xlfn.XLOOKUP(Staff[[#This Row],[Rating]],Sheet3!$B$3:$B$7,Sheet3!$C$3:$C$7)</f>
        <v>3</v>
      </c>
      <c r="N19" s="18" t="s">
        <v>6</v>
      </c>
      <c r="O19" s="18" t="str">
        <f ca="1"/>
        <v>Average</v>
      </c>
    </row>
    <row r="20" spans="1:15" x14ac:dyDescent="0.25">
      <c r="A20" t="s">
        <v>30</v>
      </c>
      <c r="B20" t="s">
        <v>8</v>
      </c>
      <c r="C20" t="s">
        <v>12</v>
      </c>
      <c r="D20">
        <v>31</v>
      </c>
      <c r="E20" s="7">
        <v>44145</v>
      </c>
      <c r="F20" s="31">
        <v>41980</v>
      </c>
      <c r="G20" t="s">
        <v>16</v>
      </c>
      <c r="H20" t="s">
        <v>205</v>
      </c>
      <c r="I20" s="13">
        <f ca="1">(TODAY()-Staff[[#This Row],[Date Joined]])/365</f>
        <v>4.0136986301369859</v>
      </c>
      <c r="J20" s="31">
        <f ca="1">ROUNDUP(IF(Staff[[#This Row],[Tenure]]&gt;2,3%,2%)*Staff[[#This Row],[Salary]],0)</f>
        <v>1260</v>
      </c>
      <c r="K20" s="33">
        <f>_xlfn.XLOOKUP(Staff[[#This Row],[Rating]],Sheet3!$B$3:$B$7,Sheet3!$C$3:$C$7)</f>
        <v>3</v>
      </c>
      <c r="N20" s="18" t="s">
        <v>204</v>
      </c>
      <c r="O20" s="18" t="str">
        <f ca="1"/>
        <v>NZ</v>
      </c>
    </row>
    <row r="21" spans="1:15" x14ac:dyDescent="0.25">
      <c r="A21" t="s">
        <v>78</v>
      </c>
      <c r="B21" t="s">
        <v>15</v>
      </c>
      <c r="C21" t="s">
        <v>56</v>
      </c>
      <c r="D21">
        <v>21</v>
      </c>
      <c r="E21" s="7">
        <v>44242</v>
      </c>
      <c r="F21" s="31">
        <v>75880</v>
      </c>
      <c r="G21" t="s">
        <v>16</v>
      </c>
      <c r="H21" t="s">
        <v>205</v>
      </c>
      <c r="I21" s="13">
        <f ca="1">(TODAY()-Staff[[#This Row],[Date Joined]])/365</f>
        <v>3.7479452054794522</v>
      </c>
      <c r="J21" s="31">
        <f ca="1">ROUNDUP(IF(Staff[[#This Row],[Tenure]]&gt;2,3%,2%)*Staff[[#This Row],[Salary]],0)</f>
        <v>2277</v>
      </c>
      <c r="K21" s="33">
        <f>_xlfn.XLOOKUP(Staff[[#This Row],[Rating]],Sheet3!$B$3:$B$7,Sheet3!$C$3:$C$7)</f>
        <v>3</v>
      </c>
      <c r="N21" s="18" t="s">
        <v>213</v>
      </c>
      <c r="O21" s="20">
        <f ca="1"/>
        <v>3.4328767123287673</v>
      </c>
    </row>
    <row r="22" spans="1:15" x14ac:dyDescent="0.25">
      <c r="A22" t="s">
        <v>36</v>
      </c>
      <c r="B22" t="s">
        <v>8</v>
      </c>
      <c r="C22" t="s">
        <v>21</v>
      </c>
      <c r="D22">
        <v>34</v>
      </c>
      <c r="E22" s="7">
        <v>44653</v>
      </c>
      <c r="F22" s="31">
        <v>58940</v>
      </c>
      <c r="G22" t="s">
        <v>16</v>
      </c>
      <c r="H22" t="s">
        <v>205</v>
      </c>
      <c r="I22" s="13">
        <f ca="1">(TODAY()-Staff[[#This Row],[Date Joined]])/365</f>
        <v>2.6219178082191781</v>
      </c>
      <c r="J22" s="31">
        <f ca="1">ROUNDUP(IF(Staff[[#This Row],[Tenure]]&gt;2,3%,2%)*Staff[[#This Row],[Salary]],0)</f>
        <v>1769</v>
      </c>
      <c r="K22" s="33">
        <f>_xlfn.XLOOKUP(Staff[[#This Row],[Rating]],Sheet3!$B$3:$B$7,Sheet3!$C$3:$C$7)</f>
        <v>3</v>
      </c>
    </row>
    <row r="23" spans="1:15" x14ac:dyDescent="0.25">
      <c r="A23" t="s">
        <v>27</v>
      </c>
      <c r="B23" t="s">
        <v>8</v>
      </c>
      <c r="C23" t="s">
        <v>21</v>
      </c>
      <c r="D23">
        <v>30</v>
      </c>
      <c r="E23" s="7">
        <v>44389</v>
      </c>
      <c r="F23" s="31">
        <v>67910</v>
      </c>
      <c r="G23" t="s">
        <v>24</v>
      </c>
      <c r="H23" t="s">
        <v>205</v>
      </c>
      <c r="I23" s="13">
        <f ca="1">(TODAY()-Staff[[#This Row],[Date Joined]])/365</f>
        <v>3.3452054794520549</v>
      </c>
      <c r="J23" s="31">
        <f ca="1">ROUNDUP(IF(Staff[[#This Row],[Tenure]]&gt;2,3%,2%)*Staff[[#This Row],[Salary]],0)</f>
        <v>2038</v>
      </c>
      <c r="K23" s="33">
        <f>_xlfn.XLOOKUP(Staff[[#This Row],[Rating]],Sheet3!$B$3:$B$7,Sheet3!$C$3:$C$7)</f>
        <v>2</v>
      </c>
    </row>
    <row r="24" spans="1:15" x14ac:dyDescent="0.25">
      <c r="A24" t="s">
        <v>26</v>
      </c>
      <c r="B24" t="s">
        <v>8</v>
      </c>
      <c r="C24" t="s">
        <v>12</v>
      </c>
      <c r="D24">
        <v>31</v>
      </c>
      <c r="E24" s="7">
        <v>44663</v>
      </c>
      <c r="F24" s="31">
        <v>58100</v>
      </c>
      <c r="G24" t="s">
        <v>16</v>
      </c>
      <c r="H24" t="s">
        <v>205</v>
      </c>
      <c r="I24" s="13">
        <f ca="1">(TODAY()-Staff[[#This Row],[Date Joined]])/365</f>
        <v>2.5945205479452054</v>
      </c>
      <c r="J24" s="31">
        <f ca="1">ROUNDUP(IF(Staff[[#This Row],[Tenure]]&gt;2,3%,2%)*Staff[[#This Row],[Salary]],0)</f>
        <v>1743</v>
      </c>
      <c r="K24" s="33">
        <f>_xlfn.XLOOKUP(Staff[[#This Row],[Rating]],Sheet3!$B$3:$B$7,Sheet3!$C$3:$C$7)</f>
        <v>3</v>
      </c>
    </row>
    <row r="25" spans="1:15" x14ac:dyDescent="0.25">
      <c r="A25" t="s">
        <v>53</v>
      </c>
      <c r="B25" t="s">
        <v>15</v>
      </c>
      <c r="C25" t="s">
        <v>21</v>
      </c>
      <c r="D25">
        <v>27</v>
      </c>
      <c r="E25" s="7">
        <v>44567</v>
      </c>
      <c r="F25" s="31">
        <v>48980</v>
      </c>
      <c r="G25" t="s">
        <v>16</v>
      </c>
      <c r="H25" t="s">
        <v>205</v>
      </c>
      <c r="I25" s="13">
        <f ca="1">(TODAY()-Staff[[#This Row],[Date Joined]])/365</f>
        <v>2.8575342465753426</v>
      </c>
      <c r="J25" s="31">
        <f ca="1">ROUNDUP(IF(Staff[[#This Row],[Tenure]]&gt;2,3%,2%)*Staff[[#This Row],[Salary]],0)</f>
        <v>1470</v>
      </c>
      <c r="K25" s="33">
        <f>_xlfn.XLOOKUP(Staff[[#This Row],[Rating]],Sheet3!$B$3:$B$7,Sheet3!$C$3:$C$7)</f>
        <v>3</v>
      </c>
    </row>
    <row r="26" spans="1:15" x14ac:dyDescent="0.25">
      <c r="A26" t="s">
        <v>20</v>
      </c>
      <c r="B26" t="s">
        <v>207</v>
      </c>
      <c r="C26" t="s">
        <v>21</v>
      </c>
      <c r="D26">
        <v>30</v>
      </c>
      <c r="E26" s="7">
        <v>44597</v>
      </c>
      <c r="F26" s="31">
        <v>64000</v>
      </c>
      <c r="G26" t="s">
        <v>16</v>
      </c>
      <c r="H26" t="s">
        <v>205</v>
      </c>
      <c r="I26" s="13">
        <f ca="1">(TODAY()-Staff[[#This Row],[Date Joined]])/365</f>
        <v>2.7753424657534245</v>
      </c>
      <c r="J26" s="31">
        <f ca="1">ROUNDUP(IF(Staff[[#This Row],[Tenure]]&gt;2,3%,2%)*Staff[[#This Row],[Salary]],0)</f>
        <v>1920</v>
      </c>
      <c r="K26" s="33">
        <f>_xlfn.XLOOKUP(Staff[[#This Row],[Rating]],Sheet3!$B$3:$B$7,Sheet3!$C$3:$C$7)</f>
        <v>3</v>
      </c>
    </row>
    <row r="27" spans="1:15" x14ac:dyDescent="0.25">
      <c r="A27" t="s">
        <v>7</v>
      </c>
      <c r="B27" t="s">
        <v>8</v>
      </c>
      <c r="C27" t="s">
        <v>9</v>
      </c>
      <c r="D27">
        <v>42</v>
      </c>
      <c r="E27" s="7">
        <v>44779</v>
      </c>
      <c r="F27" s="31">
        <v>75000</v>
      </c>
      <c r="G27" t="s">
        <v>10</v>
      </c>
      <c r="H27" t="s">
        <v>205</v>
      </c>
      <c r="I27" s="13">
        <f ca="1">(TODAY()-Staff[[#This Row],[Date Joined]])/365</f>
        <v>2.2767123287671232</v>
      </c>
      <c r="J27" s="31">
        <f ca="1">ROUNDUP(IF(Staff[[#This Row],[Tenure]]&gt;2,3%,2%)*Staff[[#This Row],[Salary]],0)</f>
        <v>2250</v>
      </c>
      <c r="K27" s="33">
        <f>_xlfn.XLOOKUP(Staff[[#This Row],[Rating]],Sheet3!$B$3:$B$7,Sheet3!$C$3:$C$7)</f>
        <v>5</v>
      </c>
    </row>
    <row r="28" spans="1:15" x14ac:dyDescent="0.25">
      <c r="A28" t="s">
        <v>74</v>
      </c>
      <c r="B28" t="s">
        <v>8</v>
      </c>
      <c r="C28" t="s">
        <v>12</v>
      </c>
      <c r="D28">
        <v>40</v>
      </c>
      <c r="E28" s="7">
        <v>44337</v>
      </c>
      <c r="F28" s="31">
        <v>87620</v>
      </c>
      <c r="G28" t="s">
        <v>16</v>
      </c>
      <c r="H28" t="s">
        <v>205</v>
      </c>
      <c r="I28" s="13">
        <f ca="1">(TODAY()-Staff[[#This Row],[Date Joined]])/365</f>
        <v>3.4876712328767123</v>
      </c>
      <c r="J28" s="31">
        <f ca="1">ROUNDUP(IF(Staff[[#This Row],[Tenure]]&gt;2,3%,2%)*Staff[[#This Row],[Salary]],0)</f>
        <v>2629</v>
      </c>
      <c r="K28" s="33">
        <f>_xlfn.XLOOKUP(Staff[[#This Row],[Rating]],Sheet3!$B$3:$B$7,Sheet3!$C$3:$C$7)</f>
        <v>3</v>
      </c>
    </row>
    <row r="29" spans="1:15" x14ac:dyDescent="0.25">
      <c r="A29" t="s">
        <v>44</v>
      </c>
      <c r="B29" t="s">
        <v>8</v>
      </c>
      <c r="C29" t="s">
        <v>12</v>
      </c>
      <c r="D29">
        <v>29</v>
      </c>
      <c r="E29" s="7">
        <v>44023</v>
      </c>
      <c r="F29" s="31">
        <v>34980</v>
      </c>
      <c r="G29" t="s">
        <v>16</v>
      </c>
      <c r="H29" t="s">
        <v>205</v>
      </c>
      <c r="I29" s="13">
        <f ca="1">(TODAY()-Staff[[#This Row],[Date Joined]])/365</f>
        <v>4.3479452054794523</v>
      </c>
      <c r="J29" s="31">
        <f ca="1">ROUNDUP(IF(Staff[[#This Row],[Tenure]]&gt;2,3%,2%)*Staff[[#This Row],[Salary]],0)</f>
        <v>1050</v>
      </c>
      <c r="K29" s="33">
        <f>_xlfn.XLOOKUP(Staff[[#This Row],[Rating]],Sheet3!$B$3:$B$7,Sheet3!$C$3:$C$7)</f>
        <v>3</v>
      </c>
    </row>
    <row r="30" spans="1:15" x14ac:dyDescent="0.25">
      <c r="A30" t="s">
        <v>35</v>
      </c>
      <c r="B30" t="s">
        <v>8</v>
      </c>
      <c r="C30" t="s">
        <v>21</v>
      </c>
      <c r="D30">
        <v>28</v>
      </c>
      <c r="E30" s="7">
        <v>44185</v>
      </c>
      <c r="F30" s="31">
        <v>75970</v>
      </c>
      <c r="G30" t="s">
        <v>16</v>
      </c>
      <c r="H30" t="s">
        <v>205</v>
      </c>
      <c r="I30" s="13">
        <f ca="1">(TODAY()-Staff[[#This Row],[Date Joined]])/365</f>
        <v>3.904109589041096</v>
      </c>
      <c r="J30" s="31">
        <f ca="1">ROUNDUP(IF(Staff[[#This Row],[Tenure]]&gt;2,3%,2%)*Staff[[#This Row],[Salary]],0)</f>
        <v>2280</v>
      </c>
      <c r="K30" s="33">
        <f>_xlfn.XLOOKUP(Staff[[#This Row],[Rating]],Sheet3!$B$3:$B$7,Sheet3!$C$3:$C$7)</f>
        <v>3</v>
      </c>
    </row>
    <row r="31" spans="1:15" x14ac:dyDescent="0.25">
      <c r="A31" t="s">
        <v>38</v>
      </c>
      <c r="B31" t="s">
        <v>8</v>
      </c>
      <c r="C31" t="s">
        <v>21</v>
      </c>
      <c r="D31">
        <v>34</v>
      </c>
      <c r="E31" s="7">
        <v>44612</v>
      </c>
      <c r="F31" s="31">
        <v>60130</v>
      </c>
      <c r="G31" t="s">
        <v>16</v>
      </c>
      <c r="H31" t="s">
        <v>205</v>
      </c>
      <c r="I31" s="13">
        <f ca="1">(TODAY()-Staff[[#This Row],[Date Joined]])/365</f>
        <v>2.7342465753424658</v>
      </c>
      <c r="J31" s="31">
        <f ca="1">ROUNDUP(IF(Staff[[#This Row],[Tenure]]&gt;2,3%,2%)*Staff[[#This Row],[Salary]],0)</f>
        <v>1804</v>
      </c>
      <c r="K31" s="33">
        <f>_xlfn.XLOOKUP(Staff[[#This Row],[Rating]],Sheet3!$B$3:$B$7,Sheet3!$C$3:$C$7)</f>
        <v>3</v>
      </c>
    </row>
    <row r="32" spans="1:15" x14ac:dyDescent="0.25">
      <c r="A32" t="s">
        <v>41</v>
      </c>
      <c r="B32" t="s">
        <v>8</v>
      </c>
      <c r="C32" t="s">
        <v>12</v>
      </c>
      <c r="D32">
        <v>33</v>
      </c>
      <c r="E32" s="7">
        <v>44374</v>
      </c>
      <c r="F32" s="31">
        <v>75480</v>
      </c>
      <c r="G32" t="s">
        <v>42</v>
      </c>
      <c r="H32" t="s">
        <v>205</v>
      </c>
      <c r="I32" s="13">
        <f ca="1">(TODAY()-Staff[[#This Row],[Date Joined]])/365</f>
        <v>3.3863013698630136</v>
      </c>
      <c r="J32" s="31">
        <f ca="1">ROUNDUP(IF(Staff[[#This Row],[Tenure]]&gt;2,3%,2%)*Staff[[#This Row],[Salary]],0)</f>
        <v>2265</v>
      </c>
      <c r="K32" s="33">
        <f>_xlfn.XLOOKUP(Staff[[#This Row],[Rating]],Sheet3!$B$3:$B$7,Sheet3!$C$3:$C$7)</f>
        <v>1</v>
      </c>
    </row>
    <row r="33" spans="1:11" x14ac:dyDescent="0.25">
      <c r="A33" t="s">
        <v>40</v>
      </c>
      <c r="B33" t="s">
        <v>15</v>
      </c>
      <c r="C33" t="s">
        <v>9</v>
      </c>
      <c r="D33">
        <v>33</v>
      </c>
      <c r="E33" s="7">
        <v>44164</v>
      </c>
      <c r="F33" s="31">
        <v>115920</v>
      </c>
      <c r="G33" t="s">
        <v>16</v>
      </c>
      <c r="H33" t="s">
        <v>205</v>
      </c>
      <c r="I33" s="13">
        <f ca="1">(TODAY()-Staff[[#This Row],[Date Joined]])/365</f>
        <v>3.9616438356164383</v>
      </c>
      <c r="J33" s="31">
        <f ca="1">ROUNDUP(IF(Staff[[#This Row],[Tenure]]&gt;2,3%,2%)*Staff[[#This Row],[Salary]],0)</f>
        <v>3478</v>
      </c>
      <c r="K33" s="33">
        <f>_xlfn.XLOOKUP(Staff[[#This Row],[Rating]],Sheet3!$B$3:$B$7,Sheet3!$C$3:$C$7)</f>
        <v>3</v>
      </c>
    </row>
    <row r="34" spans="1:11" x14ac:dyDescent="0.25">
      <c r="A34" t="s">
        <v>48</v>
      </c>
      <c r="B34" t="s">
        <v>8</v>
      </c>
      <c r="C34" t="s">
        <v>19</v>
      </c>
      <c r="D34">
        <v>36</v>
      </c>
      <c r="E34" s="7">
        <v>44494</v>
      </c>
      <c r="F34" s="31">
        <v>78540</v>
      </c>
      <c r="G34" t="s">
        <v>16</v>
      </c>
      <c r="H34" t="s">
        <v>205</v>
      </c>
      <c r="I34" s="13">
        <f ca="1">(TODAY()-Staff[[#This Row],[Date Joined]])/365</f>
        <v>3.0575342465753423</v>
      </c>
      <c r="J34" s="31">
        <f ca="1">ROUNDUP(IF(Staff[[#This Row],[Tenure]]&gt;2,3%,2%)*Staff[[#This Row],[Salary]],0)</f>
        <v>2357</v>
      </c>
      <c r="K34" s="33">
        <f>_xlfn.XLOOKUP(Staff[[#This Row],[Rating]],Sheet3!$B$3:$B$7,Sheet3!$C$3:$C$7)</f>
        <v>3</v>
      </c>
    </row>
    <row r="35" spans="1:11" x14ac:dyDescent="0.25">
      <c r="A35" t="s">
        <v>34</v>
      </c>
      <c r="B35" t="s">
        <v>15</v>
      </c>
      <c r="C35" t="s">
        <v>9</v>
      </c>
      <c r="D35">
        <v>25</v>
      </c>
      <c r="E35" s="7">
        <v>44726</v>
      </c>
      <c r="F35" s="31">
        <v>109190</v>
      </c>
      <c r="G35" t="s">
        <v>13</v>
      </c>
      <c r="H35" t="s">
        <v>205</v>
      </c>
      <c r="I35" s="13">
        <f ca="1">(TODAY()-Staff[[#This Row],[Date Joined]])/365</f>
        <v>2.4219178082191779</v>
      </c>
      <c r="J35" s="31">
        <f ca="1">ROUNDUP(IF(Staff[[#This Row],[Tenure]]&gt;2,3%,2%)*Staff[[#This Row],[Salary]],0)</f>
        <v>3276</v>
      </c>
      <c r="K35" s="33">
        <f>_xlfn.XLOOKUP(Staff[[#This Row],[Rating]],Sheet3!$B$3:$B$7,Sheet3!$C$3:$C$7)</f>
        <v>4</v>
      </c>
    </row>
    <row r="36" spans="1:11" x14ac:dyDescent="0.25">
      <c r="A36" t="s">
        <v>73</v>
      </c>
      <c r="B36" t="s">
        <v>8</v>
      </c>
      <c r="C36" t="s">
        <v>19</v>
      </c>
      <c r="D36">
        <v>34</v>
      </c>
      <c r="E36" s="7">
        <v>44721</v>
      </c>
      <c r="F36" s="31">
        <v>49630</v>
      </c>
      <c r="G36" t="s">
        <v>24</v>
      </c>
      <c r="H36" t="s">
        <v>205</v>
      </c>
      <c r="I36" s="13">
        <f ca="1">(TODAY()-Staff[[#This Row],[Date Joined]])/365</f>
        <v>2.4356164383561643</v>
      </c>
      <c r="J36" s="31">
        <f ca="1">ROUNDUP(IF(Staff[[#This Row],[Tenure]]&gt;2,3%,2%)*Staff[[#This Row],[Salary]],0)</f>
        <v>1489</v>
      </c>
      <c r="K36" s="33">
        <f>_xlfn.XLOOKUP(Staff[[#This Row],[Rating]],Sheet3!$B$3:$B$7,Sheet3!$C$3:$C$7)</f>
        <v>2</v>
      </c>
    </row>
    <row r="37" spans="1:11" x14ac:dyDescent="0.25">
      <c r="A37" t="s">
        <v>107</v>
      </c>
      <c r="B37" t="s">
        <v>8</v>
      </c>
      <c r="C37" t="s">
        <v>9</v>
      </c>
      <c r="D37">
        <v>28</v>
      </c>
      <c r="E37" s="7">
        <v>44630</v>
      </c>
      <c r="F37" s="31">
        <v>99970</v>
      </c>
      <c r="G37" t="s">
        <v>16</v>
      </c>
      <c r="H37" t="s">
        <v>205</v>
      </c>
      <c r="I37" s="13">
        <f ca="1">(TODAY()-Staff[[#This Row],[Date Joined]])/365</f>
        <v>2.6849315068493151</v>
      </c>
      <c r="J37" s="31">
        <f ca="1">ROUNDUP(IF(Staff[[#This Row],[Tenure]]&gt;2,3%,2%)*Staff[[#This Row],[Salary]],0)</f>
        <v>3000</v>
      </c>
      <c r="K37" s="33">
        <f>_xlfn.XLOOKUP(Staff[[#This Row],[Rating]],Sheet3!$B$3:$B$7,Sheet3!$C$3:$C$7)</f>
        <v>3</v>
      </c>
    </row>
    <row r="38" spans="1:11" x14ac:dyDescent="0.25">
      <c r="A38" t="s">
        <v>71</v>
      </c>
      <c r="B38" t="s">
        <v>8</v>
      </c>
      <c r="C38" t="s">
        <v>12</v>
      </c>
      <c r="D38">
        <v>33</v>
      </c>
      <c r="E38" s="7">
        <v>44190</v>
      </c>
      <c r="F38" s="31">
        <v>96140</v>
      </c>
      <c r="G38" t="s">
        <v>16</v>
      </c>
      <c r="H38" t="s">
        <v>205</v>
      </c>
      <c r="I38" s="13">
        <f ca="1">(TODAY()-Staff[[#This Row],[Date Joined]])/365</f>
        <v>3.8904109589041096</v>
      </c>
      <c r="J38" s="31">
        <f ca="1">ROUNDUP(IF(Staff[[#This Row],[Tenure]]&gt;2,3%,2%)*Staff[[#This Row],[Salary]],0)</f>
        <v>2885</v>
      </c>
      <c r="K38" s="33">
        <f>_xlfn.XLOOKUP(Staff[[#This Row],[Rating]],Sheet3!$B$3:$B$7,Sheet3!$C$3:$C$7)</f>
        <v>3</v>
      </c>
    </row>
    <row r="39" spans="1:11" x14ac:dyDescent="0.25">
      <c r="A39" t="s">
        <v>50</v>
      </c>
      <c r="B39" t="s">
        <v>15</v>
      </c>
      <c r="C39" t="s">
        <v>9</v>
      </c>
      <c r="D39">
        <v>31</v>
      </c>
      <c r="E39" s="7">
        <v>44724</v>
      </c>
      <c r="F39" s="31">
        <v>103550</v>
      </c>
      <c r="G39" t="s">
        <v>16</v>
      </c>
      <c r="H39" t="s">
        <v>205</v>
      </c>
      <c r="I39" s="13">
        <f ca="1">(TODAY()-Staff[[#This Row],[Date Joined]])/365</f>
        <v>2.4273972602739726</v>
      </c>
      <c r="J39" s="31">
        <f ca="1">ROUNDUP(IF(Staff[[#This Row],[Tenure]]&gt;2,3%,2%)*Staff[[#This Row],[Salary]],0)</f>
        <v>3107</v>
      </c>
      <c r="K39" s="33">
        <f>_xlfn.XLOOKUP(Staff[[#This Row],[Rating]],Sheet3!$B$3:$B$7,Sheet3!$C$3:$C$7)</f>
        <v>3</v>
      </c>
    </row>
    <row r="40" spans="1:11" x14ac:dyDescent="0.25">
      <c r="A40" t="s">
        <v>14</v>
      </c>
      <c r="B40" t="s">
        <v>15</v>
      </c>
      <c r="C40" t="s">
        <v>12</v>
      </c>
      <c r="D40">
        <v>31</v>
      </c>
      <c r="E40" s="7">
        <v>44511</v>
      </c>
      <c r="F40" s="31">
        <v>48950</v>
      </c>
      <c r="G40" t="s">
        <v>16</v>
      </c>
      <c r="H40" t="s">
        <v>205</v>
      </c>
      <c r="I40" s="13">
        <f ca="1">(TODAY()-Staff[[#This Row],[Date Joined]])/365</f>
        <v>3.010958904109589</v>
      </c>
      <c r="J40" s="31">
        <f ca="1">ROUNDUP(IF(Staff[[#This Row],[Tenure]]&gt;2,3%,2%)*Staff[[#This Row],[Salary]],0)</f>
        <v>1469</v>
      </c>
      <c r="K40" s="33">
        <f>_xlfn.XLOOKUP(Staff[[#This Row],[Rating]],Sheet3!$B$3:$B$7,Sheet3!$C$3:$C$7)</f>
        <v>3</v>
      </c>
    </row>
    <row r="41" spans="1:11" x14ac:dyDescent="0.25">
      <c r="A41" t="s">
        <v>63</v>
      </c>
      <c r="B41" t="s">
        <v>15</v>
      </c>
      <c r="C41" t="s">
        <v>21</v>
      </c>
      <c r="D41">
        <v>24</v>
      </c>
      <c r="E41" s="7">
        <v>44436</v>
      </c>
      <c r="F41" s="31">
        <v>52610</v>
      </c>
      <c r="G41" t="s">
        <v>24</v>
      </c>
      <c r="H41" t="s">
        <v>205</v>
      </c>
      <c r="I41" s="13">
        <f ca="1">(TODAY()-Staff[[#This Row],[Date Joined]])/365</f>
        <v>3.2164383561643834</v>
      </c>
      <c r="J41" s="31">
        <f ca="1">ROUNDUP(IF(Staff[[#This Row],[Tenure]]&gt;2,3%,2%)*Staff[[#This Row],[Salary]],0)</f>
        <v>1579</v>
      </c>
      <c r="K41" s="33">
        <f>_xlfn.XLOOKUP(Staff[[#This Row],[Rating]],Sheet3!$B$3:$B$7,Sheet3!$C$3:$C$7)</f>
        <v>2</v>
      </c>
    </row>
    <row r="42" spans="1:11" x14ac:dyDescent="0.25">
      <c r="A42" t="s">
        <v>72</v>
      </c>
      <c r="B42" t="s">
        <v>8</v>
      </c>
      <c r="C42" t="s">
        <v>9</v>
      </c>
      <c r="D42">
        <v>36</v>
      </c>
      <c r="E42" s="7">
        <v>44529</v>
      </c>
      <c r="F42" s="31">
        <v>78390</v>
      </c>
      <c r="G42" t="s">
        <v>16</v>
      </c>
      <c r="H42" t="s">
        <v>205</v>
      </c>
      <c r="I42" s="13">
        <f ca="1">(TODAY()-Staff[[#This Row],[Date Joined]])/365</f>
        <v>2.9616438356164383</v>
      </c>
      <c r="J42" s="31">
        <f ca="1">ROUNDUP(IF(Staff[[#This Row],[Tenure]]&gt;2,3%,2%)*Staff[[#This Row],[Salary]],0)</f>
        <v>2352</v>
      </c>
      <c r="K42" s="33">
        <f>_xlfn.XLOOKUP(Staff[[#This Row],[Rating]],Sheet3!$B$3:$B$7,Sheet3!$C$3:$C$7)</f>
        <v>3</v>
      </c>
    </row>
    <row r="43" spans="1:11" x14ac:dyDescent="0.25">
      <c r="A43" t="s">
        <v>88</v>
      </c>
      <c r="B43" t="s">
        <v>8</v>
      </c>
      <c r="C43" t="s">
        <v>21</v>
      </c>
      <c r="D43">
        <v>33</v>
      </c>
      <c r="E43" s="7">
        <v>44809</v>
      </c>
      <c r="F43" s="31">
        <v>86570</v>
      </c>
      <c r="G43" t="s">
        <v>16</v>
      </c>
      <c r="H43" t="s">
        <v>205</v>
      </c>
      <c r="I43" s="13">
        <f ca="1">(TODAY()-Staff[[#This Row],[Date Joined]])/365</f>
        <v>2.1945205479452055</v>
      </c>
      <c r="J43" s="31">
        <f ca="1">ROUNDUP(IF(Staff[[#This Row],[Tenure]]&gt;2,3%,2%)*Staff[[#This Row],[Salary]],0)</f>
        <v>2598</v>
      </c>
      <c r="K43" s="33">
        <f>_xlfn.XLOOKUP(Staff[[#This Row],[Rating]],Sheet3!$B$3:$B$7,Sheet3!$C$3:$C$7)</f>
        <v>3</v>
      </c>
    </row>
    <row r="44" spans="1:11" x14ac:dyDescent="0.25">
      <c r="A44" t="s">
        <v>92</v>
      </c>
      <c r="B44" t="s">
        <v>8</v>
      </c>
      <c r="C44" t="s">
        <v>12</v>
      </c>
      <c r="D44">
        <v>27</v>
      </c>
      <c r="E44" s="7">
        <v>44686</v>
      </c>
      <c r="F44" s="31">
        <v>83750</v>
      </c>
      <c r="G44" t="s">
        <v>16</v>
      </c>
      <c r="H44" t="s">
        <v>205</v>
      </c>
      <c r="I44" s="13">
        <f ca="1">(TODAY()-Staff[[#This Row],[Date Joined]])/365</f>
        <v>2.5315068493150683</v>
      </c>
      <c r="J44" s="31">
        <f ca="1">ROUNDUP(IF(Staff[[#This Row],[Tenure]]&gt;2,3%,2%)*Staff[[#This Row],[Salary]],0)</f>
        <v>2513</v>
      </c>
      <c r="K44" s="33">
        <f>_xlfn.XLOOKUP(Staff[[#This Row],[Rating]],Sheet3!$B$3:$B$7,Sheet3!$C$3:$C$7)</f>
        <v>3</v>
      </c>
    </row>
    <row r="45" spans="1:11" x14ac:dyDescent="0.25">
      <c r="A45" t="s">
        <v>102</v>
      </c>
      <c r="B45" t="s">
        <v>8</v>
      </c>
      <c r="C45" t="s">
        <v>21</v>
      </c>
      <c r="D45">
        <v>34</v>
      </c>
      <c r="E45" s="7">
        <v>44445</v>
      </c>
      <c r="F45" s="31">
        <v>92450</v>
      </c>
      <c r="G45" t="s">
        <v>16</v>
      </c>
      <c r="H45" t="s">
        <v>205</v>
      </c>
      <c r="I45" s="13">
        <f ca="1">(TODAY()-Staff[[#This Row],[Date Joined]])/365</f>
        <v>3.1917808219178081</v>
      </c>
      <c r="J45" s="31">
        <f ca="1">ROUNDUP(IF(Staff[[#This Row],[Tenure]]&gt;2,3%,2%)*Staff[[#This Row],[Salary]],0)</f>
        <v>2774</v>
      </c>
      <c r="K45" s="33">
        <f>_xlfn.XLOOKUP(Staff[[#This Row],[Rating]],Sheet3!$B$3:$B$7,Sheet3!$C$3:$C$7)</f>
        <v>3</v>
      </c>
    </row>
    <row r="46" spans="1:11" x14ac:dyDescent="0.25">
      <c r="A46" t="s">
        <v>64</v>
      </c>
      <c r="B46" t="s">
        <v>15</v>
      </c>
      <c r="C46" t="s">
        <v>12</v>
      </c>
      <c r="D46">
        <v>20</v>
      </c>
      <c r="E46" s="7">
        <v>44183</v>
      </c>
      <c r="F46" s="31">
        <v>112650</v>
      </c>
      <c r="G46" t="s">
        <v>16</v>
      </c>
      <c r="H46" t="s">
        <v>205</v>
      </c>
      <c r="I46" s="13">
        <f ca="1">(TODAY()-Staff[[#This Row],[Date Joined]])/365</f>
        <v>3.9095890410958902</v>
      </c>
      <c r="J46" s="31">
        <f ca="1">ROUNDUP(IF(Staff[[#This Row],[Tenure]]&gt;2,3%,2%)*Staff[[#This Row],[Salary]],0)</f>
        <v>3380</v>
      </c>
      <c r="K46" s="33">
        <f>_xlfn.XLOOKUP(Staff[[#This Row],[Rating]],Sheet3!$B$3:$B$7,Sheet3!$C$3:$C$7)</f>
        <v>3</v>
      </c>
    </row>
    <row r="47" spans="1:11" x14ac:dyDescent="0.25">
      <c r="A47" t="s">
        <v>104</v>
      </c>
      <c r="B47" t="s">
        <v>15</v>
      </c>
      <c r="C47" t="s">
        <v>9</v>
      </c>
      <c r="D47">
        <v>20</v>
      </c>
      <c r="E47" s="7">
        <v>44744</v>
      </c>
      <c r="F47" s="31">
        <v>79570</v>
      </c>
      <c r="G47" t="s">
        <v>16</v>
      </c>
      <c r="H47" t="s">
        <v>205</v>
      </c>
      <c r="I47" s="13">
        <f ca="1">(TODAY()-Staff[[#This Row],[Date Joined]])/365</f>
        <v>2.3726027397260272</v>
      </c>
      <c r="J47" s="31">
        <f ca="1">ROUNDUP(IF(Staff[[#This Row],[Tenure]]&gt;2,3%,2%)*Staff[[#This Row],[Salary]],0)</f>
        <v>2388</v>
      </c>
      <c r="K47" s="33">
        <f>_xlfn.XLOOKUP(Staff[[#This Row],[Rating]],Sheet3!$B$3:$B$7,Sheet3!$C$3:$C$7)</f>
        <v>3</v>
      </c>
    </row>
    <row r="48" spans="1:11" x14ac:dyDescent="0.25">
      <c r="A48" t="s">
        <v>91</v>
      </c>
      <c r="B48" t="s">
        <v>8</v>
      </c>
      <c r="C48" t="s">
        <v>19</v>
      </c>
      <c r="D48">
        <v>20</v>
      </c>
      <c r="E48" s="7">
        <v>44537</v>
      </c>
      <c r="F48" s="31">
        <v>68900</v>
      </c>
      <c r="G48" t="s">
        <v>24</v>
      </c>
      <c r="H48" t="s">
        <v>205</v>
      </c>
      <c r="I48" s="13">
        <f ca="1">(TODAY()-Staff[[#This Row],[Date Joined]])/365</f>
        <v>2.9397260273972603</v>
      </c>
      <c r="J48" s="31">
        <f ca="1">ROUNDUP(IF(Staff[[#This Row],[Tenure]]&gt;2,3%,2%)*Staff[[#This Row],[Salary]],0)</f>
        <v>2067</v>
      </c>
      <c r="K48" s="33">
        <f>_xlfn.XLOOKUP(Staff[[#This Row],[Rating]],Sheet3!$B$3:$B$7,Sheet3!$C$3:$C$7)</f>
        <v>2</v>
      </c>
    </row>
    <row r="49" spans="1:11" x14ac:dyDescent="0.25">
      <c r="A49" t="s">
        <v>39</v>
      </c>
      <c r="B49" t="s">
        <v>8</v>
      </c>
      <c r="C49" t="s">
        <v>12</v>
      </c>
      <c r="D49">
        <v>25</v>
      </c>
      <c r="E49" s="7">
        <v>44694</v>
      </c>
      <c r="F49" s="31">
        <v>80700</v>
      </c>
      <c r="G49" t="s">
        <v>13</v>
      </c>
      <c r="H49" t="s">
        <v>205</v>
      </c>
      <c r="I49" s="13">
        <f ca="1">(TODAY()-Staff[[#This Row],[Date Joined]])/365</f>
        <v>2.5095890410958903</v>
      </c>
      <c r="J49" s="31">
        <f ca="1">ROUNDUP(IF(Staff[[#This Row],[Tenure]]&gt;2,3%,2%)*Staff[[#This Row],[Salary]],0)</f>
        <v>2421</v>
      </c>
      <c r="K49" s="33">
        <f>_xlfn.XLOOKUP(Staff[[#This Row],[Rating]],Sheet3!$B$3:$B$7,Sheet3!$C$3:$C$7)</f>
        <v>4</v>
      </c>
    </row>
    <row r="50" spans="1:11" x14ac:dyDescent="0.25">
      <c r="A50" t="s">
        <v>100</v>
      </c>
      <c r="B50" t="s">
        <v>15</v>
      </c>
      <c r="C50" t="s">
        <v>9</v>
      </c>
      <c r="D50">
        <v>19</v>
      </c>
      <c r="E50" s="7">
        <v>44277</v>
      </c>
      <c r="F50" s="31">
        <v>58960</v>
      </c>
      <c r="G50" t="s">
        <v>16</v>
      </c>
      <c r="H50" t="s">
        <v>205</v>
      </c>
      <c r="I50" s="13">
        <f ca="1">(TODAY()-Staff[[#This Row],[Date Joined]])/365</f>
        <v>3.6520547945205482</v>
      </c>
      <c r="J50" s="31">
        <f ca="1">ROUNDUP(IF(Staff[[#This Row],[Tenure]]&gt;2,3%,2%)*Staff[[#This Row],[Salary]],0)</f>
        <v>1769</v>
      </c>
      <c r="K50" s="33">
        <f>_xlfn.XLOOKUP(Staff[[#This Row],[Rating]],Sheet3!$B$3:$B$7,Sheet3!$C$3:$C$7)</f>
        <v>3</v>
      </c>
    </row>
    <row r="51" spans="1:11" x14ac:dyDescent="0.25">
      <c r="A51" t="s">
        <v>106</v>
      </c>
      <c r="B51" t="s">
        <v>15</v>
      </c>
      <c r="C51" t="s">
        <v>12</v>
      </c>
      <c r="D51">
        <v>36</v>
      </c>
      <c r="E51" s="7">
        <v>44019</v>
      </c>
      <c r="F51" s="31">
        <v>118840</v>
      </c>
      <c r="G51" t="s">
        <v>16</v>
      </c>
      <c r="H51" t="s">
        <v>205</v>
      </c>
      <c r="I51" s="13">
        <f ca="1">(TODAY()-Staff[[#This Row],[Date Joined]])/365</f>
        <v>4.3589041095890408</v>
      </c>
      <c r="J51" s="31">
        <f ca="1">ROUNDUP(IF(Staff[[#This Row],[Tenure]]&gt;2,3%,2%)*Staff[[#This Row],[Salary]],0)</f>
        <v>3566</v>
      </c>
      <c r="K51" s="33">
        <f>_xlfn.XLOOKUP(Staff[[#This Row],[Rating]],Sheet3!$B$3:$B$7,Sheet3!$C$3:$C$7)</f>
        <v>3</v>
      </c>
    </row>
    <row r="52" spans="1:11" x14ac:dyDescent="0.25">
      <c r="A52" t="s">
        <v>29</v>
      </c>
      <c r="B52" t="s">
        <v>15</v>
      </c>
      <c r="C52" t="s">
        <v>21</v>
      </c>
      <c r="D52">
        <v>28</v>
      </c>
      <c r="E52" s="7">
        <v>44041</v>
      </c>
      <c r="F52" s="31">
        <v>48170</v>
      </c>
      <c r="G52" t="s">
        <v>13</v>
      </c>
      <c r="H52" t="s">
        <v>205</v>
      </c>
      <c r="I52" s="13">
        <f ca="1">(TODAY()-Staff[[#This Row],[Date Joined]])/365</f>
        <v>4.2986301369863016</v>
      </c>
      <c r="J52" s="31">
        <f ca="1">ROUNDUP(IF(Staff[[#This Row],[Tenure]]&gt;2,3%,2%)*Staff[[#This Row],[Salary]],0)</f>
        <v>1446</v>
      </c>
      <c r="K52" s="33">
        <f>_xlfn.XLOOKUP(Staff[[#This Row],[Rating]],Sheet3!$B$3:$B$7,Sheet3!$C$3:$C$7)</f>
        <v>4</v>
      </c>
    </row>
    <row r="53" spans="1:11" x14ac:dyDescent="0.25">
      <c r="A53" t="s">
        <v>108</v>
      </c>
      <c r="B53" t="s">
        <v>8</v>
      </c>
      <c r="C53" t="s">
        <v>56</v>
      </c>
      <c r="D53">
        <v>32</v>
      </c>
      <c r="E53" s="7">
        <v>44400</v>
      </c>
      <c r="F53" s="31">
        <v>45510</v>
      </c>
      <c r="G53" t="s">
        <v>16</v>
      </c>
      <c r="H53" t="s">
        <v>205</v>
      </c>
      <c r="I53" s="13">
        <f ca="1">(TODAY()-Staff[[#This Row],[Date Joined]])/365</f>
        <v>3.3150684931506849</v>
      </c>
      <c r="J53" s="31">
        <f ca="1">ROUNDUP(IF(Staff[[#This Row],[Tenure]]&gt;2,3%,2%)*Staff[[#This Row],[Salary]],0)</f>
        <v>1366</v>
      </c>
      <c r="K53" s="33">
        <f>_xlfn.XLOOKUP(Staff[[#This Row],[Rating]],Sheet3!$B$3:$B$7,Sheet3!$C$3:$C$7)</f>
        <v>3</v>
      </c>
    </row>
    <row r="54" spans="1:11" x14ac:dyDescent="0.25">
      <c r="A54" t="s">
        <v>83</v>
      </c>
      <c r="B54" t="s">
        <v>8</v>
      </c>
      <c r="C54" t="s">
        <v>9</v>
      </c>
      <c r="D54">
        <v>36</v>
      </c>
      <c r="E54" s="7">
        <v>44085</v>
      </c>
      <c r="F54" s="31">
        <v>114890</v>
      </c>
      <c r="G54" t="s">
        <v>16</v>
      </c>
      <c r="H54" t="s">
        <v>205</v>
      </c>
      <c r="I54" s="13">
        <f ca="1">(TODAY()-Staff[[#This Row],[Date Joined]])/365</f>
        <v>4.1780821917808222</v>
      </c>
      <c r="J54" s="31">
        <f ca="1">ROUNDUP(IF(Staff[[#This Row],[Tenure]]&gt;2,3%,2%)*Staff[[#This Row],[Salary]],0)</f>
        <v>3447</v>
      </c>
      <c r="K54" s="33">
        <f>_xlfn.XLOOKUP(Staff[[#This Row],[Rating]],Sheet3!$B$3:$B$7,Sheet3!$C$3:$C$7)</f>
        <v>3</v>
      </c>
    </row>
    <row r="55" spans="1:11" x14ac:dyDescent="0.25">
      <c r="A55" t="s">
        <v>67</v>
      </c>
      <c r="B55" t="s">
        <v>15</v>
      </c>
      <c r="C55" t="s">
        <v>12</v>
      </c>
      <c r="D55">
        <v>30</v>
      </c>
      <c r="E55" s="7">
        <v>44850</v>
      </c>
      <c r="F55" s="31">
        <v>69710</v>
      </c>
      <c r="G55" t="s">
        <v>16</v>
      </c>
      <c r="H55" t="s">
        <v>205</v>
      </c>
      <c r="I55" s="13">
        <f ca="1">(TODAY()-Staff[[#This Row],[Date Joined]])/365</f>
        <v>2.0821917808219177</v>
      </c>
      <c r="J55" s="31">
        <f ca="1">ROUNDUP(IF(Staff[[#This Row],[Tenure]]&gt;2,3%,2%)*Staff[[#This Row],[Salary]],0)</f>
        <v>2092</v>
      </c>
      <c r="K55" s="33">
        <f>_xlfn.XLOOKUP(Staff[[#This Row],[Rating]],Sheet3!$B$3:$B$7,Sheet3!$C$3:$C$7)</f>
        <v>3</v>
      </c>
    </row>
    <row r="56" spans="1:11" x14ac:dyDescent="0.25">
      <c r="A56" t="s">
        <v>94</v>
      </c>
      <c r="B56" t="s">
        <v>15</v>
      </c>
      <c r="C56" t="s">
        <v>21</v>
      </c>
      <c r="D56">
        <v>36</v>
      </c>
      <c r="E56" s="7">
        <v>44333</v>
      </c>
      <c r="F56" s="31">
        <v>71380</v>
      </c>
      <c r="G56" t="s">
        <v>16</v>
      </c>
      <c r="H56" t="s">
        <v>205</v>
      </c>
      <c r="I56" s="13">
        <f ca="1">(TODAY()-Staff[[#This Row],[Date Joined]])/365</f>
        <v>3.4986301369863013</v>
      </c>
      <c r="J56" s="31">
        <f ca="1">ROUNDUP(IF(Staff[[#This Row],[Tenure]]&gt;2,3%,2%)*Staff[[#This Row],[Salary]],0)</f>
        <v>2142</v>
      </c>
      <c r="K56" s="33">
        <f>_xlfn.XLOOKUP(Staff[[#This Row],[Rating]],Sheet3!$B$3:$B$7,Sheet3!$C$3:$C$7)</f>
        <v>3</v>
      </c>
    </row>
    <row r="57" spans="1:11" x14ac:dyDescent="0.25">
      <c r="A57" t="s">
        <v>33</v>
      </c>
      <c r="B57" t="s">
        <v>8</v>
      </c>
      <c r="C57" t="s">
        <v>19</v>
      </c>
      <c r="D57">
        <v>38</v>
      </c>
      <c r="E57" s="7">
        <v>44377</v>
      </c>
      <c r="F57" s="31">
        <v>109160</v>
      </c>
      <c r="G57" t="s">
        <v>10</v>
      </c>
      <c r="H57" t="s">
        <v>205</v>
      </c>
      <c r="I57" s="13">
        <f ca="1">(TODAY()-Staff[[#This Row],[Date Joined]])/365</f>
        <v>3.3780821917808219</v>
      </c>
      <c r="J57" s="31">
        <f ca="1">ROUNDUP(IF(Staff[[#This Row],[Tenure]]&gt;2,3%,2%)*Staff[[#This Row],[Salary]],0)</f>
        <v>3275</v>
      </c>
      <c r="K57" s="33">
        <f>_xlfn.XLOOKUP(Staff[[#This Row],[Rating]],Sheet3!$B$3:$B$7,Sheet3!$C$3:$C$7)</f>
        <v>5</v>
      </c>
    </row>
    <row r="58" spans="1:11" x14ac:dyDescent="0.25">
      <c r="A58" t="s">
        <v>98</v>
      </c>
      <c r="B58" t="s">
        <v>15</v>
      </c>
      <c r="C58" t="s">
        <v>9</v>
      </c>
      <c r="D58">
        <v>27</v>
      </c>
      <c r="E58" s="7">
        <v>44609</v>
      </c>
      <c r="F58" s="31">
        <v>113280</v>
      </c>
      <c r="G58" t="s">
        <v>42</v>
      </c>
      <c r="H58" t="s">
        <v>205</v>
      </c>
      <c r="I58" s="13">
        <f ca="1">(TODAY()-Staff[[#This Row],[Date Joined]])/365</f>
        <v>2.7424657534246575</v>
      </c>
      <c r="J58" s="31">
        <f ca="1">ROUNDUP(IF(Staff[[#This Row],[Tenure]]&gt;2,3%,2%)*Staff[[#This Row],[Salary]],0)</f>
        <v>3399</v>
      </c>
      <c r="K58" s="33">
        <f>_xlfn.XLOOKUP(Staff[[#This Row],[Rating]],Sheet3!$B$3:$B$7,Sheet3!$C$3:$C$7)</f>
        <v>1</v>
      </c>
    </row>
    <row r="59" spans="1:11" x14ac:dyDescent="0.25">
      <c r="A59" t="s">
        <v>25</v>
      </c>
      <c r="B59" t="s">
        <v>15</v>
      </c>
      <c r="C59" t="s">
        <v>12</v>
      </c>
      <c r="D59">
        <v>30</v>
      </c>
      <c r="E59" s="7">
        <v>44273</v>
      </c>
      <c r="F59" s="31">
        <v>69120</v>
      </c>
      <c r="G59" t="s">
        <v>16</v>
      </c>
      <c r="H59" t="s">
        <v>205</v>
      </c>
      <c r="I59" s="13">
        <f ca="1">(TODAY()-Staff[[#This Row],[Date Joined]])/365</f>
        <v>3.6630136986301371</v>
      </c>
      <c r="J59" s="31">
        <f ca="1">ROUNDUP(IF(Staff[[#This Row],[Tenure]]&gt;2,3%,2%)*Staff[[#This Row],[Salary]],0)</f>
        <v>2074</v>
      </c>
      <c r="K59" s="33">
        <f>_xlfn.XLOOKUP(Staff[[#This Row],[Rating]],Sheet3!$B$3:$B$7,Sheet3!$C$3:$C$7)</f>
        <v>3</v>
      </c>
    </row>
    <row r="60" spans="1:11" x14ac:dyDescent="0.25">
      <c r="A60" t="s">
        <v>55</v>
      </c>
      <c r="B60" t="s">
        <v>8</v>
      </c>
      <c r="C60" t="s">
        <v>56</v>
      </c>
      <c r="D60">
        <v>37</v>
      </c>
      <c r="E60" s="7">
        <v>44451</v>
      </c>
      <c r="F60" s="31">
        <v>118100</v>
      </c>
      <c r="G60" t="s">
        <v>16</v>
      </c>
      <c r="H60" t="s">
        <v>205</v>
      </c>
      <c r="I60" s="13">
        <f ca="1">(TODAY()-Staff[[#This Row],[Date Joined]])/365</f>
        <v>3.1753424657534248</v>
      </c>
      <c r="J60" s="31">
        <f ca="1">ROUNDUP(IF(Staff[[#This Row],[Tenure]]&gt;2,3%,2%)*Staff[[#This Row],[Salary]],0)</f>
        <v>3543</v>
      </c>
      <c r="K60" s="33">
        <f>_xlfn.XLOOKUP(Staff[[#This Row],[Rating]],Sheet3!$B$3:$B$7,Sheet3!$C$3:$C$7)</f>
        <v>3</v>
      </c>
    </row>
    <row r="61" spans="1:11" x14ac:dyDescent="0.25">
      <c r="A61" t="s">
        <v>62</v>
      </c>
      <c r="B61" t="s">
        <v>8</v>
      </c>
      <c r="C61" t="s">
        <v>9</v>
      </c>
      <c r="D61">
        <v>22</v>
      </c>
      <c r="E61" s="7">
        <v>44450</v>
      </c>
      <c r="F61" s="31">
        <v>76900</v>
      </c>
      <c r="G61" t="s">
        <v>13</v>
      </c>
      <c r="H61" t="s">
        <v>205</v>
      </c>
      <c r="I61" s="13">
        <f ca="1">(TODAY()-Staff[[#This Row],[Date Joined]])/365</f>
        <v>3.1780821917808217</v>
      </c>
      <c r="J61" s="31">
        <f ca="1">ROUNDUP(IF(Staff[[#This Row],[Tenure]]&gt;2,3%,2%)*Staff[[#This Row],[Salary]],0)</f>
        <v>2307</v>
      </c>
      <c r="K61" s="33">
        <f>_xlfn.XLOOKUP(Staff[[#This Row],[Rating]],Sheet3!$B$3:$B$7,Sheet3!$C$3:$C$7)</f>
        <v>4</v>
      </c>
    </row>
    <row r="62" spans="1:11" x14ac:dyDescent="0.25">
      <c r="A62" t="s">
        <v>17</v>
      </c>
      <c r="B62" t="s">
        <v>8</v>
      </c>
      <c r="C62" t="s">
        <v>12</v>
      </c>
      <c r="D62">
        <v>43</v>
      </c>
      <c r="E62" s="7">
        <v>45045</v>
      </c>
      <c r="F62" s="31">
        <v>114870</v>
      </c>
      <c r="G62" t="s">
        <v>16</v>
      </c>
      <c r="H62" t="s">
        <v>205</v>
      </c>
      <c r="I62" s="13">
        <f ca="1">(TODAY()-Staff[[#This Row],[Date Joined]])/365</f>
        <v>1.547945205479452</v>
      </c>
      <c r="J62" s="31">
        <f ca="1">ROUNDUP(IF(Staff[[#This Row],[Tenure]]&gt;2,3%,2%)*Staff[[#This Row],[Salary]],0)</f>
        <v>2298</v>
      </c>
      <c r="K62" s="33">
        <f>_xlfn.XLOOKUP(Staff[[#This Row],[Rating]],Sheet3!$B$3:$B$7,Sheet3!$C$3:$C$7)</f>
        <v>3</v>
      </c>
    </row>
    <row r="63" spans="1:11" x14ac:dyDescent="0.25">
      <c r="A63" t="s">
        <v>52</v>
      </c>
      <c r="B63" t="s">
        <v>207</v>
      </c>
      <c r="C63" t="s">
        <v>12</v>
      </c>
      <c r="D63">
        <v>32</v>
      </c>
      <c r="E63" s="7">
        <v>44774</v>
      </c>
      <c r="F63" s="31">
        <v>91310</v>
      </c>
      <c r="G63" t="s">
        <v>16</v>
      </c>
      <c r="H63" t="s">
        <v>205</v>
      </c>
      <c r="I63" s="13">
        <f ca="1">(TODAY()-Staff[[#This Row],[Date Joined]])/365</f>
        <v>2.2904109589041095</v>
      </c>
      <c r="J63" s="31">
        <f ca="1">ROUNDUP(IF(Staff[[#This Row],[Tenure]]&gt;2,3%,2%)*Staff[[#This Row],[Salary]],0)</f>
        <v>2740</v>
      </c>
      <c r="K63" s="33">
        <f>_xlfn.XLOOKUP(Staff[[#This Row],[Rating]],Sheet3!$B$3:$B$7,Sheet3!$C$3:$C$7)</f>
        <v>3</v>
      </c>
    </row>
    <row r="64" spans="1:11" x14ac:dyDescent="0.25">
      <c r="A64" t="s">
        <v>43</v>
      </c>
      <c r="B64" t="s">
        <v>8</v>
      </c>
      <c r="C64" t="s">
        <v>9</v>
      </c>
      <c r="D64">
        <v>28</v>
      </c>
      <c r="E64" s="7">
        <v>44486</v>
      </c>
      <c r="F64" s="31">
        <v>104770</v>
      </c>
      <c r="G64" t="s">
        <v>16</v>
      </c>
      <c r="H64" t="s">
        <v>205</v>
      </c>
      <c r="I64" s="13">
        <f ca="1">(TODAY()-Staff[[#This Row],[Date Joined]])/365</f>
        <v>3.0794520547945203</v>
      </c>
      <c r="J64" s="31">
        <f ca="1">ROUNDUP(IF(Staff[[#This Row],[Tenure]]&gt;2,3%,2%)*Staff[[#This Row],[Salary]],0)</f>
        <v>3144</v>
      </c>
      <c r="K64" s="33">
        <f>_xlfn.XLOOKUP(Staff[[#This Row],[Rating]],Sheet3!$B$3:$B$7,Sheet3!$C$3:$C$7)</f>
        <v>3</v>
      </c>
    </row>
    <row r="65" spans="1:11" x14ac:dyDescent="0.25">
      <c r="A65" t="s">
        <v>89</v>
      </c>
      <c r="B65" t="s">
        <v>15</v>
      </c>
      <c r="C65" t="s">
        <v>19</v>
      </c>
      <c r="D65">
        <v>27</v>
      </c>
      <c r="E65" s="7">
        <v>44134</v>
      </c>
      <c r="F65" s="31">
        <v>54970</v>
      </c>
      <c r="G65" t="s">
        <v>16</v>
      </c>
      <c r="H65" t="s">
        <v>205</v>
      </c>
      <c r="I65" s="13">
        <f ca="1">(TODAY()-Staff[[#This Row],[Date Joined]])/365</f>
        <v>4.043835616438356</v>
      </c>
      <c r="J65" s="31">
        <f ca="1">ROUNDUP(IF(Staff[[#This Row],[Tenure]]&gt;2,3%,2%)*Staff[[#This Row],[Salary]],0)</f>
        <v>1650</v>
      </c>
      <c r="K65" s="33">
        <f>_xlfn.XLOOKUP(Staff[[#This Row],[Rating]],Sheet3!$B$3:$B$7,Sheet3!$C$3:$C$7)</f>
        <v>3</v>
      </c>
    </row>
    <row r="66" spans="1:11" x14ac:dyDescent="0.25">
      <c r="A66" t="s">
        <v>11</v>
      </c>
      <c r="B66" t="s">
        <v>207</v>
      </c>
      <c r="C66" t="s">
        <v>12</v>
      </c>
      <c r="D66">
        <v>26</v>
      </c>
      <c r="E66" s="7">
        <v>44271</v>
      </c>
      <c r="F66" s="31">
        <v>90700</v>
      </c>
      <c r="G66" t="s">
        <v>13</v>
      </c>
      <c r="H66" t="s">
        <v>205</v>
      </c>
      <c r="I66" s="13">
        <f ca="1">(TODAY()-Staff[[#This Row],[Date Joined]])/365</f>
        <v>3.6684931506849314</v>
      </c>
      <c r="J66" s="31">
        <f ca="1">ROUNDUP(IF(Staff[[#This Row],[Tenure]]&gt;2,3%,2%)*Staff[[#This Row],[Salary]],0)</f>
        <v>2721</v>
      </c>
      <c r="K66" s="33">
        <f>_xlfn.XLOOKUP(Staff[[#This Row],[Rating]],Sheet3!$B$3:$B$7,Sheet3!$C$3:$C$7)</f>
        <v>4</v>
      </c>
    </row>
    <row r="67" spans="1:11" x14ac:dyDescent="0.25">
      <c r="A67" t="s">
        <v>109</v>
      </c>
      <c r="B67" t="s">
        <v>8</v>
      </c>
      <c r="C67" t="s">
        <v>19</v>
      </c>
      <c r="D67">
        <v>38</v>
      </c>
      <c r="E67" s="7">
        <v>44329</v>
      </c>
      <c r="F67" s="31">
        <v>56870</v>
      </c>
      <c r="G67" t="s">
        <v>13</v>
      </c>
      <c r="H67" t="s">
        <v>205</v>
      </c>
      <c r="I67" s="13">
        <f ca="1">(TODAY()-Staff[[#This Row],[Date Joined]])/365</f>
        <v>3.5095890410958903</v>
      </c>
      <c r="J67" s="31">
        <f ca="1">ROUNDUP(IF(Staff[[#This Row],[Tenure]]&gt;2,3%,2%)*Staff[[#This Row],[Salary]],0)</f>
        <v>1707</v>
      </c>
      <c r="K67" s="33">
        <f>_xlfn.XLOOKUP(Staff[[#This Row],[Rating]],Sheet3!$B$3:$B$7,Sheet3!$C$3:$C$7)</f>
        <v>4</v>
      </c>
    </row>
    <row r="68" spans="1:11" x14ac:dyDescent="0.25">
      <c r="A68" t="s">
        <v>77</v>
      </c>
      <c r="B68" t="s">
        <v>8</v>
      </c>
      <c r="C68" t="s">
        <v>19</v>
      </c>
      <c r="D68">
        <v>25</v>
      </c>
      <c r="E68" s="7">
        <v>44205</v>
      </c>
      <c r="F68" s="31">
        <v>92700</v>
      </c>
      <c r="G68" t="s">
        <v>16</v>
      </c>
      <c r="H68" t="s">
        <v>205</v>
      </c>
      <c r="I68" s="13">
        <f ca="1">(TODAY()-Staff[[#This Row],[Date Joined]])/365</f>
        <v>3.8493150684931505</v>
      </c>
      <c r="J68" s="31">
        <f ca="1">ROUNDUP(IF(Staff[[#This Row],[Tenure]]&gt;2,3%,2%)*Staff[[#This Row],[Salary]],0)</f>
        <v>2781</v>
      </c>
      <c r="K68" s="33">
        <f>_xlfn.XLOOKUP(Staff[[#This Row],[Rating]],Sheet3!$B$3:$B$7,Sheet3!$C$3:$C$7)</f>
        <v>3</v>
      </c>
    </row>
    <row r="69" spans="1:11" x14ac:dyDescent="0.25">
      <c r="A69" t="s">
        <v>32</v>
      </c>
      <c r="B69" t="s">
        <v>8</v>
      </c>
      <c r="C69" t="s">
        <v>21</v>
      </c>
      <c r="D69">
        <v>21</v>
      </c>
      <c r="E69" s="7">
        <v>44317</v>
      </c>
      <c r="F69" s="31">
        <v>65920</v>
      </c>
      <c r="G69" t="s">
        <v>16</v>
      </c>
      <c r="H69" t="s">
        <v>205</v>
      </c>
      <c r="I69" s="13">
        <f ca="1">(TODAY()-Staff[[#This Row],[Date Joined]])/365</f>
        <v>3.5424657534246577</v>
      </c>
      <c r="J69" s="31">
        <f ca="1">ROUNDUP(IF(Staff[[#This Row],[Tenure]]&gt;2,3%,2%)*Staff[[#This Row],[Salary]],0)</f>
        <v>1978</v>
      </c>
      <c r="K69" s="33">
        <f>_xlfn.XLOOKUP(Staff[[#This Row],[Rating]],Sheet3!$B$3:$B$7,Sheet3!$C$3:$C$7)</f>
        <v>3</v>
      </c>
    </row>
    <row r="70" spans="1:11" x14ac:dyDescent="0.25">
      <c r="A70" t="s">
        <v>59</v>
      </c>
      <c r="B70" t="s">
        <v>15</v>
      </c>
      <c r="C70" t="s">
        <v>9</v>
      </c>
      <c r="D70">
        <v>26</v>
      </c>
      <c r="E70" s="7">
        <v>44225</v>
      </c>
      <c r="F70" s="31">
        <v>47360</v>
      </c>
      <c r="G70" t="s">
        <v>16</v>
      </c>
      <c r="H70" t="s">
        <v>205</v>
      </c>
      <c r="I70" s="13">
        <f ca="1">(TODAY()-Staff[[#This Row],[Date Joined]])/365</f>
        <v>3.7945205479452055</v>
      </c>
      <c r="J70" s="31">
        <f ca="1">ROUNDUP(IF(Staff[[#This Row],[Tenure]]&gt;2,3%,2%)*Staff[[#This Row],[Salary]],0)</f>
        <v>1421</v>
      </c>
      <c r="K70" s="33">
        <f>_xlfn.XLOOKUP(Staff[[#This Row],[Rating]],Sheet3!$B$3:$B$7,Sheet3!$C$3:$C$7)</f>
        <v>3</v>
      </c>
    </row>
    <row r="71" spans="1:11" x14ac:dyDescent="0.25">
      <c r="A71" t="s">
        <v>37</v>
      </c>
      <c r="B71" t="s">
        <v>15</v>
      </c>
      <c r="C71" t="s">
        <v>9</v>
      </c>
      <c r="D71">
        <v>30</v>
      </c>
      <c r="E71" s="7">
        <v>44666</v>
      </c>
      <c r="F71" s="31">
        <v>60570</v>
      </c>
      <c r="G71" t="s">
        <v>16</v>
      </c>
      <c r="H71" t="s">
        <v>205</v>
      </c>
      <c r="I71" s="13">
        <f ca="1">(TODAY()-Staff[[#This Row],[Date Joined]])/365</f>
        <v>2.5863013698630137</v>
      </c>
      <c r="J71" s="31">
        <f ca="1">ROUNDUP(IF(Staff[[#This Row],[Tenure]]&gt;2,3%,2%)*Staff[[#This Row],[Salary]],0)</f>
        <v>1818</v>
      </c>
      <c r="K71" s="33">
        <f>_xlfn.XLOOKUP(Staff[[#This Row],[Rating]],Sheet3!$B$3:$B$7,Sheet3!$C$3:$C$7)</f>
        <v>3</v>
      </c>
    </row>
    <row r="72" spans="1:11" x14ac:dyDescent="0.25">
      <c r="A72" t="s">
        <v>96</v>
      </c>
      <c r="B72" t="s">
        <v>8</v>
      </c>
      <c r="C72" t="s">
        <v>9</v>
      </c>
      <c r="D72">
        <v>28</v>
      </c>
      <c r="E72" s="7">
        <v>44649</v>
      </c>
      <c r="F72" s="31">
        <v>104120</v>
      </c>
      <c r="G72" t="s">
        <v>16</v>
      </c>
      <c r="H72" t="s">
        <v>205</v>
      </c>
      <c r="I72" s="13">
        <f ca="1">(TODAY()-Staff[[#This Row],[Date Joined]])/365</f>
        <v>2.6328767123287671</v>
      </c>
      <c r="J72" s="31">
        <f ca="1">ROUNDUP(IF(Staff[[#This Row],[Tenure]]&gt;2,3%,2%)*Staff[[#This Row],[Salary]],0)</f>
        <v>3124</v>
      </c>
      <c r="K72" s="33">
        <f>_xlfn.XLOOKUP(Staff[[#This Row],[Rating]],Sheet3!$B$3:$B$7,Sheet3!$C$3:$C$7)</f>
        <v>3</v>
      </c>
    </row>
    <row r="73" spans="1:11" x14ac:dyDescent="0.25">
      <c r="A73" t="s">
        <v>23</v>
      </c>
      <c r="B73" t="s">
        <v>15</v>
      </c>
      <c r="C73" t="s">
        <v>12</v>
      </c>
      <c r="D73">
        <v>37</v>
      </c>
      <c r="E73" s="7">
        <v>44338</v>
      </c>
      <c r="F73" s="31">
        <v>88050</v>
      </c>
      <c r="G73" t="s">
        <v>24</v>
      </c>
      <c r="H73" t="s">
        <v>205</v>
      </c>
      <c r="I73" s="13">
        <f ca="1">(TODAY()-Staff[[#This Row],[Date Joined]])/365</f>
        <v>3.484931506849315</v>
      </c>
      <c r="J73" s="31">
        <f ca="1">ROUNDUP(IF(Staff[[#This Row],[Tenure]]&gt;2,3%,2%)*Staff[[#This Row],[Salary]],0)</f>
        <v>2642</v>
      </c>
      <c r="K73" s="33">
        <f>_xlfn.XLOOKUP(Staff[[#This Row],[Rating]],Sheet3!$B$3:$B$7,Sheet3!$C$3:$C$7)</f>
        <v>2</v>
      </c>
    </row>
    <row r="74" spans="1:11" x14ac:dyDescent="0.25">
      <c r="A74" t="s">
        <v>103</v>
      </c>
      <c r="B74" t="s">
        <v>15</v>
      </c>
      <c r="C74" t="s">
        <v>12</v>
      </c>
      <c r="D74">
        <v>24</v>
      </c>
      <c r="E74" s="7">
        <v>44686</v>
      </c>
      <c r="F74" s="31">
        <v>100420</v>
      </c>
      <c r="G74" t="s">
        <v>16</v>
      </c>
      <c r="H74" t="s">
        <v>205</v>
      </c>
      <c r="I74" s="13">
        <f ca="1">(TODAY()-Staff[[#This Row],[Date Joined]])/365</f>
        <v>2.5315068493150683</v>
      </c>
      <c r="J74" s="31">
        <f ca="1">ROUNDUP(IF(Staff[[#This Row],[Tenure]]&gt;2,3%,2%)*Staff[[#This Row],[Salary]],0)</f>
        <v>3013</v>
      </c>
      <c r="K74" s="33">
        <f>_xlfn.XLOOKUP(Staff[[#This Row],[Rating]],Sheet3!$B$3:$B$7,Sheet3!$C$3:$C$7)</f>
        <v>3</v>
      </c>
    </row>
    <row r="75" spans="1:11" x14ac:dyDescent="0.25">
      <c r="A75" t="s">
        <v>54</v>
      </c>
      <c r="B75" t="s">
        <v>8</v>
      </c>
      <c r="C75" t="s">
        <v>9</v>
      </c>
      <c r="D75">
        <v>30</v>
      </c>
      <c r="E75" s="7">
        <v>44850</v>
      </c>
      <c r="F75" s="31">
        <v>114180</v>
      </c>
      <c r="G75" t="s">
        <v>16</v>
      </c>
      <c r="H75" t="s">
        <v>205</v>
      </c>
      <c r="I75" s="13">
        <f ca="1">(TODAY()-Staff[[#This Row],[Date Joined]])/365</f>
        <v>2.0821917808219177</v>
      </c>
      <c r="J75" s="31">
        <f ca="1">ROUNDUP(IF(Staff[[#This Row],[Tenure]]&gt;2,3%,2%)*Staff[[#This Row],[Salary]],0)</f>
        <v>3426</v>
      </c>
      <c r="K75" s="33">
        <f>_xlfn.XLOOKUP(Staff[[#This Row],[Rating]],Sheet3!$B$3:$B$7,Sheet3!$C$3:$C$7)</f>
        <v>3</v>
      </c>
    </row>
    <row r="76" spans="1:11" x14ac:dyDescent="0.25">
      <c r="A76" t="s">
        <v>86</v>
      </c>
      <c r="B76" t="s">
        <v>8</v>
      </c>
      <c r="C76" t="s">
        <v>12</v>
      </c>
      <c r="D76">
        <v>21</v>
      </c>
      <c r="E76" s="7">
        <v>44678</v>
      </c>
      <c r="F76" s="31">
        <v>33920</v>
      </c>
      <c r="G76" t="s">
        <v>16</v>
      </c>
      <c r="H76" t="s">
        <v>205</v>
      </c>
      <c r="I76" s="13">
        <f ca="1">(TODAY()-Staff[[#This Row],[Date Joined]])/365</f>
        <v>2.5534246575342467</v>
      </c>
      <c r="J76" s="31">
        <f ca="1">ROUNDUP(IF(Staff[[#This Row],[Tenure]]&gt;2,3%,2%)*Staff[[#This Row],[Salary]],0)</f>
        <v>1018</v>
      </c>
      <c r="K76" s="33">
        <f>_xlfn.XLOOKUP(Staff[[#This Row],[Rating]],Sheet3!$B$3:$B$7,Sheet3!$C$3:$C$7)</f>
        <v>3</v>
      </c>
    </row>
    <row r="77" spans="1:11" x14ac:dyDescent="0.25">
      <c r="A77" t="s">
        <v>69</v>
      </c>
      <c r="B77" t="s">
        <v>15</v>
      </c>
      <c r="C77" t="s">
        <v>9</v>
      </c>
      <c r="D77">
        <v>23</v>
      </c>
      <c r="E77" s="7">
        <v>44440</v>
      </c>
      <c r="F77" s="31">
        <v>106460</v>
      </c>
      <c r="G77" t="s">
        <v>16</v>
      </c>
      <c r="H77" t="s">
        <v>205</v>
      </c>
      <c r="I77" s="13">
        <f ca="1">(TODAY()-Staff[[#This Row],[Date Joined]])/365</f>
        <v>3.2054794520547945</v>
      </c>
      <c r="J77" s="31">
        <f ca="1">ROUNDUP(IF(Staff[[#This Row],[Tenure]]&gt;2,3%,2%)*Staff[[#This Row],[Salary]],0)</f>
        <v>3194</v>
      </c>
      <c r="K77" s="33">
        <f>_xlfn.XLOOKUP(Staff[[#This Row],[Rating]],Sheet3!$B$3:$B$7,Sheet3!$C$3:$C$7)</f>
        <v>3</v>
      </c>
    </row>
    <row r="78" spans="1:11" x14ac:dyDescent="0.25">
      <c r="A78" t="s">
        <v>57</v>
      </c>
      <c r="B78" t="s">
        <v>15</v>
      </c>
      <c r="C78" t="s">
        <v>9</v>
      </c>
      <c r="D78">
        <v>35</v>
      </c>
      <c r="E78" s="7">
        <v>44727</v>
      </c>
      <c r="F78" s="31">
        <v>40400</v>
      </c>
      <c r="G78" t="s">
        <v>16</v>
      </c>
      <c r="H78" t="s">
        <v>205</v>
      </c>
      <c r="I78" s="13">
        <f ca="1">(TODAY()-Staff[[#This Row],[Date Joined]])/365</f>
        <v>2.419178082191781</v>
      </c>
      <c r="J78" s="31">
        <f ca="1">ROUNDUP(IF(Staff[[#This Row],[Tenure]]&gt;2,3%,2%)*Staff[[#This Row],[Salary]],0)</f>
        <v>1212</v>
      </c>
      <c r="K78" s="33">
        <f>_xlfn.XLOOKUP(Staff[[#This Row],[Rating]],Sheet3!$B$3:$B$7,Sheet3!$C$3:$C$7)</f>
        <v>3</v>
      </c>
    </row>
    <row r="79" spans="1:11" x14ac:dyDescent="0.25">
      <c r="A79" t="s">
        <v>68</v>
      </c>
      <c r="B79" t="s">
        <v>15</v>
      </c>
      <c r="C79" t="s">
        <v>21</v>
      </c>
      <c r="D79">
        <v>27</v>
      </c>
      <c r="E79" s="7">
        <v>44236</v>
      </c>
      <c r="F79" s="31">
        <v>91650</v>
      </c>
      <c r="G79" t="s">
        <v>13</v>
      </c>
      <c r="H79" t="s">
        <v>205</v>
      </c>
      <c r="I79" s="13">
        <f ca="1">(TODAY()-Staff[[#This Row],[Date Joined]])/365</f>
        <v>3.7643835616438355</v>
      </c>
      <c r="J79" s="31">
        <f ca="1">ROUNDUP(IF(Staff[[#This Row],[Tenure]]&gt;2,3%,2%)*Staff[[#This Row],[Salary]],0)</f>
        <v>2750</v>
      </c>
      <c r="K79" s="33">
        <f>_xlfn.XLOOKUP(Staff[[#This Row],[Rating]],Sheet3!$B$3:$B$7,Sheet3!$C$3:$C$7)</f>
        <v>4</v>
      </c>
    </row>
    <row r="80" spans="1:11" x14ac:dyDescent="0.25">
      <c r="A80" t="s">
        <v>99</v>
      </c>
      <c r="B80" t="s">
        <v>15</v>
      </c>
      <c r="C80" t="s">
        <v>19</v>
      </c>
      <c r="D80">
        <v>43</v>
      </c>
      <c r="E80" s="7">
        <v>44620</v>
      </c>
      <c r="F80" s="31">
        <v>36040</v>
      </c>
      <c r="G80" t="s">
        <v>16</v>
      </c>
      <c r="H80" t="s">
        <v>205</v>
      </c>
      <c r="I80" s="13">
        <f ca="1">(TODAY()-Staff[[#This Row],[Date Joined]])/365</f>
        <v>2.7123287671232879</v>
      </c>
      <c r="J80" s="31">
        <f ca="1">ROUNDUP(IF(Staff[[#This Row],[Tenure]]&gt;2,3%,2%)*Staff[[#This Row],[Salary]],0)</f>
        <v>1082</v>
      </c>
      <c r="K80" s="33">
        <f>_xlfn.XLOOKUP(Staff[[#This Row],[Rating]],Sheet3!$B$3:$B$7,Sheet3!$C$3:$C$7)</f>
        <v>3</v>
      </c>
    </row>
    <row r="81" spans="1:11" x14ac:dyDescent="0.25">
      <c r="A81" t="s">
        <v>101</v>
      </c>
      <c r="B81" t="s">
        <v>8</v>
      </c>
      <c r="C81" t="s">
        <v>12</v>
      </c>
      <c r="D81">
        <v>40</v>
      </c>
      <c r="E81" s="7">
        <v>44381</v>
      </c>
      <c r="F81" s="31">
        <v>104410</v>
      </c>
      <c r="G81" t="s">
        <v>16</v>
      </c>
      <c r="H81" t="s">
        <v>205</v>
      </c>
      <c r="I81" s="13">
        <f ca="1">(TODAY()-Staff[[#This Row],[Date Joined]])/365</f>
        <v>3.3671232876712329</v>
      </c>
      <c r="J81" s="31">
        <f ca="1">ROUNDUP(IF(Staff[[#This Row],[Tenure]]&gt;2,3%,2%)*Staff[[#This Row],[Salary]],0)</f>
        <v>3133</v>
      </c>
      <c r="K81" s="33">
        <f>_xlfn.XLOOKUP(Staff[[#This Row],[Rating]],Sheet3!$B$3:$B$7,Sheet3!$C$3:$C$7)</f>
        <v>3</v>
      </c>
    </row>
    <row r="82" spans="1:11" x14ac:dyDescent="0.25">
      <c r="A82" t="s">
        <v>85</v>
      </c>
      <c r="B82" t="s">
        <v>15</v>
      </c>
      <c r="C82" t="s">
        <v>21</v>
      </c>
      <c r="D82">
        <v>30</v>
      </c>
      <c r="E82" s="7">
        <v>44606</v>
      </c>
      <c r="F82" s="31">
        <v>96800</v>
      </c>
      <c r="G82" t="s">
        <v>16</v>
      </c>
      <c r="H82" t="s">
        <v>205</v>
      </c>
      <c r="I82" s="13">
        <f ca="1">(TODAY()-Staff[[#This Row],[Date Joined]])/365</f>
        <v>2.7506849315068491</v>
      </c>
      <c r="J82" s="31">
        <f ca="1">ROUNDUP(IF(Staff[[#This Row],[Tenure]]&gt;2,3%,2%)*Staff[[#This Row],[Salary]],0)</f>
        <v>2904</v>
      </c>
      <c r="K82" s="33">
        <f>_xlfn.XLOOKUP(Staff[[#This Row],[Rating]],Sheet3!$B$3:$B$7,Sheet3!$C$3:$C$7)</f>
        <v>3</v>
      </c>
    </row>
    <row r="83" spans="1:11" x14ac:dyDescent="0.25">
      <c r="A83" t="s">
        <v>28</v>
      </c>
      <c r="B83" t="s">
        <v>8</v>
      </c>
      <c r="C83" t="s">
        <v>21</v>
      </c>
      <c r="D83">
        <v>34</v>
      </c>
      <c r="E83" s="7">
        <v>44459</v>
      </c>
      <c r="F83" s="31">
        <v>85000</v>
      </c>
      <c r="G83" t="s">
        <v>16</v>
      </c>
      <c r="H83" t="s">
        <v>205</v>
      </c>
      <c r="I83" s="13">
        <f ca="1">(TODAY()-Staff[[#This Row],[Date Joined]])/365</f>
        <v>3.1534246575342464</v>
      </c>
      <c r="J83" s="31">
        <f ca="1">ROUNDUP(IF(Staff[[#This Row],[Tenure]]&gt;2,3%,2%)*Staff[[#This Row],[Salary]],0)</f>
        <v>2550</v>
      </c>
      <c r="K83" s="33">
        <f>_xlfn.XLOOKUP(Staff[[#This Row],[Rating]],Sheet3!$B$3:$B$7,Sheet3!$C$3:$C$7)</f>
        <v>3</v>
      </c>
    </row>
    <row r="84" spans="1:11" x14ac:dyDescent="0.25">
      <c r="A84" t="s">
        <v>80</v>
      </c>
      <c r="B84" t="s">
        <v>15</v>
      </c>
      <c r="C84" t="s">
        <v>19</v>
      </c>
      <c r="D84">
        <v>28</v>
      </c>
      <c r="E84" s="7">
        <v>44820</v>
      </c>
      <c r="F84" s="31">
        <v>43510</v>
      </c>
      <c r="G84" t="s">
        <v>42</v>
      </c>
      <c r="H84" t="s">
        <v>205</v>
      </c>
      <c r="I84" s="13">
        <f ca="1">(TODAY()-Staff[[#This Row],[Date Joined]])/365</f>
        <v>2.1643835616438358</v>
      </c>
      <c r="J84" s="31">
        <f ca="1">ROUNDUP(IF(Staff[[#This Row],[Tenure]]&gt;2,3%,2%)*Staff[[#This Row],[Salary]],0)</f>
        <v>1306</v>
      </c>
      <c r="K84" s="33">
        <f>_xlfn.XLOOKUP(Staff[[#This Row],[Rating]],Sheet3!$B$3:$B$7,Sheet3!$C$3:$C$7)</f>
        <v>1</v>
      </c>
    </row>
    <row r="85" spans="1:11" x14ac:dyDescent="0.25">
      <c r="A85" t="s">
        <v>79</v>
      </c>
      <c r="B85" t="s">
        <v>15</v>
      </c>
      <c r="C85" t="s">
        <v>21</v>
      </c>
      <c r="D85">
        <v>33</v>
      </c>
      <c r="E85" s="7">
        <v>44243</v>
      </c>
      <c r="F85" s="31">
        <v>59430</v>
      </c>
      <c r="G85" t="s">
        <v>16</v>
      </c>
      <c r="H85" t="s">
        <v>205</v>
      </c>
      <c r="I85" s="13">
        <f ca="1">(TODAY()-Staff[[#This Row],[Date Joined]])/365</f>
        <v>3.7452054794520548</v>
      </c>
      <c r="J85" s="31">
        <f ca="1">ROUNDUP(IF(Staff[[#This Row],[Tenure]]&gt;2,3%,2%)*Staff[[#This Row],[Salary]],0)</f>
        <v>1783</v>
      </c>
      <c r="K85" s="33">
        <f>_xlfn.XLOOKUP(Staff[[#This Row],[Rating]],Sheet3!$B$3:$B$7,Sheet3!$C$3:$C$7)</f>
        <v>3</v>
      </c>
    </row>
    <row r="86" spans="1:11" x14ac:dyDescent="0.25">
      <c r="A86" t="s">
        <v>93</v>
      </c>
      <c r="B86" t="s">
        <v>8</v>
      </c>
      <c r="C86" t="s">
        <v>21</v>
      </c>
      <c r="D86">
        <v>33</v>
      </c>
      <c r="E86" s="7">
        <v>44067</v>
      </c>
      <c r="F86" s="31">
        <v>65360</v>
      </c>
      <c r="G86" t="s">
        <v>16</v>
      </c>
      <c r="H86" t="s">
        <v>205</v>
      </c>
      <c r="I86" s="13">
        <f ca="1">(TODAY()-Staff[[#This Row],[Date Joined]])/365</f>
        <v>4.2273972602739729</v>
      </c>
      <c r="J86" s="31">
        <f ca="1">ROUNDUP(IF(Staff[[#This Row],[Tenure]]&gt;2,3%,2%)*Staff[[#This Row],[Salary]],0)</f>
        <v>1961</v>
      </c>
      <c r="K86" s="33">
        <f>_xlfn.XLOOKUP(Staff[[#This Row],[Rating]],Sheet3!$B$3:$B$7,Sheet3!$C$3:$C$7)</f>
        <v>3</v>
      </c>
    </row>
    <row r="87" spans="1:11" x14ac:dyDescent="0.25">
      <c r="A87" t="s">
        <v>66</v>
      </c>
      <c r="B87" t="s">
        <v>8</v>
      </c>
      <c r="C87" t="s">
        <v>9</v>
      </c>
      <c r="D87">
        <v>32</v>
      </c>
      <c r="E87" s="7">
        <v>44611</v>
      </c>
      <c r="F87" s="31">
        <v>41570</v>
      </c>
      <c r="G87" t="s">
        <v>16</v>
      </c>
      <c r="H87" t="s">
        <v>205</v>
      </c>
      <c r="I87" s="13">
        <f ca="1">(TODAY()-Staff[[#This Row],[Date Joined]])/365</f>
        <v>2.7369863013698632</v>
      </c>
      <c r="J87" s="31">
        <f ca="1">ROUNDUP(IF(Staff[[#This Row],[Tenure]]&gt;2,3%,2%)*Staff[[#This Row],[Salary]],0)</f>
        <v>1248</v>
      </c>
      <c r="K87" s="33">
        <f>_xlfn.XLOOKUP(Staff[[#This Row],[Rating]],Sheet3!$B$3:$B$7,Sheet3!$C$3:$C$7)</f>
        <v>3</v>
      </c>
    </row>
    <row r="88" spans="1:11" x14ac:dyDescent="0.25">
      <c r="A88" t="s">
        <v>95</v>
      </c>
      <c r="B88" t="s">
        <v>8</v>
      </c>
      <c r="C88" t="s">
        <v>12</v>
      </c>
      <c r="D88">
        <v>33</v>
      </c>
      <c r="E88" s="7">
        <v>44312</v>
      </c>
      <c r="F88" s="31">
        <v>75280</v>
      </c>
      <c r="G88" t="s">
        <v>16</v>
      </c>
      <c r="H88" t="s">
        <v>205</v>
      </c>
      <c r="I88" s="13">
        <f ca="1">(TODAY()-Staff[[#This Row],[Date Joined]])/365</f>
        <v>3.5561643835616437</v>
      </c>
      <c r="J88" s="31">
        <f ca="1">ROUNDUP(IF(Staff[[#This Row],[Tenure]]&gt;2,3%,2%)*Staff[[#This Row],[Salary]],0)</f>
        <v>2259</v>
      </c>
      <c r="K88" s="33">
        <f>_xlfn.XLOOKUP(Staff[[#This Row],[Rating]],Sheet3!$B$3:$B$7,Sheet3!$C$3:$C$7)</f>
        <v>3</v>
      </c>
    </row>
    <row r="89" spans="1:11" x14ac:dyDescent="0.25">
      <c r="A89" t="s">
        <v>18</v>
      </c>
      <c r="B89" t="s">
        <v>15</v>
      </c>
      <c r="C89" t="s">
        <v>19</v>
      </c>
      <c r="D89">
        <v>33</v>
      </c>
      <c r="E89" s="7">
        <v>44385</v>
      </c>
      <c r="F89" s="31">
        <v>74550</v>
      </c>
      <c r="G89" t="s">
        <v>16</v>
      </c>
      <c r="H89" t="s">
        <v>205</v>
      </c>
      <c r="I89" s="13">
        <f ca="1">(TODAY()-Staff[[#This Row],[Date Joined]])/365</f>
        <v>3.3561643835616439</v>
      </c>
      <c r="J89" s="31">
        <f ca="1">ROUNDUP(IF(Staff[[#This Row],[Tenure]]&gt;2,3%,2%)*Staff[[#This Row],[Salary]],0)</f>
        <v>2237</v>
      </c>
      <c r="K89" s="33">
        <f>_xlfn.XLOOKUP(Staff[[#This Row],[Rating]],Sheet3!$B$3:$B$7,Sheet3!$C$3:$C$7)</f>
        <v>3</v>
      </c>
    </row>
    <row r="90" spans="1:11" x14ac:dyDescent="0.25">
      <c r="A90" t="s">
        <v>45</v>
      </c>
      <c r="B90" t="s">
        <v>15</v>
      </c>
      <c r="C90" t="s">
        <v>9</v>
      </c>
      <c r="D90">
        <v>30</v>
      </c>
      <c r="E90" s="7">
        <v>44701</v>
      </c>
      <c r="F90" s="31">
        <v>67950</v>
      </c>
      <c r="G90" t="s">
        <v>16</v>
      </c>
      <c r="H90" t="s">
        <v>205</v>
      </c>
      <c r="I90" s="13">
        <f ca="1">(TODAY()-Staff[[#This Row],[Date Joined]])/365</f>
        <v>2.4904109589041097</v>
      </c>
      <c r="J90" s="31">
        <f ca="1">ROUNDUP(IF(Staff[[#This Row],[Tenure]]&gt;2,3%,2%)*Staff[[#This Row],[Salary]],0)</f>
        <v>2039</v>
      </c>
      <c r="K90" s="33">
        <f>_xlfn.XLOOKUP(Staff[[#This Row],[Rating]],Sheet3!$B$3:$B$7,Sheet3!$C$3:$C$7)</f>
        <v>3</v>
      </c>
    </row>
    <row r="91" spans="1:11" x14ac:dyDescent="0.25">
      <c r="A91" t="s">
        <v>90</v>
      </c>
      <c r="B91" t="s">
        <v>15</v>
      </c>
      <c r="C91" t="s">
        <v>21</v>
      </c>
      <c r="D91">
        <v>42</v>
      </c>
      <c r="E91" s="7">
        <v>44731</v>
      </c>
      <c r="F91" s="31">
        <v>70270</v>
      </c>
      <c r="G91" t="s">
        <v>24</v>
      </c>
      <c r="H91" t="s">
        <v>205</v>
      </c>
      <c r="I91" s="13">
        <f ca="1">(TODAY()-Staff[[#This Row],[Date Joined]])/365</f>
        <v>2.408219178082192</v>
      </c>
      <c r="J91" s="31">
        <f ca="1">ROUNDUP(IF(Staff[[#This Row],[Tenure]]&gt;2,3%,2%)*Staff[[#This Row],[Salary]],0)</f>
        <v>2109</v>
      </c>
      <c r="K91" s="33">
        <f>_xlfn.XLOOKUP(Staff[[#This Row],[Rating]],Sheet3!$B$3:$B$7,Sheet3!$C$3:$C$7)</f>
        <v>2</v>
      </c>
    </row>
    <row r="92" spans="1:11" x14ac:dyDescent="0.25">
      <c r="A92" t="s">
        <v>46</v>
      </c>
      <c r="B92" t="s">
        <v>15</v>
      </c>
      <c r="C92" t="s">
        <v>9</v>
      </c>
      <c r="D92">
        <v>26</v>
      </c>
      <c r="E92" s="7">
        <v>44411</v>
      </c>
      <c r="F92" s="31">
        <v>53540</v>
      </c>
      <c r="G92" t="s">
        <v>16</v>
      </c>
      <c r="H92" t="s">
        <v>205</v>
      </c>
      <c r="I92" s="13">
        <f ca="1">(TODAY()-Staff[[#This Row],[Date Joined]])/365</f>
        <v>3.2849315068493152</v>
      </c>
      <c r="J92" s="31">
        <f ca="1">ROUNDUP(IF(Staff[[#This Row],[Tenure]]&gt;2,3%,2%)*Staff[[#This Row],[Salary]],0)</f>
        <v>1607</v>
      </c>
      <c r="K92" s="33">
        <f>_xlfn.XLOOKUP(Staff[[#This Row],[Rating]],Sheet3!$B$3:$B$7,Sheet3!$C$3:$C$7)</f>
        <v>3</v>
      </c>
    </row>
    <row r="93" spans="1:11" x14ac:dyDescent="0.25">
      <c r="A93" t="s">
        <v>156</v>
      </c>
      <c r="B93" t="s">
        <v>15</v>
      </c>
      <c r="C93" t="s">
        <v>12</v>
      </c>
      <c r="D93">
        <v>20</v>
      </c>
      <c r="E93" s="7">
        <v>44122</v>
      </c>
      <c r="F93" s="31">
        <v>112650</v>
      </c>
      <c r="G93" t="s">
        <v>16</v>
      </c>
      <c r="H93" t="s">
        <v>206</v>
      </c>
      <c r="I93" s="13">
        <f ca="1">(TODAY()-Staff[[#This Row],[Date Joined]])/365</f>
        <v>4.0767123287671234</v>
      </c>
      <c r="J93" s="31">
        <f ca="1">ROUNDUP(IF(Staff[[#This Row],[Tenure]]&gt;2,3%,2%)*Staff[[#This Row],[Salary]],0)</f>
        <v>3380</v>
      </c>
      <c r="K93" s="33">
        <f>_xlfn.XLOOKUP(Staff[[#This Row],[Rating]],Sheet3!$B$3:$B$7,Sheet3!$C$3:$C$7)</f>
        <v>3</v>
      </c>
    </row>
    <row r="94" spans="1:11" x14ac:dyDescent="0.25">
      <c r="A94" t="s">
        <v>176</v>
      </c>
      <c r="B94" t="s">
        <v>8</v>
      </c>
      <c r="C94" t="s">
        <v>12</v>
      </c>
      <c r="D94">
        <v>32</v>
      </c>
      <c r="E94" s="7">
        <v>44293</v>
      </c>
      <c r="F94" s="31">
        <v>43840</v>
      </c>
      <c r="G94" t="s">
        <v>13</v>
      </c>
      <c r="H94" t="s">
        <v>206</v>
      </c>
      <c r="I94" s="13">
        <f ca="1">(TODAY()-Staff[[#This Row],[Date Joined]])/365</f>
        <v>3.6082191780821917</v>
      </c>
      <c r="J94" s="31">
        <f ca="1">ROUNDUP(IF(Staff[[#This Row],[Tenure]]&gt;2,3%,2%)*Staff[[#This Row],[Salary]],0)</f>
        <v>1316</v>
      </c>
      <c r="K94" s="33">
        <f>_xlfn.XLOOKUP(Staff[[#This Row],[Rating]],Sheet3!$B$3:$B$7,Sheet3!$C$3:$C$7)</f>
        <v>4</v>
      </c>
    </row>
    <row r="95" spans="1:11" x14ac:dyDescent="0.25">
      <c r="A95" t="s">
        <v>143</v>
      </c>
      <c r="B95" t="s">
        <v>15</v>
      </c>
      <c r="C95" t="s">
        <v>9</v>
      </c>
      <c r="D95">
        <v>31</v>
      </c>
      <c r="E95" s="7">
        <v>44663</v>
      </c>
      <c r="F95" s="31">
        <v>103550</v>
      </c>
      <c r="G95" t="s">
        <v>16</v>
      </c>
      <c r="H95" t="s">
        <v>206</v>
      </c>
      <c r="I95" s="13">
        <f ca="1">(TODAY()-Staff[[#This Row],[Date Joined]])/365</f>
        <v>2.5945205479452054</v>
      </c>
      <c r="J95" s="31">
        <f ca="1">ROUNDUP(IF(Staff[[#This Row],[Tenure]]&gt;2,3%,2%)*Staff[[#This Row],[Salary]],0)</f>
        <v>3107</v>
      </c>
      <c r="K95" s="33">
        <f>_xlfn.XLOOKUP(Staff[[#This Row],[Rating]],Sheet3!$B$3:$B$7,Sheet3!$C$3:$C$7)</f>
        <v>3</v>
      </c>
    </row>
    <row r="96" spans="1:11" x14ac:dyDescent="0.25">
      <c r="A96" t="s">
        <v>201</v>
      </c>
      <c r="B96" t="s">
        <v>8</v>
      </c>
      <c r="C96" t="s">
        <v>56</v>
      </c>
      <c r="D96">
        <v>32</v>
      </c>
      <c r="E96" s="7">
        <v>44339</v>
      </c>
      <c r="F96" s="31">
        <v>45510</v>
      </c>
      <c r="G96" t="s">
        <v>16</v>
      </c>
      <c r="H96" t="s">
        <v>206</v>
      </c>
      <c r="I96" s="13">
        <f ca="1">(TODAY()-Staff[[#This Row],[Date Joined]])/365</f>
        <v>3.4821917808219176</v>
      </c>
      <c r="J96" s="31">
        <f ca="1">ROUNDUP(IF(Staff[[#This Row],[Tenure]]&gt;2,3%,2%)*Staff[[#This Row],[Salary]],0)</f>
        <v>1366</v>
      </c>
      <c r="K96" s="33">
        <f>_xlfn.XLOOKUP(Staff[[#This Row],[Rating]],Sheet3!$B$3:$B$7,Sheet3!$C$3:$C$7)</f>
        <v>3</v>
      </c>
    </row>
    <row r="97" spans="1:11" x14ac:dyDescent="0.25">
      <c r="A97" t="s">
        <v>142</v>
      </c>
      <c r="B97" t="s">
        <v>207</v>
      </c>
      <c r="C97" t="s">
        <v>21</v>
      </c>
      <c r="D97">
        <v>37</v>
      </c>
      <c r="E97" s="7">
        <v>44085</v>
      </c>
      <c r="F97" s="31">
        <v>115440</v>
      </c>
      <c r="G97" t="s">
        <v>24</v>
      </c>
      <c r="H97" t="s">
        <v>206</v>
      </c>
      <c r="I97" s="13">
        <f ca="1">(TODAY()-Staff[[#This Row],[Date Joined]])/365</f>
        <v>4.1780821917808222</v>
      </c>
      <c r="J97" s="31">
        <f ca="1">ROUNDUP(IF(Staff[[#This Row],[Tenure]]&gt;2,3%,2%)*Staff[[#This Row],[Salary]],0)</f>
        <v>3464</v>
      </c>
      <c r="K97" s="33">
        <f>_xlfn.XLOOKUP(Staff[[#This Row],[Rating]],Sheet3!$B$3:$B$7,Sheet3!$C$3:$C$7)</f>
        <v>2</v>
      </c>
    </row>
    <row r="98" spans="1:11" x14ac:dyDescent="0.25">
      <c r="A98" t="s">
        <v>202</v>
      </c>
      <c r="B98" t="s">
        <v>8</v>
      </c>
      <c r="C98" t="s">
        <v>19</v>
      </c>
      <c r="D98">
        <v>38</v>
      </c>
      <c r="E98" s="7">
        <v>44268</v>
      </c>
      <c r="F98" s="31">
        <v>56870</v>
      </c>
      <c r="G98" t="s">
        <v>13</v>
      </c>
      <c r="H98" t="s">
        <v>206</v>
      </c>
      <c r="I98" s="13">
        <f ca="1">(TODAY()-Staff[[#This Row],[Date Joined]])/365</f>
        <v>3.6767123287671235</v>
      </c>
      <c r="J98" s="31">
        <f ca="1">ROUNDUP(IF(Staff[[#This Row],[Tenure]]&gt;2,3%,2%)*Staff[[#This Row],[Salary]],0)</f>
        <v>1707</v>
      </c>
      <c r="K98" s="33">
        <f>_xlfn.XLOOKUP(Staff[[#This Row],[Rating]],Sheet3!$B$3:$B$7,Sheet3!$C$3:$C$7)</f>
        <v>4</v>
      </c>
    </row>
    <row r="99" spans="1:11" x14ac:dyDescent="0.25">
      <c r="A99" t="s">
        <v>169</v>
      </c>
      <c r="B99" t="s">
        <v>8</v>
      </c>
      <c r="C99" t="s">
        <v>19</v>
      </c>
      <c r="D99">
        <v>25</v>
      </c>
      <c r="E99" s="7">
        <v>44144</v>
      </c>
      <c r="F99" s="31">
        <v>92700</v>
      </c>
      <c r="G99" t="s">
        <v>16</v>
      </c>
      <c r="H99" t="s">
        <v>206</v>
      </c>
      <c r="I99" s="13">
        <f ca="1">(TODAY()-Staff[[#This Row],[Date Joined]])/365</f>
        <v>4.0164383561643833</v>
      </c>
      <c r="J99" s="31">
        <f ca="1">ROUNDUP(IF(Staff[[#This Row],[Tenure]]&gt;2,3%,2%)*Staff[[#This Row],[Salary]],0)</f>
        <v>2781</v>
      </c>
      <c r="K99" s="33">
        <f>_xlfn.XLOOKUP(Staff[[#This Row],[Rating]],Sheet3!$B$3:$B$7,Sheet3!$C$3:$C$7)</f>
        <v>3</v>
      </c>
    </row>
    <row r="100" spans="1:11" x14ac:dyDescent="0.25">
      <c r="A100" t="s">
        <v>145</v>
      </c>
      <c r="B100" t="s">
        <v>207</v>
      </c>
      <c r="C100" t="s">
        <v>12</v>
      </c>
      <c r="D100">
        <v>32</v>
      </c>
      <c r="E100" s="7">
        <v>44713</v>
      </c>
      <c r="F100" s="31">
        <v>91310</v>
      </c>
      <c r="G100" t="s">
        <v>16</v>
      </c>
      <c r="H100" t="s">
        <v>206</v>
      </c>
      <c r="I100" s="13">
        <f ca="1">(TODAY()-Staff[[#This Row],[Date Joined]])/365</f>
        <v>2.4575342465753423</v>
      </c>
      <c r="J100" s="31">
        <f ca="1">ROUNDUP(IF(Staff[[#This Row],[Tenure]]&gt;2,3%,2%)*Staff[[#This Row],[Salary]],0)</f>
        <v>2740</v>
      </c>
      <c r="K100" s="33">
        <f>_xlfn.XLOOKUP(Staff[[#This Row],[Rating]],Sheet3!$B$3:$B$7,Sheet3!$C$3:$C$7)</f>
        <v>3</v>
      </c>
    </row>
    <row r="101" spans="1:11" x14ac:dyDescent="0.25">
      <c r="A101" t="s">
        <v>115</v>
      </c>
      <c r="B101" t="s">
        <v>15</v>
      </c>
      <c r="C101" t="s">
        <v>19</v>
      </c>
      <c r="D101">
        <v>33</v>
      </c>
      <c r="E101" s="7">
        <v>44324</v>
      </c>
      <c r="F101" s="31">
        <v>74550</v>
      </c>
      <c r="G101" t="s">
        <v>16</v>
      </c>
      <c r="H101" t="s">
        <v>206</v>
      </c>
      <c r="I101" s="13">
        <f ca="1">(TODAY()-Staff[[#This Row],[Date Joined]])/365</f>
        <v>3.5232876712328767</v>
      </c>
      <c r="J101" s="31">
        <f ca="1">ROUNDUP(IF(Staff[[#This Row],[Tenure]]&gt;2,3%,2%)*Staff[[#This Row],[Salary]],0)</f>
        <v>2237</v>
      </c>
      <c r="K101" s="33">
        <f>_xlfn.XLOOKUP(Staff[[#This Row],[Rating]],Sheet3!$B$3:$B$7,Sheet3!$C$3:$C$7)</f>
        <v>3</v>
      </c>
    </row>
    <row r="102" spans="1:11" x14ac:dyDescent="0.25">
      <c r="A102" t="s">
        <v>128</v>
      </c>
      <c r="B102" t="s">
        <v>15</v>
      </c>
      <c r="C102" t="s">
        <v>9</v>
      </c>
      <c r="D102">
        <v>25</v>
      </c>
      <c r="E102" s="7">
        <v>44665</v>
      </c>
      <c r="F102" s="31">
        <v>109190</v>
      </c>
      <c r="G102" t="s">
        <v>13</v>
      </c>
      <c r="H102" t="s">
        <v>206</v>
      </c>
      <c r="I102" s="13">
        <f ca="1">(TODAY()-Staff[[#This Row],[Date Joined]])/365</f>
        <v>2.5890410958904111</v>
      </c>
      <c r="J102" s="31">
        <f ca="1">ROUNDUP(IF(Staff[[#This Row],[Tenure]]&gt;2,3%,2%)*Staff[[#This Row],[Salary]],0)</f>
        <v>3276</v>
      </c>
      <c r="K102" s="33">
        <f>_xlfn.XLOOKUP(Staff[[#This Row],[Rating]],Sheet3!$B$3:$B$7,Sheet3!$C$3:$C$7)</f>
        <v>4</v>
      </c>
    </row>
    <row r="103" spans="1:11" x14ac:dyDescent="0.25">
      <c r="A103" t="s">
        <v>194</v>
      </c>
      <c r="B103" t="s">
        <v>8</v>
      </c>
      <c r="C103" t="s">
        <v>12</v>
      </c>
      <c r="D103">
        <v>40</v>
      </c>
      <c r="E103" s="7">
        <v>44320</v>
      </c>
      <c r="F103" s="31">
        <v>104410</v>
      </c>
      <c r="G103" t="s">
        <v>16</v>
      </c>
      <c r="H103" t="s">
        <v>206</v>
      </c>
      <c r="I103" s="13">
        <f ca="1">(TODAY()-Staff[[#This Row],[Date Joined]])/365</f>
        <v>3.5342465753424657</v>
      </c>
      <c r="J103" s="31">
        <f ca="1">ROUNDUP(IF(Staff[[#This Row],[Tenure]]&gt;2,3%,2%)*Staff[[#This Row],[Salary]],0)</f>
        <v>3133</v>
      </c>
      <c r="K103" s="33">
        <f>_xlfn.XLOOKUP(Staff[[#This Row],[Rating]],Sheet3!$B$3:$B$7,Sheet3!$C$3:$C$7)</f>
        <v>3</v>
      </c>
    </row>
    <row r="104" spans="1:11" x14ac:dyDescent="0.25">
      <c r="A104" t="s">
        <v>177</v>
      </c>
      <c r="B104" t="s">
        <v>15</v>
      </c>
      <c r="C104" t="s">
        <v>21</v>
      </c>
      <c r="D104">
        <v>30</v>
      </c>
      <c r="E104" s="7">
        <v>44544</v>
      </c>
      <c r="F104" s="31">
        <v>96800</v>
      </c>
      <c r="G104" t="s">
        <v>16</v>
      </c>
      <c r="H104" t="s">
        <v>206</v>
      </c>
      <c r="I104" s="13">
        <f ca="1">(TODAY()-Staff[[#This Row],[Date Joined]])/365</f>
        <v>2.9205479452054797</v>
      </c>
      <c r="J104" s="31">
        <f ca="1">ROUNDUP(IF(Staff[[#This Row],[Tenure]]&gt;2,3%,2%)*Staff[[#This Row],[Salary]],0)</f>
        <v>2904</v>
      </c>
      <c r="K104" s="33">
        <f>_xlfn.XLOOKUP(Staff[[#This Row],[Rating]],Sheet3!$B$3:$B$7,Sheet3!$C$3:$C$7)</f>
        <v>3</v>
      </c>
    </row>
    <row r="105" spans="1:11" x14ac:dyDescent="0.25">
      <c r="A105" t="s">
        <v>123</v>
      </c>
      <c r="B105" t="s">
        <v>15</v>
      </c>
      <c r="C105" t="s">
        <v>21</v>
      </c>
      <c r="D105">
        <v>28</v>
      </c>
      <c r="E105" s="7">
        <v>43980</v>
      </c>
      <c r="F105" s="31">
        <v>48170</v>
      </c>
      <c r="G105" t="s">
        <v>13</v>
      </c>
      <c r="H105" t="s">
        <v>206</v>
      </c>
      <c r="I105" s="13">
        <f ca="1">(TODAY()-Staff[[#This Row],[Date Joined]])/365</f>
        <v>4.4657534246575343</v>
      </c>
      <c r="J105" s="31">
        <f ca="1">ROUNDUP(IF(Staff[[#This Row],[Tenure]]&gt;2,3%,2%)*Staff[[#This Row],[Salary]],0)</f>
        <v>1446</v>
      </c>
      <c r="K105" s="33">
        <f>_xlfn.XLOOKUP(Staff[[#This Row],[Rating]],Sheet3!$B$3:$B$7,Sheet3!$C$3:$C$7)</f>
        <v>4</v>
      </c>
    </row>
    <row r="106" spans="1:11" x14ac:dyDescent="0.25">
      <c r="A106" t="s">
        <v>140</v>
      </c>
      <c r="B106" t="s">
        <v>15</v>
      </c>
      <c r="C106" t="s">
        <v>9</v>
      </c>
      <c r="D106">
        <v>21</v>
      </c>
      <c r="E106" s="7">
        <v>44042</v>
      </c>
      <c r="F106" s="31">
        <v>37920</v>
      </c>
      <c r="G106" t="s">
        <v>16</v>
      </c>
      <c r="H106" t="s">
        <v>206</v>
      </c>
      <c r="I106" s="13">
        <f ca="1">(TODAY()-Staff[[#This Row],[Date Joined]])/365</f>
        <v>4.2958904109589042</v>
      </c>
      <c r="J106" s="31">
        <f ca="1">ROUNDUP(IF(Staff[[#This Row],[Tenure]]&gt;2,3%,2%)*Staff[[#This Row],[Salary]],0)</f>
        <v>1138</v>
      </c>
      <c r="K106" s="33">
        <f>_xlfn.XLOOKUP(Staff[[#This Row],[Rating]],Sheet3!$B$3:$B$7,Sheet3!$C$3:$C$7)</f>
        <v>3</v>
      </c>
    </row>
    <row r="107" spans="1:11" x14ac:dyDescent="0.25">
      <c r="A107" t="s">
        <v>178</v>
      </c>
      <c r="B107" t="s">
        <v>15</v>
      </c>
      <c r="C107" t="s">
        <v>9</v>
      </c>
      <c r="D107">
        <v>34</v>
      </c>
      <c r="E107" s="7">
        <v>44642</v>
      </c>
      <c r="F107" s="31">
        <v>112650</v>
      </c>
      <c r="G107" t="s">
        <v>16</v>
      </c>
      <c r="H107" t="s">
        <v>206</v>
      </c>
      <c r="I107" s="13">
        <f ca="1">(TODAY()-Staff[[#This Row],[Date Joined]])/365</f>
        <v>2.6520547945205482</v>
      </c>
      <c r="J107" s="31">
        <f ca="1">ROUNDUP(IF(Staff[[#This Row],[Tenure]]&gt;2,3%,2%)*Staff[[#This Row],[Salary]],0)</f>
        <v>3380</v>
      </c>
      <c r="K107" s="33">
        <f>_xlfn.XLOOKUP(Staff[[#This Row],[Rating]],Sheet3!$B$3:$B$7,Sheet3!$C$3:$C$7)</f>
        <v>3</v>
      </c>
    </row>
    <row r="108" spans="1:11" x14ac:dyDescent="0.25">
      <c r="A108" t="s">
        <v>165</v>
      </c>
      <c r="B108" t="s">
        <v>8</v>
      </c>
      <c r="C108" t="s">
        <v>19</v>
      </c>
      <c r="D108">
        <v>34</v>
      </c>
      <c r="E108" s="7">
        <v>44660</v>
      </c>
      <c r="F108" s="31">
        <v>49630</v>
      </c>
      <c r="G108" t="s">
        <v>24</v>
      </c>
      <c r="H108" t="s">
        <v>206</v>
      </c>
      <c r="I108" s="13">
        <f ca="1">(TODAY()-Staff[[#This Row],[Date Joined]])/365</f>
        <v>2.6027397260273974</v>
      </c>
      <c r="J108" s="31">
        <f ca="1">ROUNDUP(IF(Staff[[#This Row],[Tenure]]&gt;2,3%,2%)*Staff[[#This Row],[Salary]],0)</f>
        <v>1489</v>
      </c>
      <c r="K108" s="33">
        <f>_xlfn.XLOOKUP(Staff[[#This Row],[Rating]],Sheet3!$B$3:$B$7,Sheet3!$C$3:$C$7)</f>
        <v>2</v>
      </c>
    </row>
    <row r="109" spans="1:11" x14ac:dyDescent="0.25">
      <c r="A109" t="s">
        <v>199</v>
      </c>
      <c r="B109" t="s">
        <v>15</v>
      </c>
      <c r="C109" t="s">
        <v>12</v>
      </c>
      <c r="D109">
        <v>36</v>
      </c>
      <c r="E109" s="7">
        <v>43958</v>
      </c>
      <c r="F109" s="31">
        <v>118840</v>
      </c>
      <c r="G109" t="s">
        <v>16</v>
      </c>
      <c r="H109" t="s">
        <v>206</v>
      </c>
      <c r="I109" s="13">
        <f ca="1">(TODAY()-Staff[[#This Row],[Date Joined]])/365</f>
        <v>4.5260273972602736</v>
      </c>
      <c r="J109" s="31">
        <f ca="1">ROUNDUP(IF(Staff[[#This Row],[Tenure]]&gt;2,3%,2%)*Staff[[#This Row],[Salary]],0)</f>
        <v>3566</v>
      </c>
      <c r="K109" s="33">
        <f>_xlfn.XLOOKUP(Staff[[#This Row],[Rating]],Sheet3!$B$3:$B$7,Sheet3!$C$3:$C$7)</f>
        <v>3</v>
      </c>
    </row>
    <row r="110" spans="1:11" x14ac:dyDescent="0.25">
      <c r="A110" t="s">
        <v>159</v>
      </c>
      <c r="B110" t="s">
        <v>15</v>
      </c>
      <c r="C110" t="s">
        <v>12</v>
      </c>
      <c r="D110">
        <v>30</v>
      </c>
      <c r="E110" s="7">
        <v>44789</v>
      </c>
      <c r="F110" s="31">
        <v>69710</v>
      </c>
      <c r="G110" t="s">
        <v>16</v>
      </c>
      <c r="H110" t="s">
        <v>206</v>
      </c>
      <c r="I110" s="13">
        <f ca="1">(TODAY()-Staff[[#This Row],[Date Joined]])/365</f>
        <v>2.2493150684931509</v>
      </c>
      <c r="J110" s="31">
        <f ca="1">ROUNDUP(IF(Staff[[#This Row],[Tenure]]&gt;2,3%,2%)*Staff[[#This Row],[Salary]],0)</f>
        <v>2092</v>
      </c>
      <c r="K110" s="33">
        <f>_xlfn.XLOOKUP(Staff[[#This Row],[Rating]],Sheet3!$B$3:$B$7,Sheet3!$C$3:$C$7)</f>
        <v>3</v>
      </c>
    </row>
    <row r="111" spans="1:11" x14ac:dyDescent="0.25">
      <c r="A111" t="s">
        <v>197</v>
      </c>
      <c r="B111" t="s">
        <v>15</v>
      </c>
      <c r="C111" t="s">
        <v>9</v>
      </c>
      <c r="D111">
        <v>20</v>
      </c>
      <c r="E111" s="7">
        <v>44683</v>
      </c>
      <c r="F111" s="31">
        <v>79570</v>
      </c>
      <c r="G111" t="s">
        <v>16</v>
      </c>
      <c r="H111" t="s">
        <v>206</v>
      </c>
      <c r="I111" s="13">
        <f ca="1">(TODAY()-Staff[[#This Row],[Date Joined]])/365</f>
        <v>2.5397260273972604</v>
      </c>
      <c r="J111" s="31">
        <f ca="1">ROUNDUP(IF(Staff[[#This Row],[Tenure]]&gt;2,3%,2%)*Staff[[#This Row],[Salary]],0)</f>
        <v>2388</v>
      </c>
      <c r="K111" s="33">
        <f>_xlfn.XLOOKUP(Staff[[#This Row],[Rating]],Sheet3!$B$3:$B$7,Sheet3!$C$3:$C$7)</f>
        <v>3</v>
      </c>
    </row>
    <row r="112" spans="1:11" x14ac:dyDescent="0.25">
      <c r="A112" t="s">
        <v>154</v>
      </c>
      <c r="B112" t="s">
        <v>8</v>
      </c>
      <c r="C112" t="s">
        <v>9</v>
      </c>
      <c r="D112">
        <v>22</v>
      </c>
      <c r="E112" s="7">
        <v>44388</v>
      </c>
      <c r="F112" s="31">
        <v>76900</v>
      </c>
      <c r="G112" t="s">
        <v>13</v>
      </c>
      <c r="H112" t="s">
        <v>206</v>
      </c>
      <c r="I112" s="13">
        <f ca="1">(TODAY()-Staff[[#This Row],[Date Joined]])/365</f>
        <v>3.3479452054794518</v>
      </c>
      <c r="J112" s="31">
        <f ca="1">ROUNDUP(IF(Staff[[#This Row],[Tenure]]&gt;2,3%,2%)*Staff[[#This Row],[Salary]],0)</f>
        <v>2307</v>
      </c>
      <c r="K112" s="33">
        <f>_xlfn.XLOOKUP(Staff[[#This Row],[Rating]],Sheet3!$B$3:$B$7,Sheet3!$C$3:$C$7)</f>
        <v>4</v>
      </c>
    </row>
    <row r="113" spans="1:11" x14ac:dyDescent="0.25">
      <c r="A113" t="s">
        <v>182</v>
      </c>
      <c r="B113" t="s">
        <v>15</v>
      </c>
      <c r="C113" t="s">
        <v>19</v>
      </c>
      <c r="D113">
        <v>27</v>
      </c>
      <c r="E113" s="7">
        <v>44073</v>
      </c>
      <c r="F113" s="31">
        <v>54970</v>
      </c>
      <c r="G113" t="s">
        <v>16</v>
      </c>
      <c r="H113" t="s">
        <v>206</v>
      </c>
      <c r="I113" s="13">
        <f ca="1">(TODAY()-Staff[[#This Row],[Date Joined]])/365</f>
        <v>4.2109589041095887</v>
      </c>
      <c r="J113" s="31">
        <f ca="1">ROUNDUP(IF(Staff[[#This Row],[Tenure]]&gt;2,3%,2%)*Staff[[#This Row],[Salary]],0)</f>
        <v>1650</v>
      </c>
      <c r="K113" s="33">
        <f>_xlfn.XLOOKUP(Staff[[#This Row],[Rating]],Sheet3!$B$3:$B$7,Sheet3!$C$3:$C$7)</f>
        <v>3</v>
      </c>
    </row>
    <row r="114" spans="1:11" x14ac:dyDescent="0.25">
      <c r="A114" t="s">
        <v>118</v>
      </c>
      <c r="B114" t="s">
        <v>15</v>
      </c>
      <c r="C114" t="s">
        <v>12</v>
      </c>
      <c r="D114">
        <v>37</v>
      </c>
      <c r="E114" s="7">
        <v>44277</v>
      </c>
      <c r="F114" s="31">
        <v>88050</v>
      </c>
      <c r="G114" t="s">
        <v>24</v>
      </c>
      <c r="H114" t="s">
        <v>206</v>
      </c>
      <c r="I114" s="13">
        <f ca="1">(TODAY()-Staff[[#This Row],[Date Joined]])/365</f>
        <v>3.6520547945205482</v>
      </c>
      <c r="J114" s="31">
        <f ca="1">ROUNDUP(IF(Staff[[#This Row],[Tenure]]&gt;2,3%,2%)*Staff[[#This Row],[Salary]],0)</f>
        <v>2642</v>
      </c>
      <c r="K114" s="33">
        <f>_xlfn.XLOOKUP(Staff[[#This Row],[Rating]],Sheet3!$B$3:$B$7,Sheet3!$C$3:$C$7)</f>
        <v>2</v>
      </c>
    </row>
    <row r="115" spans="1:11" x14ac:dyDescent="0.25">
      <c r="A115" t="s">
        <v>192</v>
      </c>
      <c r="B115" t="s">
        <v>15</v>
      </c>
      <c r="C115" t="s">
        <v>19</v>
      </c>
      <c r="D115">
        <v>43</v>
      </c>
      <c r="E115" s="7">
        <v>44558</v>
      </c>
      <c r="F115" s="31">
        <v>36040</v>
      </c>
      <c r="G115" t="s">
        <v>16</v>
      </c>
      <c r="H115" t="s">
        <v>206</v>
      </c>
      <c r="I115" s="13">
        <f ca="1">(TODAY()-Staff[[#This Row],[Date Joined]])/365</f>
        <v>2.882191780821918</v>
      </c>
      <c r="J115" s="31">
        <f ca="1">ROUNDUP(IF(Staff[[#This Row],[Tenure]]&gt;2,3%,2%)*Staff[[#This Row],[Salary]],0)</f>
        <v>1082</v>
      </c>
      <c r="K115" s="33">
        <f>_xlfn.XLOOKUP(Staff[[#This Row],[Rating]],Sheet3!$B$3:$B$7,Sheet3!$C$3:$C$7)</f>
        <v>3</v>
      </c>
    </row>
    <row r="116" spans="1:11" x14ac:dyDescent="0.25">
      <c r="A116" t="s">
        <v>111</v>
      </c>
      <c r="B116" t="s">
        <v>8</v>
      </c>
      <c r="C116" t="s">
        <v>9</v>
      </c>
      <c r="D116">
        <v>42</v>
      </c>
      <c r="E116" s="7">
        <v>44718</v>
      </c>
      <c r="F116" s="31">
        <v>75000</v>
      </c>
      <c r="G116" t="s">
        <v>10</v>
      </c>
      <c r="H116" t="s">
        <v>206</v>
      </c>
      <c r="I116" s="13">
        <f ca="1">(TODAY()-Staff[[#This Row],[Date Joined]])/365</f>
        <v>2.4438356164383563</v>
      </c>
      <c r="J116" s="31">
        <f ca="1">ROUNDUP(IF(Staff[[#This Row],[Tenure]]&gt;2,3%,2%)*Staff[[#This Row],[Salary]],0)</f>
        <v>2250</v>
      </c>
      <c r="K116" s="33">
        <f>_xlfn.XLOOKUP(Staff[[#This Row],[Rating]],Sheet3!$B$3:$B$7,Sheet3!$C$3:$C$7)</f>
        <v>5</v>
      </c>
    </row>
    <row r="117" spans="1:11" x14ac:dyDescent="0.25">
      <c r="A117" t="s">
        <v>149</v>
      </c>
      <c r="B117" t="s">
        <v>15</v>
      </c>
      <c r="C117" t="s">
        <v>9</v>
      </c>
      <c r="D117">
        <v>35</v>
      </c>
      <c r="E117" s="7">
        <v>44666</v>
      </c>
      <c r="F117" s="31">
        <v>40400</v>
      </c>
      <c r="G117" t="s">
        <v>16</v>
      </c>
      <c r="H117" t="s">
        <v>206</v>
      </c>
      <c r="I117" s="13">
        <f ca="1">(TODAY()-Staff[[#This Row],[Date Joined]])/365</f>
        <v>2.5863013698630137</v>
      </c>
      <c r="J117" s="31">
        <f ca="1">ROUNDUP(IF(Staff[[#This Row],[Tenure]]&gt;2,3%,2%)*Staff[[#This Row],[Salary]],0)</f>
        <v>1212</v>
      </c>
      <c r="K117" s="33">
        <f>_xlfn.XLOOKUP(Staff[[#This Row],[Rating]],Sheet3!$B$3:$B$7,Sheet3!$C$3:$C$7)</f>
        <v>3</v>
      </c>
    </row>
    <row r="118" spans="1:11" x14ac:dyDescent="0.25">
      <c r="A118" t="s">
        <v>196</v>
      </c>
      <c r="B118" t="s">
        <v>15</v>
      </c>
      <c r="C118" t="s">
        <v>12</v>
      </c>
      <c r="D118">
        <v>24</v>
      </c>
      <c r="E118" s="7">
        <v>44625</v>
      </c>
      <c r="F118" s="31">
        <v>100420</v>
      </c>
      <c r="G118" t="s">
        <v>16</v>
      </c>
      <c r="H118" t="s">
        <v>206</v>
      </c>
      <c r="I118" s="13">
        <f ca="1">(TODAY()-Staff[[#This Row],[Date Joined]])/365</f>
        <v>2.6986301369863015</v>
      </c>
      <c r="J118" s="31">
        <f ca="1">ROUNDUP(IF(Staff[[#This Row],[Tenure]]&gt;2,3%,2%)*Staff[[#This Row],[Salary]],0)</f>
        <v>3013</v>
      </c>
      <c r="K118" s="33">
        <f>_xlfn.XLOOKUP(Staff[[#This Row],[Rating]],Sheet3!$B$3:$B$7,Sheet3!$C$3:$C$7)</f>
        <v>3</v>
      </c>
    </row>
    <row r="119" spans="1:11" x14ac:dyDescent="0.25">
      <c r="A119" t="s">
        <v>120</v>
      </c>
      <c r="B119" t="s">
        <v>8</v>
      </c>
      <c r="C119" t="s">
        <v>12</v>
      </c>
      <c r="D119">
        <v>31</v>
      </c>
      <c r="E119" s="7">
        <v>44604</v>
      </c>
      <c r="F119" s="31">
        <v>58100</v>
      </c>
      <c r="G119" t="s">
        <v>16</v>
      </c>
      <c r="H119" t="s">
        <v>206</v>
      </c>
      <c r="I119" s="13">
        <f ca="1">(TODAY()-Staff[[#This Row],[Date Joined]])/365</f>
        <v>2.7561643835616438</v>
      </c>
      <c r="J119" s="31">
        <f ca="1">ROUNDUP(IF(Staff[[#This Row],[Tenure]]&gt;2,3%,2%)*Staff[[#This Row],[Salary]],0)</f>
        <v>1743</v>
      </c>
      <c r="K119" s="33">
        <f>_xlfn.XLOOKUP(Staff[[#This Row],[Rating]],Sheet3!$B$3:$B$7,Sheet3!$C$3:$C$7)</f>
        <v>3</v>
      </c>
    </row>
    <row r="120" spans="1:11" x14ac:dyDescent="0.25">
      <c r="A120" t="s">
        <v>114</v>
      </c>
      <c r="B120" t="s">
        <v>8</v>
      </c>
      <c r="C120" t="s">
        <v>12</v>
      </c>
      <c r="D120">
        <v>44</v>
      </c>
      <c r="E120" s="7">
        <v>44985</v>
      </c>
      <c r="F120" s="31">
        <v>114870</v>
      </c>
      <c r="G120" t="s">
        <v>16</v>
      </c>
      <c r="H120" t="s">
        <v>206</v>
      </c>
      <c r="I120" s="13">
        <f ca="1">(TODAY()-Staff[[#This Row],[Date Joined]])/365</f>
        <v>1.7123287671232876</v>
      </c>
      <c r="J120" s="31">
        <f ca="1">ROUNDUP(IF(Staff[[#This Row],[Tenure]]&gt;2,3%,2%)*Staff[[#This Row],[Salary]],0)</f>
        <v>2298</v>
      </c>
      <c r="K120" s="33">
        <f>_xlfn.XLOOKUP(Staff[[#This Row],[Rating]],Sheet3!$B$3:$B$7,Sheet3!$C$3:$C$7)</f>
        <v>3</v>
      </c>
    </row>
    <row r="121" spans="1:11" x14ac:dyDescent="0.25">
      <c r="A121" t="s">
        <v>158</v>
      </c>
      <c r="B121" t="s">
        <v>8</v>
      </c>
      <c r="C121" t="s">
        <v>9</v>
      </c>
      <c r="D121">
        <v>32</v>
      </c>
      <c r="E121" s="7">
        <v>44549</v>
      </c>
      <c r="F121" s="31">
        <v>41570</v>
      </c>
      <c r="G121" t="s">
        <v>16</v>
      </c>
      <c r="H121" t="s">
        <v>206</v>
      </c>
      <c r="I121" s="13">
        <f ca="1">(TODAY()-Staff[[#This Row],[Date Joined]])/365</f>
        <v>2.9068493150684933</v>
      </c>
      <c r="J121" s="31">
        <f ca="1">ROUNDUP(IF(Staff[[#This Row],[Tenure]]&gt;2,3%,2%)*Staff[[#This Row],[Salary]],0)</f>
        <v>1248</v>
      </c>
      <c r="K121" s="33">
        <f>_xlfn.XLOOKUP(Staff[[#This Row],[Rating]],Sheet3!$B$3:$B$7,Sheet3!$C$3:$C$7)</f>
        <v>3</v>
      </c>
    </row>
    <row r="122" spans="1:11" x14ac:dyDescent="0.25">
      <c r="A122" t="s">
        <v>173</v>
      </c>
      <c r="B122" t="s">
        <v>8</v>
      </c>
      <c r="C122" t="s">
        <v>9</v>
      </c>
      <c r="D122">
        <v>30</v>
      </c>
      <c r="E122" s="7">
        <v>44800</v>
      </c>
      <c r="F122" s="31">
        <v>112570</v>
      </c>
      <c r="G122" t="s">
        <v>16</v>
      </c>
      <c r="H122" t="s">
        <v>206</v>
      </c>
      <c r="I122" s="13">
        <f ca="1">(TODAY()-Staff[[#This Row],[Date Joined]])/365</f>
        <v>2.2191780821917808</v>
      </c>
      <c r="J122" s="31">
        <f ca="1">ROUNDUP(IF(Staff[[#This Row],[Tenure]]&gt;2,3%,2%)*Staff[[#This Row],[Salary]],0)</f>
        <v>3378</v>
      </c>
      <c r="K122" s="33">
        <f>_xlfn.XLOOKUP(Staff[[#This Row],[Rating]],Sheet3!$B$3:$B$7,Sheet3!$C$3:$C$7)</f>
        <v>3</v>
      </c>
    </row>
    <row r="123" spans="1:11" x14ac:dyDescent="0.25">
      <c r="A123" t="s">
        <v>151</v>
      </c>
      <c r="B123" t="s">
        <v>15</v>
      </c>
      <c r="C123" t="s">
        <v>9</v>
      </c>
      <c r="D123">
        <v>26</v>
      </c>
      <c r="E123" s="7">
        <v>44164</v>
      </c>
      <c r="F123" s="31">
        <v>47360</v>
      </c>
      <c r="G123" t="s">
        <v>16</v>
      </c>
      <c r="H123" t="s">
        <v>206</v>
      </c>
      <c r="I123" s="13">
        <f ca="1">(TODAY()-Staff[[#This Row],[Date Joined]])/365</f>
        <v>3.9616438356164383</v>
      </c>
      <c r="J123" s="31">
        <f ca="1">ROUNDUP(IF(Staff[[#This Row],[Tenure]]&gt;2,3%,2%)*Staff[[#This Row],[Salary]],0)</f>
        <v>1421</v>
      </c>
      <c r="K123" s="33">
        <f>_xlfn.XLOOKUP(Staff[[#This Row],[Rating]],Sheet3!$B$3:$B$7,Sheet3!$C$3:$C$7)</f>
        <v>3</v>
      </c>
    </row>
    <row r="124" spans="1:11" x14ac:dyDescent="0.25">
      <c r="A124" t="s">
        <v>126</v>
      </c>
      <c r="B124" t="s">
        <v>8</v>
      </c>
      <c r="C124" t="s">
        <v>21</v>
      </c>
      <c r="D124">
        <v>21</v>
      </c>
      <c r="E124" s="7">
        <v>44256</v>
      </c>
      <c r="F124" s="31">
        <v>65920</v>
      </c>
      <c r="G124" t="s">
        <v>16</v>
      </c>
      <c r="H124" t="s">
        <v>206</v>
      </c>
      <c r="I124" s="13">
        <f ca="1">(TODAY()-Staff[[#This Row],[Date Joined]])/365</f>
        <v>3.7095890410958905</v>
      </c>
      <c r="J124" s="31">
        <f ca="1">ROUNDUP(IF(Staff[[#This Row],[Tenure]]&gt;2,3%,2%)*Staff[[#This Row],[Salary]],0)</f>
        <v>1978</v>
      </c>
      <c r="K124" s="33">
        <f>_xlfn.XLOOKUP(Staff[[#This Row],[Rating]],Sheet3!$B$3:$B$7,Sheet3!$C$3:$C$7)</f>
        <v>3</v>
      </c>
    </row>
    <row r="125" spans="1:11" x14ac:dyDescent="0.25">
      <c r="A125" t="s">
        <v>200</v>
      </c>
      <c r="B125" t="s">
        <v>8</v>
      </c>
      <c r="C125" t="s">
        <v>9</v>
      </c>
      <c r="D125">
        <v>28</v>
      </c>
      <c r="E125" s="7">
        <v>44571</v>
      </c>
      <c r="F125" s="31">
        <v>99970</v>
      </c>
      <c r="G125" t="s">
        <v>16</v>
      </c>
      <c r="H125" t="s">
        <v>206</v>
      </c>
      <c r="I125" s="13">
        <f ca="1">(TODAY()-Staff[[#This Row],[Date Joined]])/365</f>
        <v>2.8465753424657536</v>
      </c>
      <c r="J125" s="31">
        <f ca="1">ROUNDUP(IF(Staff[[#This Row],[Tenure]]&gt;2,3%,2%)*Staff[[#This Row],[Salary]],0)</f>
        <v>3000</v>
      </c>
      <c r="K125" s="33">
        <f>_xlfn.XLOOKUP(Staff[[#This Row],[Rating]],Sheet3!$B$3:$B$7,Sheet3!$C$3:$C$7)</f>
        <v>3</v>
      </c>
    </row>
    <row r="126" spans="1:11" x14ac:dyDescent="0.25">
      <c r="A126" t="s">
        <v>133</v>
      </c>
      <c r="B126" t="s">
        <v>8</v>
      </c>
      <c r="C126" t="s">
        <v>12</v>
      </c>
      <c r="D126">
        <v>25</v>
      </c>
      <c r="E126" s="7">
        <v>44633</v>
      </c>
      <c r="F126" s="31">
        <v>80700</v>
      </c>
      <c r="G126" t="s">
        <v>13</v>
      </c>
      <c r="H126" t="s">
        <v>206</v>
      </c>
      <c r="I126" s="13">
        <f ca="1">(TODAY()-Staff[[#This Row],[Date Joined]])/365</f>
        <v>2.6767123287671235</v>
      </c>
      <c r="J126" s="31">
        <f ca="1">ROUNDUP(IF(Staff[[#This Row],[Tenure]]&gt;2,3%,2%)*Staff[[#This Row],[Salary]],0)</f>
        <v>2421</v>
      </c>
      <c r="K126" s="33">
        <f>_xlfn.XLOOKUP(Staff[[#This Row],[Rating]],Sheet3!$B$3:$B$7,Sheet3!$C$3:$C$7)</f>
        <v>4</v>
      </c>
    </row>
    <row r="127" spans="1:11" x14ac:dyDescent="0.25">
      <c r="A127" t="s">
        <v>155</v>
      </c>
      <c r="B127" t="s">
        <v>15</v>
      </c>
      <c r="C127" t="s">
        <v>21</v>
      </c>
      <c r="D127">
        <v>24</v>
      </c>
      <c r="E127" s="7">
        <v>44375</v>
      </c>
      <c r="F127" s="31">
        <v>52610</v>
      </c>
      <c r="G127" t="s">
        <v>24</v>
      </c>
      <c r="H127" t="s">
        <v>206</v>
      </c>
      <c r="I127" s="13">
        <f ca="1">(TODAY()-Staff[[#This Row],[Date Joined]])/365</f>
        <v>3.3835616438356166</v>
      </c>
      <c r="J127" s="31">
        <f ca="1">ROUNDUP(IF(Staff[[#This Row],[Tenure]]&gt;2,3%,2%)*Staff[[#This Row],[Salary]],0)</f>
        <v>1579</v>
      </c>
      <c r="K127" s="33">
        <f>_xlfn.XLOOKUP(Staff[[#This Row],[Rating]],Sheet3!$B$3:$B$7,Sheet3!$C$3:$C$7)</f>
        <v>2</v>
      </c>
    </row>
    <row r="128" spans="1:11" x14ac:dyDescent="0.25">
      <c r="A128" t="s">
        <v>180</v>
      </c>
      <c r="B128" t="s">
        <v>15</v>
      </c>
      <c r="C128" t="s">
        <v>12</v>
      </c>
      <c r="D128">
        <v>29</v>
      </c>
      <c r="E128" s="7">
        <v>44119</v>
      </c>
      <c r="F128" s="31">
        <v>112110</v>
      </c>
      <c r="G128" t="s">
        <v>24</v>
      </c>
      <c r="H128" t="s">
        <v>206</v>
      </c>
      <c r="I128" s="13">
        <f ca="1">(TODAY()-Staff[[#This Row],[Date Joined]])/365</f>
        <v>4.0849315068493155</v>
      </c>
      <c r="J128" s="31">
        <f ca="1">ROUNDUP(IF(Staff[[#This Row],[Tenure]]&gt;2,3%,2%)*Staff[[#This Row],[Salary]],0)</f>
        <v>3364</v>
      </c>
      <c r="K128" s="33">
        <f>_xlfn.XLOOKUP(Staff[[#This Row],[Rating]],Sheet3!$B$3:$B$7,Sheet3!$C$3:$C$7)</f>
        <v>2</v>
      </c>
    </row>
    <row r="129" spans="1:11" x14ac:dyDescent="0.25">
      <c r="A129" t="s">
        <v>152</v>
      </c>
      <c r="B129" t="s">
        <v>8</v>
      </c>
      <c r="C129" t="s">
        <v>56</v>
      </c>
      <c r="D129">
        <v>27</v>
      </c>
      <c r="E129" s="7">
        <v>44061</v>
      </c>
      <c r="F129" s="31">
        <v>119110</v>
      </c>
      <c r="G129" t="s">
        <v>16</v>
      </c>
      <c r="H129" t="s">
        <v>206</v>
      </c>
      <c r="I129" s="13">
        <f ca="1">(TODAY()-Staff[[#This Row],[Date Joined]])/365</f>
        <v>4.2438356164383562</v>
      </c>
      <c r="J129" s="31">
        <f ca="1">ROUNDUP(IF(Staff[[#This Row],[Tenure]]&gt;2,3%,2%)*Staff[[#This Row],[Salary]],0)</f>
        <v>3574</v>
      </c>
      <c r="K129" s="33">
        <f>_xlfn.XLOOKUP(Staff[[#This Row],[Rating]],Sheet3!$B$3:$B$7,Sheet3!$C$3:$C$7)</f>
        <v>3</v>
      </c>
    </row>
    <row r="130" spans="1:11" x14ac:dyDescent="0.25">
      <c r="A130" t="s">
        <v>150</v>
      </c>
      <c r="B130" t="s">
        <v>15</v>
      </c>
      <c r="C130" t="s">
        <v>19</v>
      </c>
      <c r="D130">
        <v>22</v>
      </c>
      <c r="E130" s="7">
        <v>44384</v>
      </c>
      <c r="F130" s="31">
        <v>112780</v>
      </c>
      <c r="G130" t="s">
        <v>13</v>
      </c>
      <c r="H130" t="s">
        <v>206</v>
      </c>
      <c r="I130" s="13">
        <f ca="1">(TODAY()-Staff[[#This Row],[Date Joined]])/365</f>
        <v>3.3589041095890413</v>
      </c>
      <c r="J130" s="31">
        <f ca="1">ROUNDUP(IF(Staff[[#This Row],[Tenure]]&gt;2,3%,2%)*Staff[[#This Row],[Salary]],0)</f>
        <v>3384</v>
      </c>
      <c r="K130" s="33">
        <f>_xlfn.XLOOKUP(Staff[[#This Row],[Rating]],Sheet3!$B$3:$B$7,Sheet3!$C$3:$C$7)</f>
        <v>4</v>
      </c>
    </row>
    <row r="131" spans="1:11" x14ac:dyDescent="0.25">
      <c r="A131" t="s">
        <v>175</v>
      </c>
      <c r="B131" t="s">
        <v>8</v>
      </c>
      <c r="C131" t="s">
        <v>9</v>
      </c>
      <c r="D131">
        <v>36</v>
      </c>
      <c r="E131" s="7">
        <v>44023</v>
      </c>
      <c r="F131" s="31">
        <v>114890</v>
      </c>
      <c r="G131" t="s">
        <v>16</v>
      </c>
      <c r="H131" t="s">
        <v>206</v>
      </c>
      <c r="I131" s="13">
        <f ca="1">(TODAY()-Staff[[#This Row],[Date Joined]])/365</f>
        <v>4.3479452054794523</v>
      </c>
      <c r="J131" s="31">
        <f ca="1">ROUNDUP(IF(Staff[[#This Row],[Tenure]]&gt;2,3%,2%)*Staff[[#This Row],[Salary]],0)</f>
        <v>3447</v>
      </c>
      <c r="K131" s="33">
        <f>_xlfn.XLOOKUP(Staff[[#This Row],[Rating]],Sheet3!$B$3:$B$7,Sheet3!$C$3:$C$7)</f>
        <v>3</v>
      </c>
    </row>
    <row r="132" spans="1:11" x14ac:dyDescent="0.25">
      <c r="A132" t="s">
        <v>146</v>
      </c>
      <c r="B132" t="s">
        <v>15</v>
      </c>
      <c r="C132" t="s">
        <v>21</v>
      </c>
      <c r="D132">
        <v>27</v>
      </c>
      <c r="E132" s="7">
        <v>44506</v>
      </c>
      <c r="F132" s="31">
        <v>48980</v>
      </c>
      <c r="G132" t="s">
        <v>16</v>
      </c>
      <c r="H132" t="s">
        <v>206</v>
      </c>
      <c r="I132" s="13">
        <f ca="1">(TODAY()-Staff[[#This Row],[Date Joined]])/365</f>
        <v>3.0246575342465754</v>
      </c>
      <c r="J132" s="31">
        <f ca="1">ROUNDUP(IF(Staff[[#This Row],[Tenure]]&gt;2,3%,2%)*Staff[[#This Row],[Salary]],0)</f>
        <v>1470</v>
      </c>
      <c r="K132" s="33">
        <f>_xlfn.XLOOKUP(Staff[[#This Row],[Rating]],Sheet3!$B$3:$B$7,Sheet3!$C$3:$C$7)</f>
        <v>3</v>
      </c>
    </row>
    <row r="133" spans="1:11" x14ac:dyDescent="0.25">
      <c r="A133" t="s">
        <v>170</v>
      </c>
      <c r="B133" t="s">
        <v>15</v>
      </c>
      <c r="C133" t="s">
        <v>56</v>
      </c>
      <c r="D133">
        <v>21</v>
      </c>
      <c r="E133" s="7">
        <v>44180</v>
      </c>
      <c r="F133" s="31">
        <v>75880</v>
      </c>
      <c r="G133" t="s">
        <v>16</v>
      </c>
      <c r="H133" t="s">
        <v>206</v>
      </c>
      <c r="I133" s="13">
        <f ca="1">(TODAY()-Staff[[#This Row],[Date Joined]])/365</f>
        <v>3.9178082191780823</v>
      </c>
      <c r="J133" s="31">
        <f ca="1">ROUNDUP(IF(Staff[[#This Row],[Tenure]]&gt;2,3%,2%)*Staff[[#This Row],[Salary]],0)</f>
        <v>2277</v>
      </c>
      <c r="K133" s="33">
        <f>_xlfn.XLOOKUP(Staff[[#This Row],[Rating]],Sheet3!$B$3:$B$7,Sheet3!$C$3:$C$7)</f>
        <v>3</v>
      </c>
    </row>
    <row r="134" spans="1:11" x14ac:dyDescent="0.25">
      <c r="A134" t="s">
        <v>167</v>
      </c>
      <c r="B134" t="s">
        <v>8</v>
      </c>
      <c r="C134" t="s">
        <v>19</v>
      </c>
      <c r="D134">
        <v>28</v>
      </c>
      <c r="E134" s="7">
        <v>44296</v>
      </c>
      <c r="F134" s="31">
        <v>53240</v>
      </c>
      <c r="G134" t="s">
        <v>16</v>
      </c>
      <c r="H134" t="s">
        <v>206</v>
      </c>
      <c r="I134" s="13">
        <f ca="1">(TODAY()-Staff[[#This Row],[Date Joined]])/365</f>
        <v>3.6</v>
      </c>
      <c r="J134" s="31">
        <f ca="1">ROUNDUP(IF(Staff[[#This Row],[Tenure]]&gt;2,3%,2%)*Staff[[#This Row],[Salary]],0)</f>
        <v>1598</v>
      </c>
      <c r="K134" s="33">
        <f>_xlfn.XLOOKUP(Staff[[#This Row],[Rating]],Sheet3!$B$3:$B$7,Sheet3!$C$3:$C$7)</f>
        <v>3</v>
      </c>
    </row>
    <row r="135" spans="1:11" x14ac:dyDescent="0.25">
      <c r="A135" t="s">
        <v>122</v>
      </c>
      <c r="B135" t="s">
        <v>8</v>
      </c>
      <c r="C135" t="s">
        <v>21</v>
      </c>
      <c r="D135">
        <v>34</v>
      </c>
      <c r="E135" s="7">
        <v>44397</v>
      </c>
      <c r="F135" s="31">
        <v>85000</v>
      </c>
      <c r="G135" t="s">
        <v>16</v>
      </c>
      <c r="H135" t="s">
        <v>206</v>
      </c>
      <c r="I135" s="13">
        <f ca="1">(TODAY()-Staff[[#This Row],[Date Joined]])/365</f>
        <v>3.3232876712328765</v>
      </c>
      <c r="J135" s="31">
        <f ca="1">ROUNDUP(IF(Staff[[#This Row],[Tenure]]&gt;2,3%,2%)*Staff[[#This Row],[Salary]],0)</f>
        <v>2550</v>
      </c>
      <c r="K135" s="33">
        <f>_xlfn.XLOOKUP(Staff[[#This Row],[Rating]],Sheet3!$B$3:$B$7,Sheet3!$C$3:$C$7)</f>
        <v>3</v>
      </c>
    </row>
    <row r="136" spans="1:11" x14ac:dyDescent="0.25">
      <c r="A136" t="s">
        <v>179</v>
      </c>
      <c r="B136" t="s">
        <v>8</v>
      </c>
      <c r="C136" t="s">
        <v>12</v>
      </c>
      <c r="D136">
        <v>21</v>
      </c>
      <c r="E136" s="7">
        <v>44619</v>
      </c>
      <c r="F136" s="31">
        <v>33920</v>
      </c>
      <c r="G136" t="s">
        <v>16</v>
      </c>
      <c r="H136" t="s">
        <v>206</v>
      </c>
      <c r="I136" s="13">
        <f ca="1">(TODAY()-Staff[[#This Row],[Date Joined]])/365</f>
        <v>2.7150684931506848</v>
      </c>
      <c r="J136" s="31">
        <f ca="1">ROUNDUP(IF(Staff[[#This Row],[Tenure]]&gt;2,3%,2%)*Staff[[#This Row],[Salary]],0)</f>
        <v>1018</v>
      </c>
      <c r="K136" s="33">
        <f>_xlfn.XLOOKUP(Staff[[#This Row],[Rating]],Sheet3!$B$3:$B$7,Sheet3!$C$3:$C$7)</f>
        <v>3</v>
      </c>
    </row>
    <row r="137" spans="1:11" x14ac:dyDescent="0.25">
      <c r="A137" t="s">
        <v>188</v>
      </c>
      <c r="B137" t="s">
        <v>8</v>
      </c>
      <c r="C137" t="s">
        <v>12</v>
      </c>
      <c r="D137">
        <v>33</v>
      </c>
      <c r="E137" s="7">
        <v>44253</v>
      </c>
      <c r="F137" s="31">
        <v>75280</v>
      </c>
      <c r="G137" t="s">
        <v>16</v>
      </c>
      <c r="H137" t="s">
        <v>206</v>
      </c>
      <c r="I137" s="13">
        <f ca="1">(TODAY()-Staff[[#This Row],[Date Joined]])/365</f>
        <v>3.7178082191780821</v>
      </c>
      <c r="J137" s="31">
        <f ca="1">ROUNDUP(IF(Staff[[#This Row],[Tenure]]&gt;2,3%,2%)*Staff[[#This Row],[Salary]],0)</f>
        <v>2259</v>
      </c>
      <c r="K137" s="33">
        <f>_xlfn.XLOOKUP(Staff[[#This Row],[Rating]],Sheet3!$B$3:$B$7,Sheet3!$C$3:$C$7)</f>
        <v>3</v>
      </c>
    </row>
    <row r="138" spans="1:11" x14ac:dyDescent="0.25">
      <c r="A138" t="s">
        <v>130</v>
      </c>
      <c r="B138" t="s">
        <v>8</v>
      </c>
      <c r="C138" t="s">
        <v>21</v>
      </c>
      <c r="D138">
        <v>34</v>
      </c>
      <c r="E138" s="7">
        <v>44594</v>
      </c>
      <c r="F138" s="31">
        <v>58940</v>
      </c>
      <c r="G138" t="s">
        <v>16</v>
      </c>
      <c r="H138" t="s">
        <v>206</v>
      </c>
      <c r="I138" s="13">
        <f ca="1">(TODAY()-Staff[[#This Row],[Date Joined]])/365</f>
        <v>2.7835616438356166</v>
      </c>
      <c r="J138" s="31">
        <f ca="1">ROUNDUP(IF(Staff[[#This Row],[Tenure]]&gt;2,3%,2%)*Staff[[#This Row],[Salary]],0)</f>
        <v>1769</v>
      </c>
      <c r="K138" s="33">
        <f>_xlfn.XLOOKUP(Staff[[#This Row],[Rating]],Sheet3!$B$3:$B$7,Sheet3!$C$3:$C$7)</f>
        <v>3</v>
      </c>
    </row>
    <row r="139" spans="1:11" x14ac:dyDescent="0.25">
      <c r="A139" t="s">
        <v>136</v>
      </c>
      <c r="B139" t="s">
        <v>8</v>
      </c>
      <c r="C139" t="s">
        <v>9</v>
      </c>
      <c r="D139">
        <v>28</v>
      </c>
      <c r="E139" s="7">
        <v>44425</v>
      </c>
      <c r="F139" s="31">
        <v>104770</v>
      </c>
      <c r="G139" t="s">
        <v>16</v>
      </c>
      <c r="H139" t="s">
        <v>206</v>
      </c>
      <c r="I139" s="13">
        <f ca="1">(TODAY()-Staff[[#This Row],[Date Joined]])/365</f>
        <v>3.2465753424657535</v>
      </c>
      <c r="J139" s="31">
        <f ca="1">ROUNDUP(IF(Staff[[#This Row],[Tenure]]&gt;2,3%,2%)*Staff[[#This Row],[Salary]],0)</f>
        <v>3144</v>
      </c>
      <c r="K139" s="33">
        <f>_xlfn.XLOOKUP(Staff[[#This Row],[Rating]],Sheet3!$B$3:$B$7,Sheet3!$C$3:$C$7)</f>
        <v>3</v>
      </c>
    </row>
    <row r="140" spans="1:11" x14ac:dyDescent="0.25">
      <c r="A140" t="s">
        <v>125</v>
      </c>
      <c r="B140" t="s">
        <v>15</v>
      </c>
      <c r="C140" t="s">
        <v>9</v>
      </c>
      <c r="D140">
        <v>21</v>
      </c>
      <c r="E140" s="7">
        <v>44701</v>
      </c>
      <c r="F140" s="31">
        <v>57090</v>
      </c>
      <c r="G140" t="s">
        <v>16</v>
      </c>
      <c r="H140" t="s">
        <v>206</v>
      </c>
      <c r="I140" s="13">
        <f ca="1">(TODAY()-Staff[[#This Row],[Date Joined]])/365</f>
        <v>2.4904109589041097</v>
      </c>
      <c r="J140" s="31">
        <f ca="1">ROUNDUP(IF(Staff[[#This Row],[Tenure]]&gt;2,3%,2%)*Staff[[#This Row],[Salary]],0)</f>
        <v>1713</v>
      </c>
      <c r="K140" s="33">
        <f>_xlfn.XLOOKUP(Staff[[#This Row],[Rating]],Sheet3!$B$3:$B$7,Sheet3!$C$3:$C$7)</f>
        <v>3</v>
      </c>
    </row>
    <row r="141" spans="1:11" x14ac:dyDescent="0.25">
      <c r="A141" t="s">
        <v>160</v>
      </c>
      <c r="B141" t="s">
        <v>15</v>
      </c>
      <c r="C141" t="s">
        <v>21</v>
      </c>
      <c r="D141">
        <v>27</v>
      </c>
      <c r="E141" s="7">
        <v>44174</v>
      </c>
      <c r="F141" s="31">
        <v>91650</v>
      </c>
      <c r="G141" t="s">
        <v>13</v>
      </c>
      <c r="H141" t="s">
        <v>206</v>
      </c>
      <c r="I141" s="13">
        <f ca="1">(TODAY()-Staff[[#This Row],[Date Joined]])/365</f>
        <v>3.9342465753424656</v>
      </c>
      <c r="J141" s="31">
        <f ca="1">ROUNDUP(IF(Staff[[#This Row],[Tenure]]&gt;2,3%,2%)*Staff[[#This Row],[Salary]],0)</f>
        <v>2750</v>
      </c>
      <c r="K141" s="33">
        <f>_xlfn.XLOOKUP(Staff[[#This Row],[Rating]],Sheet3!$B$3:$B$7,Sheet3!$C$3:$C$7)</f>
        <v>4</v>
      </c>
    </row>
    <row r="142" spans="1:11" x14ac:dyDescent="0.25">
      <c r="A142" t="s">
        <v>183</v>
      </c>
      <c r="B142" t="s">
        <v>15</v>
      </c>
      <c r="C142" t="s">
        <v>21</v>
      </c>
      <c r="D142">
        <v>42</v>
      </c>
      <c r="E142" s="7">
        <v>44670</v>
      </c>
      <c r="F142" s="31">
        <v>70270</v>
      </c>
      <c r="G142" t="s">
        <v>24</v>
      </c>
      <c r="H142" t="s">
        <v>206</v>
      </c>
      <c r="I142" s="13">
        <f ca="1">(TODAY()-Staff[[#This Row],[Date Joined]])/365</f>
        <v>2.5753424657534247</v>
      </c>
      <c r="J142" s="31">
        <f ca="1">ROUNDUP(IF(Staff[[#This Row],[Tenure]]&gt;2,3%,2%)*Staff[[#This Row],[Salary]],0)</f>
        <v>2109</v>
      </c>
      <c r="K142" s="33">
        <f>_xlfn.XLOOKUP(Staff[[#This Row],[Rating]],Sheet3!$B$3:$B$7,Sheet3!$C$3:$C$7)</f>
        <v>2</v>
      </c>
    </row>
    <row r="143" spans="1:11" x14ac:dyDescent="0.25">
      <c r="A143" t="s">
        <v>129</v>
      </c>
      <c r="B143" t="s">
        <v>8</v>
      </c>
      <c r="C143" t="s">
        <v>21</v>
      </c>
      <c r="D143">
        <v>28</v>
      </c>
      <c r="E143" s="7">
        <v>44124</v>
      </c>
      <c r="F143" s="31">
        <v>75970</v>
      </c>
      <c r="G143" t="s">
        <v>16</v>
      </c>
      <c r="H143" t="s">
        <v>206</v>
      </c>
      <c r="I143" s="13">
        <f ca="1">(TODAY()-Staff[[#This Row],[Date Joined]])/365</f>
        <v>4.0712328767123287</v>
      </c>
      <c r="J143" s="31">
        <f ca="1">ROUNDUP(IF(Staff[[#This Row],[Tenure]]&gt;2,3%,2%)*Staff[[#This Row],[Salary]],0)</f>
        <v>2280</v>
      </c>
      <c r="K143" s="33">
        <f>_xlfn.XLOOKUP(Staff[[#This Row],[Rating]],Sheet3!$B$3:$B$7,Sheet3!$C$3:$C$7)</f>
        <v>3</v>
      </c>
    </row>
    <row r="144" spans="1:11" x14ac:dyDescent="0.25">
      <c r="A144" t="s">
        <v>112</v>
      </c>
      <c r="B144" t="s">
        <v>207</v>
      </c>
      <c r="C144" t="s">
        <v>12</v>
      </c>
      <c r="D144">
        <v>27</v>
      </c>
      <c r="E144" s="7">
        <v>44212</v>
      </c>
      <c r="F144" s="31">
        <v>90700</v>
      </c>
      <c r="G144" t="s">
        <v>13</v>
      </c>
      <c r="H144" t="s">
        <v>206</v>
      </c>
      <c r="I144" s="13">
        <f ca="1">(TODAY()-Staff[[#This Row],[Date Joined]])/365</f>
        <v>3.8301369863013699</v>
      </c>
      <c r="J144" s="31">
        <f ca="1">ROUNDUP(IF(Staff[[#This Row],[Tenure]]&gt;2,3%,2%)*Staff[[#This Row],[Salary]],0)</f>
        <v>2721</v>
      </c>
      <c r="K144" s="33">
        <f>_xlfn.XLOOKUP(Staff[[#This Row],[Rating]],Sheet3!$B$3:$B$7,Sheet3!$C$3:$C$7)</f>
        <v>4</v>
      </c>
    </row>
    <row r="145" spans="1:11" x14ac:dyDescent="0.25">
      <c r="A145" t="s">
        <v>131</v>
      </c>
      <c r="B145" t="s">
        <v>15</v>
      </c>
      <c r="C145" t="s">
        <v>9</v>
      </c>
      <c r="D145">
        <v>30</v>
      </c>
      <c r="E145" s="7">
        <v>44607</v>
      </c>
      <c r="F145" s="31">
        <v>60570</v>
      </c>
      <c r="G145" t="s">
        <v>16</v>
      </c>
      <c r="H145" t="s">
        <v>206</v>
      </c>
      <c r="I145" s="13">
        <f ca="1">(TODAY()-Staff[[#This Row],[Date Joined]])/365</f>
        <v>2.7479452054794522</v>
      </c>
      <c r="J145" s="31">
        <f ca="1">ROUNDUP(IF(Staff[[#This Row],[Tenure]]&gt;2,3%,2%)*Staff[[#This Row],[Salary]],0)</f>
        <v>1818</v>
      </c>
      <c r="K145" s="33">
        <f>_xlfn.XLOOKUP(Staff[[#This Row],[Rating]],Sheet3!$B$3:$B$7,Sheet3!$C$3:$C$7)</f>
        <v>3</v>
      </c>
    </row>
    <row r="146" spans="1:11" x14ac:dyDescent="0.25">
      <c r="A146" t="s">
        <v>134</v>
      </c>
      <c r="B146" t="s">
        <v>15</v>
      </c>
      <c r="C146" t="s">
        <v>9</v>
      </c>
      <c r="D146">
        <v>33</v>
      </c>
      <c r="E146" s="7">
        <v>44103</v>
      </c>
      <c r="F146" s="31">
        <v>115920</v>
      </c>
      <c r="G146" t="s">
        <v>16</v>
      </c>
      <c r="H146" t="s">
        <v>206</v>
      </c>
      <c r="I146" s="13">
        <f ca="1">(TODAY()-Staff[[#This Row],[Date Joined]])/365</f>
        <v>4.1287671232876715</v>
      </c>
      <c r="J146" s="31">
        <f ca="1">ROUNDUP(IF(Staff[[#This Row],[Tenure]]&gt;2,3%,2%)*Staff[[#This Row],[Salary]],0)</f>
        <v>3478</v>
      </c>
      <c r="K146" s="33">
        <f>_xlfn.XLOOKUP(Staff[[#This Row],[Rating]],Sheet3!$B$3:$B$7,Sheet3!$C$3:$C$7)</f>
        <v>3</v>
      </c>
    </row>
    <row r="147" spans="1:11" x14ac:dyDescent="0.25">
      <c r="A147" t="s">
        <v>186</v>
      </c>
      <c r="B147" t="s">
        <v>8</v>
      </c>
      <c r="C147" t="s">
        <v>21</v>
      </c>
      <c r="D147">
        <v>33</v>
      </c>
      <c r="E147" s="7">
        <v>44006</v>
      </c>
      <c r="F147" s="31">
        <v>65360</v>
      </c>
      <c r="G147" t="s">
        <v>16</v>
      </c>
      <c r="H147" t="s">
        <v>206</v>
      </c>
      <c r="I147" s="13">
        <f ca="1">(TODAY()-Staff[[#This Row],[Date Joined]])/365</f>
        <v>4.3945205479452056</v>
      </c>
      <c r="J147" s="31">
        <f ca="1">ROUNDUP(IF(Staff[[#This Row],[Tenure]]&gt;2,3%,2%)*Staff[[#This Row],[Salary]],0)</f>
        <v>1961</v>
      </c>
      <c r="K147" s="33">
        <f>_xlfn.XLOOKUP(Staff[[#This Row],[Rating]],Sheet3!$B$3:$B$7,Sheet3!$C$3:$C$7)</f>
        <v>3</v>
      </c>
    </row>
    <row r="148" spans="1:11" x14ac:dyDescent="0.25">
      <c r="A148" t="s">
        <v>116</v>
      </c>
      <c r="B148" t="s">
        <v>207</v>
      </c>
      <c r="C148" t="s">
        <v>21</v>
      </c>
      <c r="D148">
        <v>30</v>
      </c>
      <c r="E148" s="7">
        <v>44535</v>
      </c>
      <c r="F148" s="31">
        <v>64000</v>
      </c>
      <c r="G148" t="s">
        <v>16</v>
      </c>
      <c r="H148" t="s">
        <v>206</v>
      </c>
      <c r="I148" s="13">
        <f ca="1">(TODAY()-Staff[[#This Row],[Date Joined]])/365</f>
        <v>2.9452054794520546</v>
      </c>
      <c r="J148" s="31">
        <f ca="1">ROUNDUP(IF(Staff[[#This Row],[Tenure]]&gt;2,3%,2%)*Staff[[#This Row],[Salary]],0)</f>
        <v>1920</v>
      </c>
      <c r="K148" s="33">
        <f>_xlfn.XLOOKUP(Staff[[#This Row],[Rating]],Sheet3!$B$3:$B$7,Sheet3!$C$3:$C$7)</f>
        <v>3</v>
      </c>
    </row>
    <row r="149" spans="1:11" x14ac:dyDescent="0.25">
      <c r="A149" t="s">
        <v>195</v>
      </c>
      <c r="B149" t="s">
        <v>8</v>
      </c>
      <c r="C149" t="s">
        <v>21</v>
      </c>
      <c r="D149">
        <v>34</v>
      </c>
      <c r="E149" s="7">
        <v>44383</v>
      </c>
      <c r="F149" s="31">
        <v>92450</v>
      </c>
      <c r="G149" t="s">
        <v>16</v>
      </c>
      <c r="H149" t="s">
        <v>206</v>
      </c>
      <c r="I149" s="13">
        <f ca="1">(TODAY()-Staff[[#This Row],[Date Joined]])/365</f>
        <v>3.3616438356164382</v>
      </c>
      <c r="J149" s="31">
        <f ca="1">ROUNDUP(IF(Staff[[#This Row],[Tenure]]&gt;2,3%,2%)*Staff[[#This Row],[Salary]],0)</f>
        <v>2774</v>
      </c>
      <c r="K149" s="33">
        <f>_xlfn.XLOOKUP(Staff[[#This Row],[Rating]],Sheet3!$B$3:$B$7,Sheet3!$C$3:$C$7)</f>
        <v>3</v>
      </c>
    </row>
    <row r="150" spans="1:11" x14ac:dyDescent="0.25">
      <c r="A150" t="s">
        <v>113</v>
      </c>
      <c r="B150" t="s">
        <v>15</v>
      </c>
      <c r="C150" t="s">
        <v>12</v>
      </c>
      <c r="D150">
        <v>31</v>
      </c>
      <c r="E150" s="7">
        <v>44450</v>
      </c>
      <c r="F150" s="31">
        <v>48950</v>
      </c>
      <c r="G150" t="s">
        <v>16</v>
      </c>
      <c r="H150" t="s">
        <v>206</v>
      </c>
      <c r="I150" s="13">
        <f ca="1">(TODAY()-Staff[[#This Row],[Date Joined]])/365</f>
        <v>3.1780821917808217</v>
      </c>
      <c r="J150" s="31">
        <f ca="1">ROUNDUP(IF(Staff[[#This Row],[Tenure]]&gt;2,3%,2%)*Staff[[#This Row],[Salary]],0)</f>
        <v>1469</v>
      </c>
      <c r="K150" s="33">
        <f>_xlfn.XLOOKUP(Staff[[#This Row],[Rating]],Sheet3!$B$3:$B$7,Sheet3!$C$3:$C$7)</f>
        <v>3</v>
      </c>
    </row>
    <row r="151" spans="1:11" x14ac:dyDescent="0.25">
      <c r="A151" t="s">
        <v>185</v>
      </c>
      <c r="B151" t="s">
        <v>8</v>
      </c>
      <c r="C151" t="s">
        <v>12</v>
      </c>
      <c r="D151">
        <v>27</v>
      </c>
      <c r="E151" s="7">
        <v>44625</v>
      </c>
      <c r="F151" s="31">
        <v>83750</v>
      </c>
      <c r="G151" t="s">
        <v>16</v>
      </c>
      <c r="H151" t="s">
        <v>206</v>
      </c>
      <c r="I151" s="13">
        <f ca="1">(TODAY()-Staff[[#This Row],[Date Joined]])/365</f>
        <v>2.6986301369863015</v>
      </c>
      <c r="J151" s="31">
        <f ca="1">ROUNDUP(IF(Staff[[#This Row],[Tenure]]&gt;2,3%,2%)*Staff[[#This Row],[Salary]],0)</f>
        <v>2513</v>
      </c>
      <c r="K151" s="33">
        <f>_xlfn.XLOOKUP(Staff[[#This Row],[Rating]],Sheet3!$B$3:$B$7,Sheet3!$C$3:$C$7)</f>
        <v>3</v>
      </c>
    </row>
    <row r="152" spans="1:11" x14ac:dyDescent="0.25">
      <c r="A152" t="s">
        <v>166</v>
      </c>
      <c r="B152" t="s">
        <v>8</v>
      </c>
      <c r="C152" t="s">
        <v>12</v>
      </c>
      <c r="D152">
        <v>40</v>
      </c>
      <c r="E152" s="7">
        <v>44276</v>
      </c>
      <c r="F152" s="31">
        <v>87620</v>
      </c>
      <c r="G152" t="s">
        <v>16</v>
      </c>
      <c r="H152" t="s">
        <v>206</v>
      </c>
      <c r="I152" s="13">
        <f ca="1">(TODAY()-Staff[[#This Row],[Date Joined]])/365</f>
        <v>3.6547945205479451</v>
      </c>
      <c r="J152" s="31">
        <f ca="1">ROUNDUP(IF(Staff[[#This Row],[Tenure]]&gt;2,3%,2%)*Staff[[#This Row],[Salary]],0)</f>
        <v>2629</v>
      </c>
      <c r="K152" s="33">
        <f>_xlfn.XLOOKUP(Staff[[#This Row],[Rating]],Sheet3!$B$3:$B$7,Sheet3!$C$3:$C$7)</f>
        <v>3</v>
      </c>
    </row>
    <row r="153" spans="1:11" x14ac:dyDescent="0.25">
      <c r="A153" t="s">
        <v>184</v>
      </c>
      <c r="B153" t="s">
        <v>8</v>
      </c>
      <c r="C153" t="s">
        <v>19</v>
      </c>
      <c r="D153">
        <v>20</v>
      </c>
      <c r="E153" s="7">
        <v>44476</v>
      </c>
      <c r="F153" s="31">
        <v>68900</v>
      </c>
      <c r="G153" t="s">
        <v>24</v>
      </c>
      <c r="H153" t="s">
        <v>206</v>
      </c>
      <c r="I153" s="13">
        <f ca="1">(TODAY()-Staff[[#This Row],[Date Joined]])/365</f>
        <v>3.106849315068493</v>
      </c>
      <c r="J153" s="31">
        <f ca="1">ROUNDUP(IF(Staff[[#This Row],[Tenure]]&gt;2,3%,2%)*Staff[[#This Row],[Salary]],0)</f>
        <v>2067</v>
      </c>
      <c r="K153" s="33">
        <f>_xlfn.XLOOKUP(Staff[[#This Row],[Rating]],Sheet3!$B$3:$B$7,Sheet3!$C$3:$C$7)</f>
        <v>2</v>
      </c>
    </row>
    <row r="154" spans="1:11" x14ac:dyDescent="0.25">
      <c r="A154" t="s">
        <v>157</v>
      </c>
      <c r="B154" t="s">
        <v>15</v>
      </c>
      <c r="C154" t="s">
        <v>19</v>
      </c>
      <c r="D154">
        <v>32</v>
      </c>
      <c r="E154" s="7">
        <v>44403</v>
      </c>
      <c r="F154" s="31">
        <v>53540</v>
      </c>
      <c r="G154" t="s">
        <v>16</v>
      </c>
      <c r="H154" t="s">
        <v>206</v>
      </c>
      <c r="I154" s="13">
        <f ca="1">(TODAY()-Staff[[#This Row],[Date Joined]])/365</f>
        <v>3.3068493150684932</v>
      </c>
      <c r="J154" s="31">
        <f ca="1">ROUNDUP(IF(Staff[[#This Row],[Tenure]]&gt;2,3%,2%)*Staff[[#This Row],[Salary]],0)</f>
        <v>1607</v>
      </c>
      <c r="K154" s="33">
        <f>_xlfn.XLOOKUP(Staff[[#This Row],[Rating]],Sheet3!$B$3:$B$7,Sheet3!$C$3:$C$7)</f>
        <v>3</v>
      </c>
    </row>
    <row r="155" spans="1:11" x14ac:dyDescent="0.25">
      <c r="A155" t="s">
        <v>172</v>
      </c>
      <c r="B155" t="s">
        <v>15</v>
      </c>
      <c r="C155" t="s">
        <v>19</v>
      </c>
      <c r="D155">
        <v>28</v>
      </c>
      <c r="E155" s="7">
        <v>44758</v>
      </c>
      <c r="F155" s="31">
        <v>43510</v>
      </c>
      <c r="G155" t="s">
        <v>42</v>
      </c>
      <c r="H155" t="s">
        <v>206</v>
      </c>
      <c r="I155" s="13">
        <f ca="1">(TODAY()-Staff[[#This Row],[Date Joined]])/365</f>
        <v>2.3342465753424659</v>
      </c>
      <c r="J155" s="31">
        <f ca="1">ROUNDUP(IF(Staff[[#This Row],[Tenure]]&gt;2,3%,2%)*Staff[[#This Row],[Salary]],0)</f>
        <v>1306</v>
      </c>
      <c r="K155" s="33">
        <f>_xlfn.XLOOKUP(Staff[[#This Row],[Rating]],Sheet3!$B$3:$B$7,Sheet3!$C$3:$C$7)</f>
        <v>1</v>
      </c>
    </row>
    <row r="156" spans="1:11" x14ac:dyDescent="0.25">
      <c r="A156" t="s">
        <v>127</v>
      </c>
      <c r="B156" t="s">
        <v>8</v>
      </c>
      <c r="C156" t="s">
        <v>19</v>
      </c>
      <c r="D156">
        <v>38</v>
      </c>
      <c r="E156" s="7">
        <v>44316</v>
      </c>
      <c r="F156" s="31">
        <v>109160</v>
      </c>
      <c r="G156" t="s">
        <v>10</v>
      </c>
      <c r="H156" t="s">
        <v>206</v>
      </c>
      <c r="I156" s="13">
        <f ca="1">(TODAY()-Staff[[#This Row],[Date Joined]])/365</f>
        <v>3.5452054794520547</v>
      </c>
      <c r="J156" s="31">
        <f ca="1">ROUNDUP(IF(Staff[[#This Row],[Tenure]]&gt;2,3%,2%)*Staff[[#This Row],[Salary]],0)</f>
        <v>3275</v>
      </c>
      <c r="K156" s="33">
        <f>_xlfn.XLOOKUP(Staff[[#This Row],[Rating]],Sheet3!$B$3:$B$7,Sheet3!$C$3:$C$7)</f>
        <v>5</v>
      </c>
    </row>
    <row r="157" spans="1:11" x14ac:dyDescent="0.25">
      <c r="A157" t="s">
        <v>198</v>
      </c>
      <c r="B157" t="s">
        <v>15</v>
      </c>
      <c r="C157" t="s">
        <v>9</v>
      </c>
      <c r="D157">
        <v>40</v>
      </c>
      <c r="E157" s="7">
        <v>44204</v>
      </c>
      <c r="F157" s="31">
        <v>99750</v>
      </c>
      <c r="G157" t="s">
        <v>16</v>
      </c>
      <c r="H157" t="s">
        <v>206</v>
      </c>
      <c r="I157" s="13">
        <f ca="1">(TODAY()-Staff[[#This Row],[Date Joined]])/365</f>
        <v>3.8520547945205479</v>
      </c>
      <c r="J157" s="31">
        <f ca="1">ROUNDUP(IF(Staff[[#This Row],[Tenure]]&gt;2,3%,2%)*Staff[[#This Row],[Salary]],0)</f>
        <v>2993</v>
      </c>
      <c r="K157" s="33">
        <f>_xlfn.XLOOKUP(Staff[[#This Row],[Rating]],Sheet3!$B$3:$B$7,Sheet3!$C$3:$C$7)</f>
        <v>3</v>
      </c>
    </row>
    <row r="158" spans="1:11" x14ac:dyDescent="0.25">
      <c r="A158" t="s">
        <v>124</v>
      </c>
      <c r="B158" t="s">
        <v>8</v>
      </c>
      <c r="C158" t="s">
        <v>12</v>
      </c>
      <c r="D158">
        <v>31</v>
      </c>
      <c r="E158" s="7">
        <v>44084</v>
      </c>
      <c r="F158" s="31">
        <v>41980</v>
      </c>
      <c r="G158" t="s">
        <v>16</v>
      </c>
      <c r="H158" t="s">
        <v>206</v>
      </c>
      <c r="I158" s="13">
        <f ca="1">(TODAY()-Staff[[#This Row],[Date Joined]])/365</f>
        <v>4.1808219178082195</v>
      </c>
      <c r="J158" s="31">
        <f ca="1">ROUNDUP(IF(Staff[[#This Row],[Tenure]]&gt;2,3%,2%)*Staff[[#This Row],[Salary]],0)</f>
        <v>1260</v>
      </c>
      <c r="K158" s="33">
        <f>_xlfn.XLOOKUP(Staff[[#This Row],[Rating]],Sheet3!$B$3:$B$7,Sheet3!$C$3:$C$7)</f>
        <v>3</v>
      </c>
    </row>
    <row r="159" spans="1:11" x14ac:dyDescent="0.25">
      <c r="A159" t="s">
        <v>187</v>
      </c>
      <c r="B159" t="s">
        <v>15</v>
      </c>
      <c r="C159" t="s">
        <v>21</v>
      </c>
      <c r="D159">
        <v>36</v>
      </c>
      <c r="E159" s="7">
        <v>44272</v>
      </c>
      <c r="F159" s="31">
        <v>71380</v>
      </c>
      <c r="G159" t="s">
        <v>16</v>
      </c>
      <c r="H159" t="s">
        <v>206</v>
      </c>
      <c r="I159" s="13">
        <f ca="1">(TODAY()-Staff[[#This Row],[Date Joined]])/365</f>
        <v>3.6657534246575341</v>
      </c>
      <c r="J159" s="31">
        <f ca="1">ROUNDUP(IF(Staff[[#This Row],[Tenure]]&gt;2,3%,2%)*Staff[[#This Row],[Salary]],0)</f>
        <v>2142</v>
      </c>
      <c r="K159" s="33">
        <f>_xlfn.XLOOKUP(Staff[[#This Row],[Rating]],Sheet3!$B$3:$B$7,Sheet3!$C$3:$C$7)</f>
        <v>3</v>
      </c>
    </row>
    <row r="160" spans="1:11" x14ac:dyDescent="0.25">
      <c r="A160" t="s">
        <v>191</v>
      </c>
      <c r="B160" t="s">
        <v>15</v>
      </c>
      <c r="C160" t="s">
        <v>9</v>
      </c>
      <c r="D160">
        <v>27</v>
      </c>
      <c r="E160" s="7">
        <v>44547</v>
      </c>
      <c r="F160" s="31">
        <v>113280</v>
      </c>
      <c r="G160" t="s">
        <v>42</v>
      </c>
      <c r="H160" t="s">
        <v>206</v>
      </c>
      <c r="I160" s="13">
        <f ca="1">(TODAY()-Staff[[#This Row],[Date Joined]])/365</f>
        <v>2.9123287671232876</v>
      </c>
      <c r="J160" s="31">
        <f ca="1">ROUNDUP(IF(Staff[[#This Row],[Tenure]]&gt;2,3%,2%)*Staff[[#This Row],[Salary]],0)</f>
        <v>3399</v>
      </c>
      <c r="K160" s="33">
        <f>_xlfn.XLOOKUP(Staff[[#This Row],[Rating]],Sheet3!$B$3:$B$7,Sheet3!$C$3:$C$7)</f>
        <v>1</v>
      </c>
    </row>
    <row r="161" spans="1:11" x14ac:dyDescent="0.25">
      <c r="A161" t="s">
        <v>181</v>
      </c>
      <c r="B161" t="s">
        <v>8</v>
      </c>
      <c r="C161" t="s">
        <v>21</v>
      </c>
      <c r="D161">
        <v>33</v>
      </c>
      <c r="E161" s="7">
        <v>44747</v>
      </c>
      <c r="F161" s="31">
        <v>86570</v>
      </c>
      <c r="G161" t="s">
        <v>16</v>
      </c>
      <c r="H161" t="s">
        <v>206</v>
      </c>
      <c r="I161" s="13">
        <f ca="1">(TODAY()-Staff[[#This Row],[Date Joined]])/365</f>
        <v>2.3643835616438356</v>
      </c>
      <c r="J161" s="31">
        <f ca="1">ROUNDUP(IF(Staff[[#This Row],[Tenure]]&gt;2,3%,2%)*Staff[[#This Row],[Salary]],0)</f>
        <v>2598</v>
      </c>
      <c r="K161" s="33">
        <f>_xlfn.XLOOKUP(Staff[[#This Row],[Rating]],Sheet3!$B$3:$B$7,Sheet3!$C$3:$C$7)</f>
        <v>3</v>
      </c>
    </row>
    <row r="162" spans="1:11" x14ac:dyDescent="0.25">
      <c r="A162" t="s">
        <v>139</v>
      </c>
      <c r="B162" t="s">
        <v>15</v>
      </c>
      <c r="C162" t="s">
        <v>9</v>
      </c>
      <c r="D162">
        <v>26</v>
      </c>
      <c r="E162" s="7">
        <v>44350</v>
      </c>
      <c r="F162" s="31">
        <v>53540</v>
      </c>
      <c r="G162" t="s">
        <v>16</v>
      </c>
      <c r="H162" t="s">
        <v>206</v>
      </c>
      <c r="I162" s="13">
        <f ca="1">(TODAY()-Staff[[#This Row],[Date Joined]])/365</f>
        <v>3.452054794520548</v>
      </c>
      <c r="J162" s="31">
        <f ca="1">ROUNDUP(IF(Staff[[#This Row],[Tenure]]&gt;2,3%,2%)*Staff[[#This Row],[Salary]],0)</f>
        <v>1607</v>
      </c>
      <c r="K162" s="33">
        <f>_xlfn.XLOOKUP(Staff[[#This Row],[Rating]],Sheet3!$B$3:$B$7,Sheet3!$C$3:$C$7)</f>
        <v>3</v>
      </c>
    </row>
    <row r="163" spans="1:11" x14ac:dyDescent="0.25">
      <c r="A163" t="s">
        <v>190</v>
      </c>
      <c r="B163" t="s">
        <v>15</v>
      </c>
      <c r="C163" t="s">
        <v>12</v>
      </c>
      <c r="D163">
        <v>37</v>
      </c>
      <c r="E163" s="7">
        <v>44640</v>
      </c>
      <c r="F163" s="31">
        <v>69070</v>
      </c>
      <c r="G163" t="s">
        <v>16</v>
      </c>
      <c r="H163" t="s">
        <v>206</v>
      </c>
      <c r="I163" s="13">
        <f ca="1">(TODAY()-Staff[[#This Row],[Date Joined]])/365</f>
        <v>2.6575342465753424</v>
      </c>
      <c r="J163" s="31">
        <f ca="1">ROUNDUP(IF(Staff[[#This Row],[Tenure]]&gt;2,3%,2%)*Staff[[#This Row],[Salary]],0)</f>
        <v>2073</v>
      </c>
      <c r="K163" s="33">
        <f>_xlfn.XLOOKUP(Staff[[#This Row],[Rating]],Sheet3!$B$3:$B$7,Sheet3!$C$3:$C$7)</f>
        <v>3</v>
      </c>
    </row>
    <row r="164" spans="1:11" x14ac:dyDescent="0.25">
      <c r="A164" t="s">
        <v>121</v>
      </c>
      <c r="B164" t="s">
        <v>8</v>
      </c>
      <c r="C164" t="s">
        <v>21</v>
      </c>
      <c r="D164">
        <v>30</v>
      </c>
      <c r="E164" s="7">
        <v>44328</v>
      </c>
      <c r="F164" s="31">
        <v>67910</v>
      </c>
      <c r="G164" t="s">
        <v>24</v>
      </c>
      <c r="H164" t="s">
        <v>206</v>
      </c>
      <c r="I164" s="13">
        <f ca="1">(TODAY()-Staff[[#This Row],[Date Joined]])/365</f>
        <v>3.5123287671232877</v>
      </c>
      <c r="J164" s="31">
        <f ca="1">ROUNDUP(IF(Staff[[#This Row],[Tenure]]&gt;2,3%,2%)*Staff[[#This Row],[Salary]],0)</f>
        <v>2038</v>
      </c>
      <c r="K164" s="33">
        <f>_xlfn.XLOOKUP(Staff[[#This Row],[Rating]],Sheet3!$B$3:$B$7,Sheet3!$C$3:$C$7)</f>
        <v>2</v>
      </c>
    </row>
    <row r="165" spans="1:11" x14ac:dyDescent="0.25">
      <c r="A165" t="s">
        <v>119</v>
      </c>
      <c r="B165" t="s">
        <v>15</v>
      </c>
      <c r="C165" t="s">
        <v>12</v>
      </c>
      <c r="D165">
        <v>30</v>
      </c>
      <c r="E165" s="7">
        <v>44214</v>
      </c>
      <c r="F165" s="31">
        <v>69120</v>
      </c>
      <c r="G165" t="s">
        <v>16</v>
      </c>
      <c r="H165" t="s">
        <v>206</v>
      </c>
      <c r="I165" s="13">
        <f ca="1">(TODAY()-Staff[[#This Row],[Date Joined]])/365</f>
        <v>3.8246575342465752</v>
      </c>
      <c r="J165" s="31">
        <f ca="1">ROUNDUP(IF(Staff[[#This Row],[Tenure]]&gt;2,3%,2%)*Staff[[#This Row],[Salary]],0)</f>
        <v>2074</v>
      </c>
      <c r="K165" s="33">
        <f>_xlfn.XLOOKUP(Staff[[#This Row],[Rating]],Sheet3!$B$3:$B$7,Sheet3!$C$3:$C$7)</f>
        <v>3</v>
      </c>
    </row>
    <row r="166" spans="1:11" x14ac:dyDescent="0.25">
      <c r="A166" t="s">
        <v>132</v>
      </c>
      <c r="B166" t="s">
        <v>8</v>
      </c>
      <c r="C166" t="s">
        <v>21</v>
      </c>
      <c r="D166">
        <v>34</v>
      </c>
      <c r="E166" s="7">
        <v>44550</v>
      </c>
      <c r="F166" s="31">
        <v>60130</v>
      </c>
      <c r="G166" t="s">
        <v>16</v>
      </c>
      <c r="H166" t="s">
        <v>206</v>
      </c>
      <c r="I166" s="13">
        <f ca="1">(TODAY()-Staff[[#This Row],[Date Joined]])/365</f>
        <v>2.904109589041096</v>
      </c>
      <c r="J166" s="31">
        <f ca="1">ROUNDUP(IF(Staff[[#This Row],[Tenure]]&gt;2,3%,2%)*Staff[[#This Row],[Salary]],0)</f>
        <v>1804</v>
      </c>
      <c r="K166" s="33">
        <f>_xlfn.XLOOKUP(Staff[[#This Row],[Rating]],Sheet3!$B$3:$B$7,Sheet3!$C$3:$C$7)</f>
        <v>3</v>
      </c>
    </row>
    <row r="167" spans="1:11" x14ac:dyDescent="0.25">
      <c r="A167" t="s">
        <v>161</v>
      </c>
      <c r="B167" t="s">
        <v>15</v>
      </c>
      <c r="C167" t="s">
        <v>9</v>
      </c>
      <c r="D167">
        <v>23</v>
      </c>
      <c r="E167" s="7">
        <v>44378</v>
      </c>
      <c r="F167" s="31">
        <v>106460</v>
      </c>
      <c r="G167" t="s">
        <v>16</v>
      </c>
      <c r="H167" t="s">
        <v>206</v>
      </c>
      <c r="I167" s="13">
        <f ca="1">(TODAY()-Staff[[#This Row],[Date Joined]])/365</f>
        <v>3.3753424657534246</v>
      </c>
      <c r="J167" s="31">
        <f ca="1">ROUNDUP(IF(Staff[[#This Row],[Tenure]]&gt;2,3%,2%)*Staff[[#This Row],[Salary]],0)</f>
        <v>3194</v>
      </c>
      <c r="K167" s="33">
        <f>_xlfn.XLOOKUP(Staff[[#This Row],[Rating]],Sheet3!$B$3:$B$7,Sheet3!$C$3:$C$7)</f>
        <v>3</v>
      </c>
    </row>
    <row r="168" spans="1:11" x14ac:dyDescent="0.25">
      <c r="A168" t="s">
        <v>148</v>
      </c>
      <c r="B168" t="s">
        <v>8</v>
      </c>
      <c r="C168" t="s">
        <v>56</v>
      </c>
      <c r="D168">
        <v>37</v>
      </c>
      <c r="E168" s="7">
        <v>44389</v>
      </c>
      <c r="F168" s="31">
        <v>118100</v>
      </c>
      <c r="G168" t="s">
        <v>16</v>
      </c>
      <c r="H168" t="s">
        <v>206</v>
      </c>
      <c r="I168" s="13">
        <f ca="1">(TODAY()-Staff[[#This Row],[Date Joined]])/365</f>
        <v>3.3452054794520549</v>
      </c>
      <c r="J168" s="31">
        <f ca="1">ROUNDUP(IF(Staff[[#This Row],[Tenure]]&gt;2,3%,2%)*Staff[[#This Row],[Salary]],0)</f>
        <v>3543</v>
      </c>
      <c r="K168" s="33">
        <f>_xlfn.XLOOKUP(Staff[[#This Row],[Rating]],Sheet3!$B$3:$B$7,Sheet3!$C$3:$C$7)</f>
        <v>3</v>
      </c>
    </row>
    <row r="169" spans="1:11" x14ac:dyDescent="0.25">
      <c r="A169" t="s">
        <v>164</v>
      </c>
      <c r="B169" t="s">
        <v>8</v>
      </c>
      <c r="C169" t="s">
        <v>9</v>
      </c>
      <c r="D169">
        <v>36</v>
      </c>
      <c r="E169" s="7">
        <v>44468</v>
      </c>
      <c r="F169" s="31">
        <v>78390</v>
      </c>
      <c r="G169" t="s">
        <v>16</v>
      </c>
      <c r="H169" t="s">
        <v>206</v>
      </c>
      <c r="I169" s="13">
        <f ca="1">(TODAY()-Staff[[#This Row],[Date Joined]])/365</f>
        <v>3.128767123287671</v>
      </c>
      <c r="J169" s="31">
        <f ca="1">ROUNDUP(IF(Staff[[#This Row],[Tenure]]&gt;2,3%,2%)*Staff[[#This Row],[Salary]],0)</f>
        <v>2352</v>
      </c>
      <c r="K169" s="33">
        <f>_xlfn.XLOOKUP(Staff[[#This Row],[Rating]],Sheet3!$B$3:$B$7,Sheet3!$C$3:$C$7)</f>
        <v>3</v>
      </c>
    </row>
    <row r="170" spans="1:11" x14ac:dyDescent="0.25">
      <c r="A170" t="s">
        <v>147</v>
      </c>
      <c r="B170" t="s">
        <v>8</v>
      </c>
      <c r="C170" t="s">
        <v>9</v>
      </c>
      <c r="D170">
        <v>30</v>
      </c>
      <c r="E170" s="7">
        <v>44789</v>
      </c>
      <c r="F170" s="31">
        <v>114180</v>
      </c>
      <c r="G170" t="s">
        <v>16</v>
      </c>
      <c r="H170" t="s">
        <v>206</v>
      </c>
      <c r="I170" s="13">
        <f ca="1">(TODAY()-Staff[[#This Row],[Date Joined]])/365</f>
        <v>2.2493150684931509</v>
      </c>
      <c r="J170" s="31">
        <f ca="1">ROUNDUP(IF(Staff[[#This Row],[Tenure]]&gt;2,3%,2%)*Staff[[#This Row],[Salary]],0)</f>
        <v>3426</v>
      </c>
      <c r="K170" s="33">
        <f>_xlfn.XLOOKUP(Staff[[#This Row],[Rating]],Sheet3!$B$3:$B$7,Sheet3!$C$3:$C$7)</f>
        <v>3</v>
      </c>
    </row>
    <row r="171" spans="1:11" x14ac:dyDescent="0.25">
      <c r="A171" t="s">
        <v>189</v>
      </c>
      <c r="B171" t="s">
        <v>8</v>
      </c>
      <c r="C171" t="s">
        <v>9</v>
      </c>
      <c r="D171">
        <v>28</v>
      </c>
      <c r="E171" s="7">
        <v>44590</v>
      </c>
      <c r="F171" s="31">
        <v>104120</v>
      </c>
      <c r="G171" t="s">
        <v>16</v>
      </c>
      <c r="H171" t="s">
        <v>206</v>
      </c>
      <c r="I171" s="13">
        <f ca="1">(TODAY()-Staff[[#This Row],[Date Joined]])/365</f>
        <v>2.7945205479452055</v>
      </c>
      <c r="J171" s="31">
        <f ca="1">ROUNDUP(IF(Staff[[#This Row],[Tenure]]&gt;2,3%,2%)*Staff[[#This Row],[Salary]],0)</f>
        <v>3124</v>
      </c>
      <c r="K171" s="33">
        <f>_xlfn.XLOOKUP(Staff[[#This Row],[Rating]],Sheet3!$B$3:$B$7,Sheet3!$C$3:$C$7)</f>
        <v>3</v>
      </c>
    </row>
    <row r="172" spans="1:11" x14ac:dyDescent="0.25">
      <c r="A172" t="s">
        <v>138</v>
      </c>
      <c r="B172" t="s">
        <v>15</v>
      </c>
      <c r="C172" t="s">
        <v>9</v>
      </c>
      <c r="D172">
        <v>30</v>
      </c>
      <c r="E172" s="7">
        <v>44640</v>
      </c>
      <c r="F172" s="31">
        <v>67950</v>
      </c>
      <c r="G172" t="s">
        <v>16</v>
      </c>
      <c r="H172" t="s">
        <v>206</v>
      </c>
      <c r="I172" s="13">
        <f ca="1">(TODAY()-Staff[[#This Row],[Date Joined]])/365</f>
        <v>2.6575342465753424</v>
      </c>
      <c r="J172" s="31">
        <f ca="1">ROUNDUP(IF(Staff[[#This Row],[Tenure]]&gt;2,3%,2%)*Staff[[#This Row],[Salary]],0)</f>
        <v>2039</v>
      </c>
      <c r="K172" s="33">
        <f>_xlfn.XLOOKUP(Staff[[#This Row],[Rating]],Sheet3!$B$3:$B$7,Sheet3!$C$3:$C$7)</f>
        <v>3</v>
      </c>
    </row>
    <row r="173" spans="1:11" x14ac:dyDescent="0.25">
      <c r="A173" t="s">
        <v>137</v>
      </c>
      <c r="B173" t="s">
        <v>8</v>
      </c>
      <c r="C173" t="s">
        <v>12</v>
      </c>
      <c r="D173">
        <v>29</v>
      </c>
      <c r="E173" s="7">
        <v>43962</v>
      </c>
      <c r="F173" s="31">
        <v>34980</v>
      </c>
      <c r="G173" t="s">
        <v>16</v>
      </c>
      <c r="H173" t="s">
        <v>206</v>
      </c>
      <c r="I173" s="13">
        <f ca="1">(TODAY()-Staff[[#This Row],[Date Joined]])/365</f>
        <v>4.515068493150685</v>
      </c>
      <c r="J173" s="31">
        <f ca="1">ROUNDUP(IF(Staff[[#This Row],[Tenure]]&gt;2,3%,2%)*Staff[[#This Row],[Salary]],0)</f>
        <v>1050</v>
      </c>
      <c r="K173" s="33">
        <f>_xlfn.XLOOKUP(Staff[[#This Row],[Rating]],Sheet3!$B$3:$B$7,Sheet3!$C$3:$C$7)</f>
        <v>3</v>
      </c>
    </row>
    <row r="174" spans="1:11" x14ac:dyDescent="0.25">
      <c r="A174" t="s">
        <v>153</v>
      </c>
      <c r="B174" t="s">
        <v>8</v>
      </c>
      <c r="C174" t="s">
        <v>12</v>
      </c>
      <c r="D174">
        <v>24</v>
      </c>
      <c r="E174" s="7">
        <v>44087</v>
      </c>
      <c r="F174" s="31">
        <v>62780</v>
      </c>
      <c r="G174" t="s">
        <v>16</v>
      </c>
      <c r="H174" t="s">
        <v>206</v>
      </c>
      <c r="I174" s="13">
        <f ca="1">(TODAY()-Staff[[#This Row],[Date Joined]])/365</f>
        <v>4.1726027397260275</v>
      </c>
      <c r="J174" s="31">
        <f ca="1">ROUNDUP(IF(Staff[[#This Row],[Tenure]]&gt;2,3%,2%)*Staff[[#This Row],[Salary]],0)</f>
        <v>1884</v>
      </c>
      <c r="K174" s="33">
        <f>_xlfn.XLOOKUP(Staff[[#This Row],[Rating]],Sheet3!$B$3:$B$7,Sheet3!$C$3:$C$7)</f>
        <v>3</v>
      </c>
    </row>
    <row r="175" spans="1:11" x14ac:dyDescent="0.25">
      <c r="A175" t="s">
        <v>117</v>
      </c>
      <c r="B175" t="s">
        <v>15</v>
      </c>
      <c r="C175" t="s">
        <v>12</v>
      </c>
      <c r="D175">
        <v>20</v>
      </c>
      <c r="E175" s="7">
        <v>44397</v>
      </c>
      <c r="F175" s="31">
        <v>107700</v>
      </c>
      <c r="G175" t="s">
        <v>16</v>
      </c>
      <c r="H175" t="s">
        <v>206</v>
      </c>
      <c r="I175" s="13">
        <f ca="1">(TODAY()-Staff[[#This Row],[Date Joined]])/365</f>
        <v>3.3232876712328765</v>
      </c>
      <c r="J175" s="31">
        <f ca="1">ROUNDUP(IF(Staff[[#This Row],[Tenure]]&gt;2,3%,2%)*Staff[[#This Row],[Salary]],0)</f>
        <v>3231</v>
      </c>
      <c r="K175" s="33">
        <f>_xlfn.XLOOKUP(Staff[[#This Row],[Rating]],Sheet3!$B$3:$B$7,Sheet3!$C$3:$C$7)</f>
        <v>3</v>
      </c>
    </row>
    <row r="176" spans="1:11" x14ac:dyDescent="0.25">
      <c r="A176" t="s">
        <v>168</v>
      </c>
      <c r="B176" t="s">
        <v>15</v>
      </c>
      <c r="C176" t="s">
        <v>19</v>
      </c>
      <c r="D176">
        <v>25</v>
      </c>
      <c r="E176" s="7">
        <v>44322</v>
      </c>
      <c r="F176" s="31">
        <v>65700</v>
      </c>
      <c r="G176" t="s">
        <v>16</v>
      </c>
      <c r="H176" t="s">
        <v>206</v>
      </c>
      <c r="I176" s="13">
        <f ca="1">(TODAY()-Staff[[#This Row],[Date Joined]])/365</f>
        <v>3.5287671232876714</v>
      </c>
      <c r="J176" s="31">
        <f ca="1">ROUNDUP(IF(Staff[[#This Row],[Tenure]]&gt;2,3%,2%)*Staff[[#This Row],[Salary]],0)</f>
        <v>1971</v>
      </c>
      <c r="K176" s="33">
        <f>_xlfn.XLOOKUP(Staff[[#This Row],[Rating]],Sheet3!$B$3:$B$7,Sheet3!$C$3:$C$7)</f>
        <v>3</v>
      </c>
    </row>
    <row r="177" spans="1:11" x14ac:dyDescent="0.25">
      <c r="A177" t="s">
        <v>135</v>
      </c>
      <c r="B177" t="s">
        <v>8</v>
      </c>
      <c r="C177" t="s">
        <v>12</v>
      </c>
      <c r="D177">
        <v>33</v>
      </c>
      <c r="E177" s="7">
        <v>44313</v>
      </c>
      <c r="F177" s="31">
        <v>75480</v>
      </c>
      <c r="G177" t="s">
        <v>42</v>
      </c>
      <c r="H177" t="s">
        <v>206</v>
      </c>
      <c r="I177" s="13">
        <f ca="1">(TODAY()-Staff[[#This Row],[Date Joined]])/365</f>
        <v>3.5534246575342467</v>
      </c>
      <c r="J177" s="31">
        <f ca="1">ROUNDUP(IF(Staff[[#This Row],[Tenure]]&gt;2,3%,2%)*Staff[[#This Row],[Salary]],0)</f>
        <v>2265</v>
      </c>
      <c r="K177" s="33">
        <f>_xlfn.XLOOKUP(Staff[[#This Row],[Rating]],Sheet3!$B$3:$B$7,Sheet3!$C$3:$C$7)</f>
        <v>1</v>
      </c>
    </row>
    <row r="178" spans="1:11" x14ac:dyDescent="0.25">
      <c r="A178" t="s">
        <v>174</v>
      </c>
      <c r="B178" t="s">
        <v>15</v>
      </c>
      <c r="C178" t="s">
        <v>12</v>
      </c>
      <c r="D178">
        <v>33</v>
      </c>
      <c r="E178" s="7">
        <v>44448</v>
      </c>
      <c r="F178" s="31">
        <v>53870</v>
      </c>
      <c r="G178" t="s">
        <v>16</v>
      </c>
      <c r="H178" t="s">
        <v>206</v>
      </c>
      <c r="I178" s="13">
        <f ca="1">(TODAY()-Staff[[#This Row],[Date Joined]])/365</f>
        <v>3.1835616438356165</v>
      </c>
      <c r="J178" s="31">
        <f ca="1">ROUNDUP(IF(Staff[[#This Row],[Tenure]]&gt;2,3%,2%)*Staff[[#This Row],[Salary]],0)</f>
        <v>1617</v>
      </c>
      <c r="K178" s="33">
        <f>_xlfn.XLOOKUP(Staff[[#This Row],[Rating]],Sheet3!$B$3:$B$7,Sheet3!$C$3:$C$7)</f>
        <v>3</v>
      </c>
    </row>
    <row r="179" spans="1:11" x14ac:dyDescent="0.25">
      <c r="A179" t="s">
        <v>141</v>
      </c>
      <c r="B179" t="s">
        <v>8</v>
      </c>
      <c r="C179" t="s">
        <v>19</v>
      </c>
      <c r="D179">
        <v>36</v>
      </c>
      <c r="E179" s="7">
        <v>44433</v>
      </c>
      <c r="F179" s="31">
        <v>78540</v>
      </c>
      <c r="G179" t="s">
        <v>16</v>
      </c>
      <c r="H179" t="s">
        <v>206</v>
      </c>
      <c r="I179" s="13">
        <f ca="1">(TODAY()-Staff[[#This Row],[Date Joined]])/365</f>
        <v>3.2246575342465755</v>
      </c>
      <c r="J179" s="31">
        <f ca="1">ROUNDUP(IF(Staff[[#This Row],[Tenure]]&gt;2,3%,2%)*Staff[[#This Row],[Salary]],0)</f>
        <v>2357</v>
      </c>
      <c r="K179" s="33">
        <f>_xlfn.XLOOKUP(Staff[[#This Row],[Rating]],Sheet3!$B$3:$B$7,Sheet3!$C$3:$C$7)</f>
        <v>3</v>
      </c>
    </row>
    <row r="180" spans="1:11" x14ac:dyDescent="0.25">
      <c r="A180" t="s">
        <v>193</v>
      </c>
      <c r="B180" t="s">
        <v>15</v>
      </c>
      <c r="C180" t="s">
        <v>9</v>
      </c>
      <c r="D180">
        <v>19</v>
      </c>
      <c r="E180" s="7">
        <v>44218</v>
      </c>
      <c r="F180" s="31">
        <v>58960</v>
      </c>
      <c r="G180" t="s">
        <v>16</v>
      </c>
      <c r="H180" t="s">
        <v>206</v>
      </c>
      <c r="I180" s="13">
        <f ca="1">(TODAY()-Staff[[#This Row],[Date Joined]])/365</f>
        <v>3.8136986301369862</v>
      </c>
      <c r="J180" s="31">
        <f ca="1">ROUNDUP(IF(Staff[[#This Row],[Tenure]]&gt;2,3%,2%)*Staff[[#This Row],[Salary]],0)</f>
        <v>1769</v>
      </c>
      <c r="K180" s="33">
        <f>_xlfn.XLOOKUP(Staff[[#This Row],[Rating]],Sheet3!$B$3:$B$7,Sheet3!$C$3:$C$7)</f>
        <v>3</v>
      </c>
    </row>
    <row r="181" spans="1:11" x14ac:dyDescent="0.25">
      <c r="A181" t="s">
        <v>162</v>
      </c>
      <c r="B181" t="s">
        <v>15</v>
      </c>
      <c r="C181" t="s">
        <v>9</v>
      </c>
      <c r="D181">
        <v>46</v>
      </c>
      <c r="E181" s="7">
        <v>44697</v>
      </c>
      <c r="F181" s="31">
        <v>70610</v>
      </c>
      <c r="G181" t="s">
        <v>16</v>
      </c>
      <c r="H181" t="s">
        <v>206</v>
      </c>
      <c r="I181" s="13">
        <f ca="1">(TODAY()-Staff[[#This Row],[Date Joined]])/365</f>
        <v>2.5013698630136987</v>
      </c>
      <c r="J181" s="31">
        <f ca="1">ROUNDUP(IF(Staff[[#This Row],[Tenure]]&gt;2,3%,2%)*Staff[[#This Row],[Salary]],0)</f>
        <v>2119</v>
      </c>
      <c r="K181" s="33">
        <f>_xlfn.XLOOKUP(Staff[[#This Row],[Rating]],Sheet3!$B$3:$B$7,Sheet3!$C$3:$C$7)</f>
        <v>3</v>
      </c>
    </row>
    <row r="182" spans="1:11" x14ac:dyDescent="0.25">
      <c r="A182" t="s">
        <v>171</v>
      </c>
      <c r="B182" t="s">
        <v>15</v>
      </c>
      <c r="C182" t="s">
        <v>21</v>
      </c>
      <c r="D182">
        <v>33</v>
      </c>
      <c r="E182" s="7">
        <v>44181</v>
      </c>
      <c r="F182" s="31">
        <v>59430</v>
      </c>
      <c r="G182" t="s">
        <v>16</v>
      </c>
      <c r="H182" t="s">
        <v>206</v>
      </c>
      <c r="I182" s="13">
        <f ca="1">(TODAY()-Staff[[#This Row],[Date Joined]])/365</f>
        <v>3.9150684931506849</v>
      </c>
      <c r="J182" s="31">
        <f ca="1">ROUNDUP(IF(Staff[[#This Row],[Tenure]]&gt;2,3%,2%)*Staff[[#This Row],[Salary]],0)</f>
        <v>1783</v>
      </c>
      <c r="K182" s="33">
        <f>_xlfn.XLOOKUP(Staff[[#This Row],[Rating]],Sheet3!$B$3:$B$7,Sheet3!$C$3:$C$7)</f>
        <v>3</v>
      </c>
    </row>
    <row r="183" spans="1:11" x14ac:dyDescent="0.25">
      <c r="A183" t="s">
        <v>144</v>
      </c>
      <c r="B183" t="s">
        <v>15</v>
      </c>
      <c r="C183" t="s">
        <v>9</v>
      </c>
      <c r="D183">
        <v>33</v>
      </c>
      <c r="E183" s="7">
        <v>44640</v>
      </c>
      <c r="F183" s="31">
        <v>48530</v>
      </c>
      <c r="G183" t="s">
        <v>13</v>
      </c>
      <c r="H183" t="s">
        <v>206</v>
      </c>
      <c r="I183" s="13">
        <f ca="1">(TODAY()-Staff[[#This Row],[Date Joined]])/365</f>
        <v>2.6575342465753424</v>
      </c>
      <c r="J183" s="31">
        <f ca="1">ROUNDUP(IF(Staff[[#This Row],[Tenure]]&gt;2,3%,2%)*Staff[[#This Row],[Salary]],0)</f>
        <v>1456</v>
      </c>
      <c r="K183" s="33">
        <f>_xlfn.XLOOKUP(Staff[[#This Row],[Rating]],Sheet3!$B$3:$B$7,Sheet3!$C$3:$C$7)</f>
        <v>4</v>
      </c>
    </row>
    <row r="184" spans="1:11" x14ac:dyDescent="0.25">
      <c r="A184" t="s">
        <v>163</v>
      </c>
      <c r="B184" t="s">
        <v>8</v>
      </c>
      <c r="C184" t="s">
        <v>12</v>
      </c>
      <c r="D184">
        <v>33</v>
      </c>
      <c r="E184" s="7">
        <v>44129</v>
      </c>
      <c r="F184" s="31">
        <v>96140</v>
      </c>
      <c r="G184" t="s">
        <v>16</v>
      </c>
      <c r="H184" t="s">
        <v>206</v>
      </c>
      <c r="I184" s="13">
        <f ca="1">(TODAY()-Staff[[#This Row],[Date Joined]])/365</f>
        <v>4.0575342465753428</v>
      </c>
      <c r="J184" s="31">
        <f ca="1">ROUNDUP(IF(Staff[[#This Row],[Tenure]]&gt;2,3%,2%)*Staff[[#This Row],[Salary]],0)</f>
        <v>2885</v>
      </c>
      <c r="K184" s="33">
        <f>_xlfn.XLOOKUP(Staff[[#This Row],[Rating]],Sheet3!$B$3:$B$7,Sheet3!$C$3:$C$7)</f>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59829-F88A-4E94-B6F1-88ABB2DF0982}">
  <dimension ref="A1:H113"/>
  <sheetViews>
    <sheetView workbookViewId="0"/>
  </sheetViews>
  <sheetFormatPr defaultRowHeight="15" x14ac:dyDescent="0.25"/>
  <cols>
    <col min="1" max="1" width="30" bestFit="1" customWidth="1"/>
    <col min="2" max="2" width="10" bestFit="1" customWidth="1"/>
    <col min="3" max="3" width="6.7109375" bestFit="1" customWidth="1"/>
    <col min="4" max="4" width="14.28515625" bestFit="1" customWidth="1"/>
    <col min="5" max="5" width="14.85546875" bestFit="1" customWidth="1"/>
    <col min="6" max="6" width="14" bestFit="1" customWidth="1"/>
    <col min="7" max="7" width="8.5703125" bestFit="1" customWidth="1"/>
    <col min="8" max="8" width="10.28515625" bestFit="1" customWidth="1"/>
  </cols>
  <sheetData>
    <row r="1" spans="1:8" x14ac:dyDescent="0.25">
      <c r="A1" t="s">
        <v>0</v>
      </c>
      <c r="B1" t="s">
        <v>1</v>
      </c>
      <c r="C1" t="s">
        <v>3</v>
      </c>
      <c r="D1" t="s">
        <v>6</v>
      </c>
      <c r="E1" t="s">
        <v>4</v>
      </c>
      <c r="F1" t="s">
        <v>2</v>
      </c>
      <c r="G1" t="s">
        <v>5</v>
      </c>
      <c r="H1" t="s">
        <v>204</v>
      </c>
    </row>
    <row r="2" spans="1:8" x14ac:dyDescent="0.25">
      <c r="A2" t="s">
        <v>156</v>
      </c>
      <c r="B2" t="s">
        <v>15</v>
      </c>
      <c r="C2">
        <v>20</v>
      </c>
      <c r="D2" t="s">
        <v>16</v>
      </c>
      <c r="E2" s="6">
        <v>44122</v>
      </c>
      <c r="F2" t="s">
        <v>12</v>
      </c>
      <c r="G2">
        <v>112650</v>
      </c>
      <c r="H2" t="s">
        <v>206</v>
      </c>
    </row>
    <row r="3" spans="1:8" x14ac:dyDescent="0.25">
      <c r="A3" t="s">
        <v>176</v>
      </c>
      <c r="B3" t="s">
        <v>8</v>
      </c>
      <c r="C3">
        <v>32</v>
      </c>
      <c r="D3" t="s">
        <v>13</v>
      </c>
      <c r="E3" s="6">
        <v>44293</v>
      </c>
      <c r="F3" t="s">
        <v>12</v>
      </c>
      <c r="G3">
        <v>43840</v>
      </c>
      <c r="H3" t="s">
        <v>206</v>
      </c>
    </row>
    <row r="4" spans="1:8" x14ac:dyDescent="0.25">
      <c r="A4" t="s">
        <v>143</v>
      </c>
      <c r="B4" t="s">
        <v>15</v>
      </c>
      <c r="C4">
        <v>31</v>
      </c>
      <c r="D4" t="s">
        <v>16</v>
      </c>
      <c r="E4" s="6">
        <v>44663</v>
      </c>
      <c r="F4" t="s">
        <v>9</v>
      </c>
      <c r="G4">
        <v>103550</v>
      </c>
      <c r="H4" t="s">
        <v>206</v>
      </c>
    </row>
    <row r="5" spans="1:8" x14ac:dyDescent="0.25">
      <c r="A5" t="s">
        <v>201</v>
      </c>
      <c r="B5" t="s">
        <v>8</v>
      </c>
      <c r="C5">
        <v>32</v>
      </c>
      <c r="D5" t="s">
        <v>16</v>
      </c>
      <c r="E5" s="6">
        <v>44339</v>
      </c>
      <c r="F5" t="s">
        <v>56</v>
      </c>
      <c r="G5">
        <v>45510</v>
      </c>
      <c r="H5" t="s">
        <v>206</v>
      </c>
    </row>
    <row r="6" spans="1:8" x14ac:dyDescent="0.25">
      <c r="A6" t="s">
        <v>142</v>
      </c>
      <c r="C6">
        <v>37</v>
      </c>
      <c r="D6" t="s">
        <v>24</v>
      </c>
      <c r="E6" s="6">
        <v>44085</v>
      </c>
      <c r="F6" t="s">
        <v>21</v>
      </c>
      <c r="G6">
        <v>115440</v>
      </c>
      <c r="H6" t="s">
        <v>206</v>
      </c>
    </row>
    <row r="7" spans="1:8" x14ac:dyDescent="0.25">
      <c r="A7" t="s">
        <v>202</v>
      </c>
      <c r="B7" t="s">
        <v>8</v>
      </c>
      <c r="C7">
        <v>38</v>
      </c>
      <c r="D7" t="s">
        <v>13</v>
      </c>
      <c r="E7" s="6">
        <v>44268</v>
      </c>
      <c r="F7" t="s">
        <v>19</v>
      </c>
      <c r="G7">
        <v>56870</v>
      </c>
      <c r="H7" t="s">
        <v>206</v>
      </c>
    </row>
    <row r="8" spans="1:8" x14ac:dyDescent="0.25">
      <c r="A8" t="s">
        <v>169</v>
      </c>
      <c r="B8" t="s">
        <v>8</v>
      </c>
      <c r="C8">
        <v>25</v>
      </c>
      <c r="D8" t="s">
        <v>16</v>
      </c>
      <c r="E8" s="6">
        <v>44144</v>
      </c>
      <c r="F8" t="s">
        <v>19</v>
      </c>
      <c r="G8">
        <v>92700</v>
      </c>
      <c r="H8" t="s">
        <v>206</v>
      </c>
    </row>
    <row r="9" spans="1:8" x14ac:dyDescent="0.25">
      <c r="A9" t="s">
        <v>145</v>
      </c>
      <c r="C9">
        <v>32</v>
      </c>
      <c r="D9" t="s">
        <v>16</v>
      </c>
      <c r="E9" s="6">
        <v>44713</v>
      </c>
      <c r="F9" t="s">
        <v>12</v>
      </c>
      <c r="G9">
        <v>91310</v>
      </c>
      <c r="H9" t="s">
        <v>206</v>
      </c>
    </row>
    <row r="10" spans="1:8" x14ac:dyDescent="0.25">
      <c r="A10" t="s">
        <v>115</v>
      </c>
      <c r="B10" t="s">
        <v>15</v>
      </c>
      <c r="C10">
        <v>33</v>
      </c>
      <c r="D10" t="s">
        <v>16</v>
      </c>
      <c r="E10" s="6">
        <v>44324</v>
      </c>
      <c r="F10" t="s">
        <v>19</v>
      </c>
      <c r="G10">
        <v>74550</v>
      </c>
      <c r="H10" t="s">
        <v>206</v>
      </c>
    </row>
    <row r="11" spans="1:8" x14ac:dyDescent="0.25">
      <c r="A11" t="s">
        <v>128</v>
      </c>
      <c r="B11" t="s">
        <v>15</v>
      </c>
      <c r="C11">
        <v>25</v>
      </c>
      <c r="D11" t="s">
        <v>13</v>
      </c>
      <c r="E11" s="6">
        <v>44665</v>
      </c>
      <c r="F11" t="s">
        <v>9</v>
      </c>
      <c r="G11">
        <v>109190</v>
      </c>
      <c r="H11" t="s">
        <v>206</v>
      </c>
    </row>
    <row r="12" spans="1:8" x14ac:dyDescent="0.25">
      <c r="A12" t="s">
        <v>194</v>
      </c>
      <c r="B12" t="s">
        <v>8</v>
      </c>
      <c r="C12">
        <v>40</v>
      </c>
      <c r="D12" t="s">
        <v>16</v>
      </c>
      <c r="E12" s="6">
        <v>44320</v>
      </c>
      <c r="F12" t="s">
        <v>12</v>
      </c>
      <c r="G12">
        <v>104410</v>
      </c>
      <c r="H12" t="s">
        <v>206</v>
      </c>
    </row>
    <row r="13" spans="1:8" x14ac:dyDescent="0.25">
      <c r="A13" t="s">
        <v>177</v>
      </c>
      <c r="B13" t="s">
        <v>15</v>
      </c>
      <c r="C13">
        <v>30</v>
      </c>
      <c r="D13" t="s">
        <v>16</v>
      </c>
      <c r="E13" s="6">
        <v>44544</v>
      </c>
      <c r="F13" t="s">
        <v>21</v>
      </c>
      <c r="G13">
        <v>96800</v>
      </c>
      <c r="H13" t="s">
        <v>206</v>
      </c>
    </row>
    <row r="14" spans="1:8" x14ac:dyDescent="0.25">
      <c r="A14" t="s">
        <v>123</v>
      </c>
      <c r="B14" t="s">
        <v>15</v>
      </c>
      <c r="C14">
        <v>28</v>
      </c>
      <c r="D14" t="s">
        <v>13</v>
      </c>
      <c r="E14" s="6">
        <v>43980</v>
      </c>
      <c r="F14" t="s">
        <v>21</v>
      </c>
      <c r="G14">
        <v>48170</v>
      </c>
      <c r="H14" t="s">
        <v>206</v>
      </c>
    </row>
    <row r="15" spans="1:8" x14ac:dyDescent="0.25">
      <c r="A15" t="s">
        <v>140</v>
      </c>
      <c r="B15" t="s">
        <v>15</v>
      </c>
      <c r="C15">
        <v>21</v>
      </c>
      <c r="D15" t="s">
        <v>16</v>
      </c>
      <c r="E15" s="6">
        <v>44042</v>
      </c>
      <c r="F15" t="s">
        <v>9</v>
      </c>
      <c r="G15">
        <v>37920</v>
      </c>
      <c r="H15" t="s">
        <v>206</v>
      </c>
    </row>
    <row r="16" spans="1:8" x14ac:dyDescent="0.25">
      <c r="A16" t="s">
        <v>178</v>
      </c>
      <c r="B16" t="s">
        <v>15</v>
      </c>
      <c r="C16">
        <v>34</v>
      </c>
      <c r="D16" t="s">
        <v>16</v>
      </c>
      <c r="E16" s="6">
        <v>44642</v>
      </c>
      <c r="F16" t="s">
        <v>9</v>
      </c>
      <c r="G16">
        <v>112650</v>
      </c>
      <c r="H16" t="s">
        <v>206</v>
      </c>
    </row>
    <row r="17" spans="1:8" x14ac:dyDescent="0.25">
      <c r="A17" t="s">
        <v>165</v>
      </c>
      <c r="B17" t="s">
        <v>8</v>
      </c>
      <c r="C17">
        <v>34</v>
      </c>
      <c r="D17" t="s">
        <v>24</v>
      </c>
      <c r="E17" s="6">
        <v>44660</v>
      </c>
      <c r="F17" t="s">
        <v>19</v>
      </c>
      <c r="G17">
        <v>49630</v>
      </c>
      <c r="H17" t="s">
        <v>206</v>
      </c>
    </row>
    <row r="18" spans="1:8" x14ac:dyDescent="0.25">
      <c r="A18" t="s">
        <v>199</v>
      </c>
      <c r="B18" t="s">
        <v>15</v>
      </c>
      <c r="C18">
        <v>36</v>
      </c>
      <c r="D18" t="s">
        <v>16</v>
      </c>
      <c r="E18" s="6">
        <v>43958</v>
      </c>
      <c r="F18" t="s">
        <v>12</v>
      </c>
      <c r="G18">
        <v>118840</v>
      </c>
      <c r="H18" t="s">
        <v>206</v>
      </c>
    </row>
    <row r="19" spans="1:8" x14ac:dyDescent="0.25">
      <c r="A19" t="s">
        <v>159</v>
      </c>
      <c r="B19" t="s">
        <v>15</v>
      </c>
      <c r="C19">
        <v>30</v>
      </c>
      <c r="D19" t="s">
        <v>16</v>
      </c>
      <c r="E19" s="6">
        <v>44789</v>
      </c>
      <c r="F19" t="s">
        <v>12</v>
      </c>
      <c r="G19">
        <v>69710</v>
      </c>
      <c r="H19" t="s">
        <v>206</v>
      </c>
    </row>
    <row r="20" spans="1:8" x14ac:dyDescent="0.25">
      <c r="A20" t="s">
        <v>197</v>
      </c>
      <c r="B20" t="s">
        <v>15</v>
      </c>
      <c r="C20">
        <v>20</v>
      </c>
      <c r="D20" t="s">
        <v>16</v>
      </c>
      <c r="E20" s="6">
        <v>44683</v>
      </c>
      <c r="F20" t="s">
        <v>9</v>
      </c>
      <c r="G20">
        <v>79570</v>
      </c>
      <c r="H20" t="s">
        <v>206</v>
      </c>
    </row>
    <row r="21" spans="1:8" x14ac:dyDescent="0.25">
      <c r="A21" t="s">
        <v>154</v>
      </c>
      <c r="B21" t="s">
        <v>8</v>
      </c>
      <c r="C21">
        <v>22</v>
      </c>
      <c r="D21" t="s">
        <v>13</v>
      </c>
      <c r="E21" s="6">
        <v>44388</v>
      </c>
      <c r="F21" t="s">
        <v>9</v>
      </c>
      <c r="G21">
        <v>76900</v>
      </c>
      <c r="H21" t="s">
        <v>206</v>
      </c>
    </row>
    <row r="22" spans="1:8" x14ac:dyDescent="0.25">
      <c r="A22" t="s">
        <v>182</v>
      </c>
      <c r="B22" t="s">
        <v>15</v>
      </c>
      <c r="C22">
        <v>27</v>
      </c>
      <c r="D22" t="s">
        <v>16</v>
      </c>
      <c r="E22" s="6">
        <v>44073</v>
      </c>
      <c r="F22" t="s">
        <v>19</v>
      </c>
      <c r="G22">
        <v>54970</v>
      </c>
      <c r="H22" t="s">
        <v>206</v>
      </c>
    </row>
    <row r="23" spans="1:8" x14ac:dyDescent="0.25">
      <c r="A23" t="s">
        <v>118</v>
      </c>
      <c r="B23" t="s">
        <v>15</v>
      </c>
      <c r="C23">
        <v>37</v>
      </c>
      <c r="D23" t="s">
        <v>24</v>
      </c>
      <c r="E23" s="6">
        <v>44277</v>
      </c>
      <c r="F23" t="s">
        <v>12</v>
      </c>
      <c r="G23">
        <v>88050</v>
      </c>
      <c r="H23" t="s">
        <v>206</v>
      </c>
    </row>
    <row r="24" spans="1:8" x14ac:dyDescent="0.25">
      <c r="A24" t="s">
        <v>192</v>
      </c>
      <c r="B24" t="s">
        <v>15</v>
      </c>
      <c r="C24">
        <v>43</v>
      </c>
      <c r="D24" t="s">
        <v>16</v>
      </c>
      <c r="E24" s="6">
        <v>44558</v>
      </c>
      <c r="F24" t="s">
        <v>19</v>
      </c>
      <c r="G24">
        <v>36040</v>
      </c>
      <c r="H24" t="s">
        <v>206</v>
      </c>
    </row>
    <row r="25" spans="1:8" x14ac:dyDescent="0.25">
      <c r="A25" t="s">
        <v>111</v>
      </c>
      <c r="B25" t="s">
        <v>8</v>
      </c>
      <c r="C25">
        <v>42</v>
      </c>
      <c r="D25" t="s">
        <v>10</v>
      </c>
      <c r="E25" s="6">
        <v>44718</v>
      </c>
      <c r="F25" t="s">
        <v>9</v>
      </c>
      <c r="G25">
        <v>75000</v>
      </c>
      <c r="H25" t="s">
        <v>206</v>
      </c>
    </row>
    <row r="26" spans="1:8" x14ac:dyDescent="0.25">
      <c r="A26" t="s">
        <v>149</v>
      </c>
      <c r="B26" t="s">
        <v>15</v>
      </c>
      <c r="C26">
        <v>35</v>
      </c>
      <c r="D26" t="s">
        <v>16</v>
      </c>
      <c r="E26" s="6">
        <v>44666</v>
      </c>
      <c r="F26" t="s">
        <v>9</v>
      </c>
      <c r="G26">
        <v>40400</v>
      </c>
      <c r="H26" t="s">
        <v>206</v>
      </c>
    </row>
    <row r="27" spans="1:8" x14ac:dyDescent="0.25">
      <c r="A27" t="s">
        <v>196</v>
      </c>
      <c r="B27" t="s">
        <v>15</v>
      </c>
      <c r="C27">
        <v>24</v>
      </c>
      <c r="D27" t="s">
        <v>16</v>
      </c>
      <c r="E27" s="6">
        <v>44625</v>
      </c>
      <c r="F27" t="s">
        <v>12</v>
      </c>
      <c r="G27">
        <v>100420</v>
      </c>
      <c r="H27" t="s">
        <v>206</v>
      </c>
    </row>
    <row r="28" spans="1:8" x14ac:dyDescent="0.25">
      <c r="A28" t="s">
        <v>120</v>
      </c>
      <c r="B28" t="s">
        <v>8</v>
      </c>
      <c r="C28">
        <v>31</v>
      </c>
      <c r="D28" t="s">
        <v>16</v>
      </c>
      <c r="E28" s="6">
        <v>44604</v>
      </c>
      <c r="F28" t="s">
        <v>12</v>
      </c>
      <c r="G28">
        <v>58100</v>
      </c>
      <c r="H28" t="s">
        <v>206</v>
      </c>
    </row>
    <row r="29" spans="1:8" x14ac:dyDescent="0.25">
      <c r="A29" t="s">
        <v>114</v>
      </c>
      <c r="B29" t="s">
        <v>8</v>
      </c>
      <c r="C29">
        <v>44</v>
      </c>
      <c r="D29" t="s">
        <v>16</v>
      </c>
      <c r="E29" s="6">
        <v>44985</v>
      </c>
      <c r="F29" t="s">
        <v>12</v>
      </c>
      <c r="G29">
        <v>114870</v>
      </c>
      <c r="H29" t="s">
        <v>206</v>
      </c>
    </row>
    <row r="30" spans="1:8" x14ac:dyDescent="0.25">
      <c r="A30" t="s">
        <v>158</v>
      </c>
      <c r="B30" t="s">
        <v>8</v>
      </c>
      <c r="C30">
        <v>32</v>
      </c>
      <c r="D30" t="s">
        <v>16</v>
      </c>
      <c r="E30" s="6">
        <v>44549</v>
      </c>
      <c r="F30" t="s">
        <v>9</v>
      </c>
      <c r="G30">
        <v>41570</v>
      </c>
      <c r="H30" t="s">
        <v>206</v>
      </c>
    </row>
    <row r="31" spans="1:8" x14ac:dyDescent="0.25">
      <c r="A31" t="s">
        <v>173</v>
      </c>
      <c r="B31" t="s">
        <v>8</v>
      </c>
      <c r="C31">
        <v>30</v>
      </c>
      <c r="D31" t="s">
        <v>16</v>
      </c>
      <c r="E31" s="6">
        <v>44800</v>
      </c>
      <c r="F31" t="s">
        <v>9</v>
      </c>
      <c r="G31">
        <v>112570</v>
      </c>
      <c r="H31" t="s">
        <v>206</v>
      </c>
    </row>
    <row r="32" spans="1:8" x14ac:dyDescent="0.25">
      <c r="A32" t="s">
        <v>151</v>
      </c>
      <c r="B32" t="s">
        <v>15</v>
      </c>
      <c r="C32">
        <v>26</v>
      </c>
      <c r="D32" t="s">
        <v>16</v>
      </c>
      <c r="E32" s="6">
        <v>44164</v>
      </c>
      <c r="F32" t="s">
        <v>9</v>
      </c>
      <c r="G32">
        <v>47360</v>
      </c>
      <c r="H32" t="s">
        <v>206</v>
      </c>
    </row>
    <row r="33" spans="1:8" x14ac:dyDescent="0.25">
      <c r="A33" t="s">
        <v>126</v>
      </c>
      <c r="B33" t="s">
        <v>8</v>
      </c>
      <c r="C33">
        <v>21</v>
      </c>
      <c r="D33" t="s">
        <v>16</v>
      </c>
      <c r="E33" s="6">
        <v>44256</v>
      </c>
      <c r="F33" t="s">
        <v>21</v>
      </c>
      <c r="G33">
        <v>65920</v>
      </c>
      <c r="H33" t="s">
        <v>206</v>
      </c>
    </row>
    <row r="34" spans="1:8" x14ac:dyDescent="0.25">
      <c r="A34" t="s">
        <v>200</v>
      </c>
      <c r="B34" t="s">
        <v>8</v>
      </c>
      <c r="C34">
        <v>28</v>
      </c>
      <c r="D34" t="s">
        <v>16</v>
      </c>
      <c r="E34" s="6">
        <v>44571</v>
      </c>
      <c r="F34" t="s">
        <v>9</v>
      </c>
      <c r="G34">
        <v>99970</v>
      </c>
      <c r="H34" t="s">
        <v>206</v>
      </c>
    </row>
    <row r="35" spans="1:8" x14ac:dyDescent="0.25">
      <c r="A35" t="s">
        <v>133</v>
      </c>
      <c r="B35" t="s">
        <v>8</v>
      </c>
      <c r="C35">
        <v>25</v>
      </c>
      <c r="D35" t="s">
        <v>13</v>
      </c>
      <c r="E35" s="6">
        <v>44633</v>
      </c>
      <c r="F35" t="s">
        <v>12</v>
      </c>
      <c r="G35">
        <v>80700</v>
      </c>
      <c r="H35" t="s">
        <v>206</v>
      </c>
    </row>
    <row r="36" spans="1:8" x14ac:dyDescent="0.25">
      <c r="A36" t="s">
        <v>155</v>
      </c>
      <c r="B36" t="s">
        <v>15</v>
      </c>
      <c r="C36">
        <v>24</v>
      </c>
      <c r="D36" t="s">
        <v>24</v>
      </c>
      <c r="E36" s="6">
        <v>44375</v>
      </c>
      <c r="F36" t="s">
        <v>21</v>
      </c>
      <c r="G36">
        <v>52610</v>
      </c>
      <c r="H36" t="s">
        <v>206</v>
      </c>
    </row>
    <row r="37" spans="1:8" x14ac:dyDescent="0.25">
      <c r="A37" t="s">
        <v>180</v>
      </c>
      <c r="B37" t="s">
        <v>15</v>
      </c>
      <c r="C37">
        <v>29</v>
      </c>
      <c r="D37" t="s">
        <v>24</v>
      </c>
      <c r="E37" s="6">
        <v>44119</v>
      </c>
      <c r="F37" t="s">
        <v>12</v>
      </c>
      <c r="G37">
        <v>112110</v>
      </c>
      <c r="H37" t="s">
        <v>206</v>
      </c>
    </row>
    <row r="38" spans="1:8" x14ac:dyDescent="0.25">
      <c r="A38" t="s">
        <v>152</v>
      </c>
      <c r="B38" t="s">
        <v>8</v>
      </c>
      <c r="C38">
        <v>27</v>
      </c>
      <c r="D38" t="s">
        <v>16</v>
      </c>
      <c r="E38" s="6">
        <v>44061</v>
      </c>
      <c r="F38" t="s">
        <v>56</v>
      </c>
      <c r="G38">
        <v>119110</v>
      </c>
      <c r="H38" t="s">
        <v>206</v>
      </c>
    </row>
    <row r="39" spans="1:8" x14ac:dyDescent="0.25">
      <c r="A39" t="s">
        <v>150</v>
      </c>
      <c r="B39" t="s">
        <v>15</v>
      </c>
      <c r="C39">
        <v>22</v>
      </c>
      <c r="D39" t="s">
        <v>13</v>
      </c>
      <c r="E39" s="6">
        <v>44384</v>
      </c>
      <c r="F39" t="s">
        <v>19</v>
      </c>
      <c r="G39">
        <v>112780</v>
      </c>
      <c r="H39" t="s">
        <v>206</v>
      </c>
    </row>
    <row r="40" spans="1:8" x14ac:dyDescent="0.25">
      <c r="A40" t="s">
        <v>175</v>
      </c>
      <c r="B40" t="s">
        <v>8</v>
      </c>
      <c r="C40">
        <v>36</v>
      </c>
      <c r="D40" t="s">
        <v>16</v>
      </c>
      <c r="E40" s="6">
        <v>44023</v>
      </c>
      <c r="F40" t="s">
        <v>9</v>
      </c>
      <c r="G40">
        <v>114890</v>
      </c>
      <c r="H40" t="s">
        <v>206</v>
      </c>
    </row>
    <row r="41" spans="1:8" x14ac:dyDescent="0.25">
      <c r="A41" t="s">
        <v>146</v>
      </c>
      <c r="B41" t="s">
        <v>15</v>
      </c>
      <c r="C41">
        <v>27</v>
      </c>
      <c r="D41" t="s">
        <v>16</v>
      </c>
      <c r="E41" s="6">
        <v>44506</v>
      </c>
      <c r="F41" t="s">
        <v>21</v>
      </c>
      <c r="G41">
        <v>48980</v>
      </c>
      <c r="H41" t="s">
        <v>206</v>
      </c>
    </row>
    <row r="42" spans="1:8" x14ac:dyDescent="0.25">
      <c r="A42" t="s">
        <v>170</v>
      </c>
      <c r="B42" t="s">
        <v>15</v>
      </c>
      <c r="C42">
        <v>21</v>
      </c>
      <c r="D42" t="s">
        <v>16</v>
      </c>
      <c r="E42" s="6">
        <v>44180</v>
      </c>
      <c r="F42" t="s">
        <v>56</v>
      </c>
      <c r="G42">
        <v>75880</v>
      </c>
      <c r="H42" t="s">
        <v>206</v>
      </c>
    </row>
    <row r="43" spans="1:8" x14ac:dyDescent="0.25">
      <c r="A43" t="s">
        <v>167</v>
      </c>
      <c r="B43" t="s">
        <v>8</v>
      </c>
      <c r="C43">
        <v>28</v>
      </c>
      <c r="D43" t="s">
        <v>16</v>
      </c>
      <c r="E43" s="6">
        <v>44296</v>
      </c>
      <c r="F43" t="s">
        <v>19</v>
      </c>
      <c r="G43">
        <v>53240</v>
      </c>
      <c r="H43" t="s">
        <v>206</v>
      </c>
    </row>
    <row r="44" spans="1:8" x14ac:dyDescent="0.25">
      <c r="A44" t="s">
        <v>122</v>
      </c>
      <c r="B44" t="s">
        <v>8</v>
      </c>
      <c r="C44">
        <v>34</v>
      </c>
      <c r="D44" t="s">
        <v>16</v>
      </c>
      <c r="E44" s="6">
        <v>44397</v>
      </c>
      <c r="F44" t="s">
        <v>21</v>
      </c>
      <c r="G44">
        <v>85000</v>
      </c>
      <c r="H44" t="s">
        <v>206</v>
      </c>
    </row>
    <row r="45" spans="1:8" x14ac:dyDescent="0.25">
      <c r="A45" t="s">
        <v>179</v>
      </c>
      <c r="B45" t="s">
        <v>8</v>
      </c>
      <c r="C45">
        <v>21</v>
      </c>
      <c r="D45" t="s">
        <v>16</v>
      </c>
      <c r="E45" s="6">
        <v>44619</v>
      </c>
      <c r="F45" t="s">
        <v>12</v>
      </c>
      <c r="G45">
        <v>33920</v>
      </c>
      <c r="H45" t="s">
        <v>206</v>
      </c>
    </row>
    <row r="46" spans="1:8" x14ac:dyDescent="0.25">
      <c r="A46" t="s">
        <v>188</v>
      </c>
      <c r="B46" t="s">
        <v>8</v>
      </c>
      <c r="C46">
        <v>33</v>
      </c>
      <c r="D46" t="s">
        <v>16</v>
      </c>
      <c r="E46" s="6">
        <v>44253</v>
      </c>
      <c r="F46" t="s">
        <v>12</v>
      </c>
      <c r="G46">
        <v>75280</v>
      </c>
      <c r="H46" t="s">
        <v>206</v>
      </c>
    </row>
    <row r="47" spans="1:8" x14ac:dyDescent="0.25">
      <c r="A47" t="s">
        <v>130</v>
      </c>
      <c r="B47" t="s">
        <v>8</v>
      </c>
      <c r="C47">
        <v>34</v>
      </c>
      <c r="D47" t="s">
        <v>16</v>
      </c>
      <c r="E47" s="6">
        <v>44594</v>
      </c>
      <c r="F47" t="s">
        <v>21</v>
      </c>
      <c r="G47">
        <v>58940</v>
      </c>
      <c r="H47" t="s">
        <v>206</v>
      </c>
    </row>
    <row r="48" spans="1:8" x14ac:dyDescent="0.25">
      <c r="A48" t="s">
        <v>136</v>
      </c>
      <c r="B48" t="s">
        <v>8</v>
      </c>
      <c r="C48">
        <v>28</v>
      </c>
      <c r="D48" t="s">
        <v>16</v>
      </c>
      <c r="E48" s="6">
        <v>44425</v>
      </c>
      <c r="F48" t="s">
        <v>9</v>
      </c>
      <c r="G48">
        <v>104770</v>
      </c>
      <c r="H48" t="s">
        <v>206</v>
      </c>
    </row>
    <row r="49" spans="1:8" x14ac:dyDescent="0.25">
      <c r="A49" t="s">
        <v>125</v>
      </c>
      <c r="B49" t="s">
        <v>15</v>
      </c>
      <c r="C49">
        <v>21</v>
      </c>
      <c r="D49" t="s">
        <v>16</v>
      </c>
      <c r="E49" s="6">
        <v>44701</v>
      </c>
      <c r="F49" t="s">
        <v>9</v>
      </c>
      <c r="G49">
        <v>57090</v>
      </c>
      <c r="H49" t="s">
        <v>206</v>
      </c>
    </row>
    <row r="50" spans="1:8" x14ac:dyDescent="0.25">
      <c r="A50" t="s">
        <v>160</v>
      </c>
      <c r="B50" t="s">
        <v>15</v>
      </c>
      <c r="C50">
        <v>27</v>
      </c>
      <c r="D50" t="s">
        <v>13</v>
      </c>
      <c r="E50" s="6">
        <v>44174</v>
      </c>
      <c r="F50" t="s">
        <v>21</v>
      </c>
      <c r="G50">
        <v>91650</v>
      </c>
      <c r="H50" t="s">
        <v>206</v>
      </c>
    </row>
    <row r="51" spans="1:8" x14ac:dyDescent="0.25">
      <c r="A51" t="s">
        <v>183</v>
      </c>
      <c r="B51" t="s">
        <v>15</v>
      </c>
      <c r="C51">
        <v>42</v>
      </c>
      <c r="D51" t="s">
        <v>24</v>
      </c>
      <c r="E51" s="6">
        <v>44670</v>
      </c>
      <c r="F51" t="s">
        <v>21</v>
      </c>
      <c r="G51">
        <v>70270</v>
      </c>
      <c r="H51" t="s">
        <v>206</v>
      </c>
    </row>
    <row r="52" spans="1:8" x14ac:dyDescent="0.25">
      <c r="A52" t="s">
        <v>129</v>
      </c>
      <c r="B52" t="s">
        <v>8</v>
      </c>
      <c r="C52">
        <v>28</v>
      </c>
      <c r="D52" t="s">
        <v>16</v>
      </c>
      <c r="E52" s="6">
        <v>44124</v>
      </c>
      <c r="F52" t="s">
        <v>21</v>
      </c>
      <c r="G52">
        <v>75970</v>
      </c>
      <c r="H52" t="s">
        <v>206</v>
      </c>
    </row>
    <row r="53" spans="1:8" x14ac:dyDescent="0.25">
      <c r="A53" t="s">
        <v>112</v>
      </c>
      <c r="C53">
        <v>27</v>
      </c>
      <c r="D53" t="s">
        <v>13</v>
      </c>
      <c r="E53" s="6">
        <v>44212</v>
      </c>
      <c r="F53" t="s">
        <v>12</v>
      </c>
      <c r="G53">
        <v>90700</v>
      </c>
      <c r="H53" t="s">
        <v>206</v>
      </c>
    </row>
    <row r="54" spans="1:8" x14ac:dyDescent="0.25">
      <c r="A54" t="s">
        <v>131</v>
      </c>
      <c r="B54" t="s">
        <v>15</v>
      </c>
      <c r="C54">
        <v>30</v>
      </c>
      <c r="D54" t="s">
        <v>16</v>
      </c>
      <c r="E54" s="6">
        <v>44607</v>
      </c>
      <c r="F54" t="s">
        <v>9</v>
      </c>
      <c r="G54">
        <v>60570</v>
      </c>
      <c r="H54" t="s">
        <v>206</v>
      </c>
    </row>
    <row r="55" spans="1:8" x14ac:dyDescent="0.25">
      <c r="A55" t="s">
        <v>134</v>
      </c>
      <c r="B55" t="s">
        <v>15</v>
      </c>
      <c r="C55">
        <v>33</v>
      </c>
      <c r="D55" t="s">
        <v>16</v>
      </c>
      <c r="E55" s="6">
        <v>44103</v>
      </c>
      <c r="F55" t="s">
        <v>9</v>
      </c>
      <c r="G55">
        <v>115920</v>
      </c>
      <c r="H55" t="s">
        <v>206</v>
      </c>
    </row>
    <row r="56" spans="1:8" x14ac:dyDescent="0.25">
      <c r="A56" t="s">
        <v>186</v>
      </c>
      <c r="B56" t="s">
        <v>8</v>
      </c>
      <c r="C56">
        <v>33</v>
      </c>
      <c r="D56" t="s">
        <v>16</v>
      </c>
      <c r="E56" s="6">
        <v>44006</v>
      </c>
      <c r="F56" t="s">
        <v>21</v>
      </c>
      <c r="G56">
        <v>65360</v>
      </c>
      <c r="H56" t="s">
        <v>206</v>
      </c>
    </row>
    <row r="57" spans="1:8" x14ac:dyDescent="0.25">
      <c r="A57" t="s">
        <v>116</v>
      </c>
      <c r="C57">
        <v>30</v>
      </c>
      <c r="D57" t="s">
        <v>16</v>
      </c>
      <c r="E57" s="6">
        <v>44535</v>
      </c>
      <c r="F57" t="s">
        <v>21</v>
      </c>
      <c r="G57">
        <v>64000</v>
      </c>
      <c r="H57" t="s">
        <v>206</v>
      </c>
    </row>
    <row r="58" spans="1:8" x14ac:dyDescent="0.25">
      <c r="A58" t="s">
        <v>195</v>
      </c>
      <c r="B58" t="s">
        <v>8</v>
      </c>
      <c r="C58">
        <v>34</v>
      </c>
      <c r="D58" t="s">
        <v>16</v>
      </c>
      <c r="E58" s="6">
        <v>44383</v>
      </c>
      <c r="F58" t="s">
        <v>21</v>
      </c>
      <c r="G58">
        <v>92450</v>
      </c>
      <c r="H58" t="s">
        <v>206</v>
      </c>
    </row>
    <row r="59" spans="1:8" x14ac:dyDescent="0.25">
      <c r="A59" t="s">
        <v>113</v>
      </c>
      <c r="B59" t="s">
        <v>15</v>
      </c>
      <c r="C59">
        <v>31</v>
      </c>
      <c r="D59" t="s">
        <v>16</v>
      </c>
      <c r="E59" s="6">
        <v>44450</v>
      </c>
      <c r="F59" t="s">
        <v>12</v>
      </c>
      <c r="G59">
        <v>48950</v>
      </c>
      <c r="H59" t="s">
        <v>206</v>
      </c>
    </row>
    <row r="60" spans="1:8" x14ac:dyDescent="0.25">
      <c r="A60" t="s">
        <v>185</v>
      </c>
      <c r="B60" t="s">
        <v>8</v>
      </c>
      <c r="C60">
        <v>27</v>
      </c>
      <c r="D60" t="s">
        <v>16</v>
      </c>
      <c r="E60" s="6">
        <v>44625</v>
      </c>
      <c r="F60" t="s">
        <v>12</v>
      </c>
      <c r="G60">
        <v>83750</v>
      </c>
      <c r="H60" t="s">
        <v>206</v>
      </c>
    </row>
    <row r="61" spans="1:8" x14ac:dyDescent="0.25">
      <c r="A61" t="s">
        <v>166</v>
      </c>
      <c r="B61" t="s">
        <v>8</v>
      </c>
      <c r="C61">
        <v>40</v>
      </c>
      <c r="D61" t="s">
        <v>16</v>
      </c>
      <c r="E61" s="6">
        <v>44276</v>
      </c>
      <c r="F61" t="s">
        <v>12</v>
      </c>
      <c r="G61">
        <v>87620</v>
      </c>
      <c r="H61" t="s">
        <v>206</v>
      </c>
    </row>
    <row r="62" spans="1:8" x14ac:dyDescent="0.25">
      <c r="A62" t="s">
        <v>184</v>
      </c>
      <c r="B62" t="s">
        <v>8</v>
      </c>
      <c r="C62">
        <v>20</v>
      </c>
      <c r="D62" t="s">
        <v>24</v>
      </c>
      <c r="E62" s="6">
        <v>44476</v>
      </c>
      <c r="F62" t="s">
        <v>19</v>
      </c>
      <c r="G62">
        <v>68900</v>
      </c>
      <c r="H62" t="s">
        <v>206</v>
      </c>
    </row>
    <row r="63" spans="1:8" x14ac:dyDescent="0.25">
      <c r="A63" t="s">
        <v>157</v>
      </c>
      <c r="B63" t="s">
        <v>15</v>
      </c>
      <c r="C63">
        <v>32</v>
      </c>
      <c r="D63" t="s">
        <v>16</v>
      </c>
      <c r="E63" s="6">
        <v>44403</v>
      </c>
      <c r="F63" t="s">
        <v>19</v>
      </c>
      <c r="G63">
        <v>53540</v>
      </c>
      <c r="H63" t="s">
        <v>206</v>
      </c>
    </row>
    <row r="64" spans="1:8" x14ac:dyDescent="0.25">
      <c r="A64" t="s">
        <v>172</v>
      </c>
      <c r="B64" t="s">
        <v>15</v>
      </c>
      <c r="C64">
        <v>28</v>
      </c>
      <c r="D64" t="s">
        <v>42</v>
      </c>
      <c r="E64" s="6">
        <v>44758</v>
      </c>
      <c r="F64" t="s">
        <v>19</v>
      </c>
      <c r="G64">
        <v>43510</v>
      </c>
      <c r="H64" t="s">
        <v>206</v>
      </c>
    </row>
    <row r="65" spans="1:8" x14ac:dyDescent="0.25">
      <c r="A65" t="s">
        <v>127</v>
      </c>
      <c r="B65" t="s">
        <v>8</v>
      </c>
      <c r="C65">
        <v>38</v>
      </c>
      <c r="D65" t="s">
        <v>10</v>
      </c>
      <c r="E65" s="6">
        <v>44316</v>
      </c>
      <c r="F65" t="s">
        <v>19</v>
      </c>
      <c r="G65">
        <v>109160</v>
      </c>
      <c r="H65" t="s">
        <v>206</v>
      </c>
    </row>
    <row r="66" spans="1:8" x14ac:dyDescent="0.25">
      <c r="A66" t="s">
        <v>198</v>
      </c>
      <c r="B66" t="s">
        <v>15</v>
      </c>
      <c r="C66">
        <v>40</v>
      </c>
      <c r="D66" t="s">
        <v>16</v>
      </c>
      <c r="E66" s="6">
        <v>44204</v>
      </c>
      <c r="F66" t="s">
        <v>9</v>
      </c>
      <c r="G66">
        <v>99750</v>
      </c>
      <c r="H66" t="s">
        <v>206</v>
      </c>
    </row>
    <row r="67" spans="1:8" x14ac:dyDescent="0.25">
      <c r="A67" t="s">
        <v>124</v>
      </c>
      <c r="B67" t="s">
        <v>8</v>
      </c>
      <c r="C67">
        <v>31</v>
      </c>
      <c r="D67" t="s">
        <v>16</v>
      </c>
      <c r="E67" s="6">
        <v>44084</v>
      </c>
      <c r="F67" t="s">
        <v>12</v>
      </c>
      <c r="G67">
        <v>41980</v>
      </c>
      <c r="H67" t="s">
        <v>206</v>
      </c>
    </row>
    <row r="68" spans="1:8" x14ac:dyDescent="0.25">
      <c r="A68" t="s">
        <v>187</v>
      </c>
      <c r="B68" t="s">
        <v>15</v>
      </c>
      <c r="C68">
        <v>36</v>
      </c>
      <c r="D68" t="s">
        <v>16</v>
      </c>
      <c r="E68" s="6">
        <v>44272</v>
      </c>
      <c r="F68" t="s">
        <v>21</v>
      </c>
      <c r="G68">
        <v>71380</v>
      </c>
      <c r="H68" t="s">
        <v>206</v>
      </c>
    </row>
    <row r="69" spans="1:8" x14ac:dyDescent="0.25">
      <c r="A69" t="s">
        <v>191</v>
      </c>
      <c r="B69" t="s">
        <v>15</v>
      </c>
      <c r="C69">
        <v>27</v>
      </c>
      <c r="D69" t="s">
        <v>42</v>
      </c>
      <c r="E69" s="6">
        <v>44547</v>
      </c>
      <c r="F69" t="s">
        <v>9</v>
      </c>
      <c r="G69">
        <v>113280</v>
      </c>
      <c r="H69" t="s">
        <v>206</v>
      </c>
    </row>
    <row r="70" spans="1:8" x14ac:dyDescent="0.25">
      <c r="A70" t="s">
        <v>181</v>
      </c>
      <c r="B70" t="s">
        <v>8</v>
      </c>
      <c r="C70">
        <v>33</v>
      </c>
      <c r="D70" t="s">
        <v>16</v>
      </c>
      <c r="E70" s="6">
        <v>44747</v>
      </c>
      <c r="F70" t="s">
        <v>21</v>
      </c>
      <c r="G70">
        <v>86570</v>
      </c>
      <c r="H70" t="s">
        <v>206</v>
      </c>
    </row>
    <row r="71" spans="1:8" x14ac:dyDescent="0.25">
      <c r="A71" t="s">
        <v>139</v>
      </c>
      <c r="B71" t="s">
        <v>15</v>
      </c>
      <c r="C71">
        <v>26</v>
      </c>
      <c r="D71" t="s">
        <v>16</v>
      </c>
      <c r="E71" s="6">
        <v>44350</v>
      </c>
      <c r="F71" t="s">
        <v>9</v>
      </c>
      <c r="G71">
        <v>53540</v>
      </c>
      <c r="H71" t="s">
        <v>206</v>
      </c>
    </row>
    <row r="72" spans="1:8" x14ac:dyDescent="0.25">
      <c r="A72" t="s">
        <v>190</v>
      </c>
      <c r="B72" t="s">
        <v>15</v>
      </c>
      <c r="C72">
        <v>37</v>
      </c>
      <c r="D72" t="s">
        <v>16</v>
      </c>
      <c r="E72" s="6">
        <v>44640</v>
      </c>
      <c r="F72" t="s">
        <v>12</v>
      </c>
      <c r="G72">
        <v>69070</v>
      </c>
      <c r="H72" t="s">
        <v>206</v>
      </c>
    </row>
    <row r="73" spans="1:8" x14ac:dyDescent="0.25">
      <c r="A73" t="s">
        <v>121</v>
      </c>
      <c r="B73" t="s">
        <v>8</v>
      </c>
      <c r="C73">
        <v>30</v>
      </c>
      <c r="D73" t="s">
        <v>24</v>
      </c>
      <c r="E73" s="6">
        <v>44328</v>
      </c>
      <c r="F73" t="s">
        <v>21</v>
      </c>
      <c r="G73">
        <v>67910</v>
      </c>
      <c r="H73" t="s">
        <v>206</v>
      </c>
    </row>
    <row r="74" spans="1:8" x14ac:dyDescent="0.25">
      <c r="A74" t="s">
        <v>119</v>
      </c>
      <c r="B74" t="s">
        <v>15</v>
      </c>
      <c r="C74">
        <v>30</v>
      </c>
      <c r="D74" t="s">
        <v>16</v>
      </c>
      <c r="E74" s="6">
        <v>44214</v>
      </c>
      <c r="F74" t="s">
        <v>12</v>
      </c>
      <c r="G74">
        <v>69120</v>
      </c>
      <c r="H74" t="s">
        <v>206</v>
      </c>
    </row>
    <row r="75" spans="1:8" x14ac:dyDescent="0.25">
      <c r="A75" t="s">
        <v>132</v>
      </c>
      <c r="B75" t="s">
        <v>8</v>
      </c>
      <c r="C75">
        <v>34</v>
      </c>
      <c r="D75" t="s">
        <v>16</v>
      </c>
      <c r="E75" s="6">
        <v>44550</v>
      </c>
      <c r="F75" t="s">
        <v>21</v>
      </c>
      <c r="G75">
        <v>60130</v>
      </c>
      <c r="H75" t="s">
        <v>206</v>
      </c>
    </row>
    <row r="76" spans="1:8" x14ac:dyDescent="0.25">
      <c r="A76" t="s">
        <v>161</v>
      </c>
      <c r="B76" t="s">
        <v>15</v>
      </c>
      <c r="C76">
        <v>23</v>
      </c>
      <c r="D76" t="s">
        <v>16</v>
      </c>
      <c r="E76" s="6">
        <v>44378</v>
      </c>
      <c r="F76" t="s">
        <v>9</v>
      </c>
      <c r="G76">
        <v>106460</v>
      </c>
      <c r="H76" t="s">
        <v>206</v>
      </c>
    </row>
    <row r="77" spans="1:8" x14ac:dyDescent="0.25">
      <c r="A77" t="s">
        <v>148</v>
      </c>
      <c r="B77" t="s">
        <v>8</v>
      </c>
      <c r="C77">
        <v>37</v>
      </c>
      <c r="D77" t="s">
        <v>16</v>
      </c>
      <c r="E77" s="6">
        <v>44389</v>
      </c>
      <c r="F77" t="s">
        <v>56</v>
      </c>
      <c r="G77">
        <v>118100</v>
      </c>
      <c r="H77" t="s">
        <v>206</v>
      </c>
    </row>
    <row r="78" spans="1:8" x14ac:dyDescent="0.25">
      <c r="A78" t="s">
        <v>164</v>
      </c>
      <c r="B78" t="s">
        <v>8</v>
      </c>
      <c r="C78">
        <v>36</v>
      </c>
      <c r="D78" t="s">
        <v>16</v>
      </c>
      <c r="E78" s="6">
        <v>44468</v>
      </c>
      <c r="F78" t="s">
        <v>9</v>
      </c>
      <c r="G78">
        <v>78390</v>
      </c>
      <c r="H78" t="s">
        <v>206</v>
      </c>
    </row>
    <row r="79" spans="1:8" x14ac:dyDescent="0.25">
      <c r="A79" t="s">
        <v>147</v>
      </c>
      <c r="B79" t="s">
        <v>8</v>
      </c>
      <c r="C79">
        <v>30</v>
      </c>
      <c r="D79" t="s">
        <v>16</v>
      </c>
      <c r="E79" s="6">
        <v>44789</v>
      </c>
      <c r="F79" t="s">
        <v>9</v>
      </c>
      <c r="G79">
        <v>114180</v>
      </c>
      <c r="H79" t="s">
        <v>206</v>
      </c>
    </row>
    <row r="80" spans="1:8" x14ac:dyDescent="0.25">
      <c r="A80" t="s">
        <v>189</v>
      </c>
      <c r="B80" t="s">
        <v>8</v>
      </c>
      <c r="C80">
        <v>28</v>
      </c>
      <c r="D80" t="s">
        <v>16</v>
      </c>
      <c r="E80" s="6">
        <v>44590</v>
      </c>
      <c r="F80" t="s">
        <v>9</v>
      </c>
      <c r="G80">
        <v>104120</v>
      </c>
      <c r="H80" t="s">
        <v>206</v>
      </c>
    </row>
    <row r="81" spans="1:8" x14ac:dyDescent="0.25">
      <c r="A81" t="s">
        <v>138</v>
      </c>
      <c r="B81" t="s">
        <v>15</v>
      </c>
      <c r="C81">
        <v>30</v>
      </c>
      <c r="D81" t="s">
        <v>16</v>
      </c>
      <c r="E81" s="6">
        <v>44640</v>
      </c>
      <c r="F81" t="s">
        <v>9</v>
      </c>
      <c r="G81">
        <v>67950</v>
      </c>
      <c r="H81" t="s">
        <v>206</v>
      </c>
    </row>
    <row r="82" spans="1:8" x14ac:dyDescent="0.25">
      <c r="A82" t="s">
        <v>137</v>
      </c>
      <c r="B82" t="s">
        <v>8</v>
      </c>
      <c r="C82">
        <v>29</v>
      </c>
      <c r="D82" t="s">
        <v>16</v>
      </c>
      <c r="E82" s="6">
        <v>43962</v>
      </c>
      <c r="F82" t="s">
        <v>12</v>
      </c>
      <c r="G82">
        <v>34980</v>
      </c>
      <c r="H82" t="s">
        <v>206</v>
      </c>
    </row>
    <row r="83" spans="1:8" x14ac:dyDescent="0.25">
      <c r="A83" t="s">
        <v>153</v>
      </c>
      <c r="B83" t="s">
        <v>8</v>
      </c>
      <c r="C83">
        <v>24</v>
      </c>
      <c r="D83" t="s">
        <v>16</v>
      </c>
      <c r="E83" s="6">
        <v>44087</v>
      </c>
      <c r="F83" t="s">
        <v>12</v>
      </c>
      <c r="G83">
        <v>62780</v>
      </c>
      <c r="H83" t="s">
        <v>206</v>
      </c>
    </row>
    <row r="84" spans="1:8" x14ac:dyDescent="0.25">
      <c r="A84" t="s">
        <v>117</v>
      </c>
      <c r="B84" t="s">
        <v>15</v>
      </c>
      <c r="C84">
        <v>20</v>
      </c>
      <c r="D84" t="s">
        <v>16</v>
      </c>
      <c r="E84" s="6">
        <v>44397</v>
      </c>
      <c r="F84" t="s">
        <v>12</v>
      </c>
      <c r="G84">
        <v>107700</v>
      </c>
      <c r="H84" t="s">
        <v>206</v>
      </c>
    </row>
    <row r="85" spans="1:8" x14ac:dyDescent="0.25">
      <c r="A85" t="s">
        <v>168</v>
      </c>
      <c r="B85" t="s">
        <v>15</v>
      </c>
      <c r="C85">
        <v>25</v>
      </c>
      <c r="D85" t="s">
        <v>16</v>
      </c>
      <c r="E85" s="6">
        <v>44322</v>
      </c>
      <c r="F85" t="s">
        <v>19</v>
      </c>
      <c r="G85">
        <v>65700</v>
      </c>
      <c r="H85" t="s">
        <v>206</v>
      </c>
    </row>
    <row r="86" spans="1:8" x14ac:dyDescent="0.25">
      <c r="A86" t="s">
        <v>135</v>
      </c>
      <c r="B86" t="s">
        <v>8</v>
      </c>
      <c r="C86">
        <v>33</v>
      </c>
      <c r="D86" t="s">
        <v>42</v>
      </c>
      <c r="E86" s="6">
        <v>44313</v>
      </c>
      <c r="F86" t="s">
        <v>12</v>
      </c>
      <c r="G86">
        <v>75480</v>
      </c>
      <c r="H86" t="s">
        <v>206</v>
      </c>
    </row>
    <row r="87" spans="1:8" x14ac:dyDescent="0.25">
      <c r="A87" t="s">
        <v>174</v>
      </c>
      <c r="B87" t="s">
        <v>15</v>
      </c>
      <c r="C87">
        <v>33</v>
      </c>
      <c r="D87" t="s">
        <v>16</v>
      </c>
      <c r="E87" s="6">
        <v>44448</v>
      </c>
      <c r="F87" t="s">
        <v>12</v>
      </c>
      <c r="G87">
        <v>53870</v>
      </c>
      <c r="H87" t="s">
        <v>206</v>
      </c>
    </row>
    <row r="88" spans="1:8" x14ac:dyDescent="0.25">
      <c r="A88" t="s">
        <v>141</v>
      </c>
      <c r="B88" t="s">
        <v>8</v>
      </c>
      <c r="C88">
        <v>36</v>
      </c>
      <c r="D88" t="s">
        <v>16</v>
      </c>
      <c r="E88" s="6">
        <v>44433</v>
      </c>
      <c r="F88" t="s">
        <v>19</v>
      </c>
      <c r="G88">
        <v>78540</v>
      </c>
      <c r="H88" t="s">
        <v>206</v>
      </c>
    </row>
    <row r="89" spans="1:8" x14ac:dyDescent="0.25">
      <c r="A89" t="s">
        <v>193</v>
      </c>
      <c r="B89" t="s">
        <v>15</v>
      </c>
      <c r="C89">
        <v>19</v>
      </c>
      <c r="D89" t="s">
        <v>16</v>
      </c>
      <c r="E89" s="6">
        <v>44218</v>
      </c>
      <c r="F89" t="s">
        <v>9</v>
      </c>
      <c r="G89">
        <v>58960</v>
      </c>
      <c r="H89" t="s">
        <v>206</v>
      </c>
    </row>
    <row r="90" spans="1:8" x14ac:dyDescent="0.25">
      <c r="A90" t="s">
        <v>162</v>
      </c>
      <c r="B90" t="s">
        <v>15</v>
      </c>
      <c r="C90">
        <v>46</v>
      </c>
      <c r="D90" t="s">
        <v>16</v>
      </c>
      <c r="E90" s="6">
        <v>44697</v>
      </c>
      <c r="F90" t="s">
        <v>9</v>
      </c>
      <c r="G90">
        <v>70610</v>
      </c>
      <c r="H90" t="s">
        <v>206</v>
      </c>
    </row>
    <row r="91" spans="1:8" x14ac:dyDescent="0.25">
      <c r="A91" t="s">
        <v>171</v>
      </c>
      <c r="B91" t="s">
        <v>15</v>
      </c>
      <c r="C91">
        <v>33</v>
      </c>
      <c r="D91" t="s">
        <v>16</v>
      </c>
      <c r="E91" s="6">
        <v>44181</v>
      </c>
      <c r="F91" t="s">
        <v>21</v>
      </c>
      <c r="G91">
        <v>59430</v>
      </c>
      <c r="H91" t="s">
        <v>206</v>
      </c>
    </row>
    <row r="92" spans="1:8" x14ac:dyDescent="0.25">
      <c r="A92" t="s">
        <v>144</v>
      </c>
      <c r="B92" t="s">
        <v>15</v>
      </c>
      <c r="C92">
        <v>33</v>
      </c>
      <c r="D92" t="s">
        <v>13</v>
      </c>
      <c r="E92" s="6">
        <v>44640</v>
      </c>
      <c r="F92" t="s">
        <v>9</v>
      </c>
      <c r="G92">
        <v>48530</v>
      </c>
      <c r="H92" t="s">
        <v>206</v>
      </c>
    </row>
    <row r="93" spans="1:8" x14ac:dyDescent="0.25">
      <c r="A93" t="s">
        <v>163</v>
      </c>
      <c r="B93" t="s">
        <v>8</v>
      </c>
      <c r="C93">
        <v>33</v>
      </c>
      <c r="D93" t="s">
        <v>16</v>
      </c>
      <c r="E93" s="6">
        <v>44129</v>
      </c>
      <c r="F93" t="s">
        <v>12</v>
      </c>
      <c r="G93">
        <v>96140</v>
      </c>
      <c r="H93" t="s">
        <v>206</v>
      </c>
    </row>
    <row r="94" spans="1:8" x14ac:dyDescent="0.25">
      <c r="A94" t="s">
        <v>156</v>
      </c>
      <c r="B94" t="s">
        <v>15</v>
      </c>
      <c r="C94">
        <v>20</v>
      </c>
      <c r="D94" t="s">
        <v>16</v>
      </c>
      <c r="E94" s="6">
        <v>44122</v>
      </c>
      <c r="F94" t="s">
        <v>12</v>
      </c>
      <c r="G94">
        <v>112650</v>
      </c>
      <c r="H94" t="s">
        <v>206</v>
      </c>
    </row>
    <row r="95" spans="1:8" x14ac:dyDescent="0.25">
      <c r="A95" t="s">
        <v>176</v>
      </c>
      <c r="B95" t="s">
        <v>8</v>
      </c>
      <c r="C95">
        <v>32</v>
      </c>
      <c r="D95" t="s">
        <v>13</v>
      </c>
      <c r="E95" s="6">
        <v>44293</v>
      </c>
      <c r="F95" t="s">
        <v>12</v>
      </c>
      <c r="G95">
        <v>43840</v>
      </c>
      <c r="H95" t="s">
        <v>206</v>
      </c>
    </row>
    <row r="96" spans="1:8" x14ac:dyDescent="0.25">
      <c r="A96" t="s">
        <v>143</v>
      </c>
      <c r="B96" t="s">
        <v>15</v>
      </c>
      <c r="C96">
        <v>31</v>
      </c>
      <c r="D96" t="s">
        <v>16</v>
      </c>
      <c r="E96" s="6">
        <v>44663</v>
      </c>
      <c r="F96" t="s">
        <v>9</v>
      </c>
      <c r="G96">
        <v>103550</v>
      </c>
      <c r="H96" t="s">
        <v>206</v>
      </c>
    </row>
    <row r="97" spans="1:8" x14ac:dyDescent="0.25">
      <c r="A97" t="s">
        <v>201</v>
      </c>
      <c r="B97" t="s">
        <v>8</v>
      </c>
      <c r="C97">
        <v>32</v>
      </c>
      <c r="D97" t="s">
        <v>16</v>
      </c>
      <c r="E97" s="6">
        <v>44339</v>
      </c>
      <c r="F97" t="s">
        <v>56</v>
      </c>
      <c r="G97">
        <v>45510</v>
      </c>
      <c r="H97" t="s">
        <v>206</v>
      </c>
    </row>
    <row r="98" spans="1:8" x14ac:dyDescent="0.25">
      <c r="A98" t="s">
        <v>142</v>
      </c>
      <c r="C98">
        <v>37</v>
      </c>
      <c r="D98" t="s">
        <v>24</v>
      </c>
      <c r="E98" s="6">
        <v>44085</v>
      </c>
      <c r="F98" t="s">
        <v>21</v>
      </c>
      <c r="G98">
        <v>115440</v>
      </c>
      <c r="H98" t="s">
        <v>206</v>
      </c>
    </row>
    <row r="99" spans="1:8" x14ac:dyDescent="0.25">
      <c r="A99" t="s">
        <v>202</v>
      </c>
      <c r="B99" t="s">
        <v>8</v>
      </c>
      <c r="C99">
        <v>38</v>
      </c>
      <c r="D99" t="s">
        <v>13</v>
      </c>
      <c r="E99" s="6">
        <v>44268</v>
      </c>
      <c r="F99" t="s">
        <v>19</v>
      </c>
      <c r="G99">
        <v>56870</v>
      </c>
      <c r="H99" t="s">
        <v>206</v>
      </c>
    </row>
    <row r="100" spans="1:8" x14ac:dyDescent="0.25">
      <c r="A100" t="s">
        <v>169</v>
      </c>
      <c r="B100" t="s">
        <v>8</v>
      </c>
      <c r="C100">
        <v>25</v>
      </c>
      <c r="D100" t="s">
        <v>16</v>
      </c>
      <c r="E100" s="6">
        <v>44144</v>
      </c>
      <c r="F100" t="s">
        <v>19</v>
      </c>
      <c r="G100">
        <v>92700</v>
      </c>
      <c r="H100" t="s">
        <v>206</v>
      </c>
    </row>
    <row r="101" spans="1:8" x14ac:dyDescent="0.25">
      <c r="A101" t="s">
        <v>145</v>
      </c>
      <c r="C101">
        <v>32</v>
      </c>
      <c r="D101" t="s">
        <v>16</v>
      </c>
      <c r="E101" s="6">
        <v>44713</v>
      </c>
      <c r="F101" t="s">
        <v>12</v>
      </c>
      <c r="G101">
        <v>91310</v>
      </c>
      <c r="H101" t="s">
        <v>206</v>
      </c>
    </row>
    <row r="102" spans="1:8" x14ac:dyDescent="0.25">
      <c r="A102" t="s">
        <v>115</v>
      </c>
      <c r="B102" t="s">
        <v>15</v>
      </c>
      <c r="C102">
        <v>33</v>
      </c>
      <c r="D102" t="s">
        <v>16</v>
      </c>
      <c r="E102" s="6">
        <v>44324</v>
      </c>
      <c r="F102" t="s">
        <v>19</v>
      </c>
      <c r="G102">
        <v>74550</v>
      </c>
      <c r="H102" t="s">
        <v>206</v>
      </c>
    </row>
    <row r="103" spans="1:8" x14ac:dyDescent="0.25">
      <c r="A103" t="s">
        <v>128</v>
      </c>
      <c r="B103" t="s">
        <v>15</v>
      </c>
      <c r="C103">
        <v>25</v>
      </c>
      <c r="D103" t="s">
        <v>13</v>
      </c>
      <c r="E103" s="6">
        <v>44665</v>
      </c>
      <c r="F103" t="s">
        <v>9</v>
      </c>
      <c r="G103">
        <v>109190</v>
      </c>
      <c r="H103" t="s">
        <v>206</v>
      </c>
    </row>
    <row r="104" spans="1:8" x14ac:dyDescent="0.25">
      <c r="A104" t="s">
        <v>194</v>
      </c>
      <c r="B104" t="s">
        <v>8</v>
      </c>
      <c r="C104">
        <v>40</v>
      </c>
      <c r="D104" t="s">
        <v>16</v>
      </c>
      <c r="E104" s="6">
        <v>44320</v>
      </c>
      <c r="F104" t="s">
        <v>12</v>
      </c>
      <c r="G104">
        <v>104410</v>
      </c>
      <c r="H104" t="s">
        <v>206</v>
      </c>
    </row>
    <row r="105" spans="1:8" x14ac:dyDescent="0.25">
      <c r="A105" t="s">
        <v>177</v>
      </c>
      <c r="B105" t="s">
        <v>15</v>
      </c>
      <c r="C105">
        <v>30</v>
      </c>
      <c r="D105" t="s">
        <v>16</v>
      </c>
      <c r="E105" s="6">
        <v>44544</v>
      </c>
      <c r="F105" t="s">
        <v>21</v>
      </c>
      <c r="G105">
        <v>96800</v>
      </c>
      <c r="H105" t="s">
        <v>206</v>
      </c>
    </row>
    <row r="106" spans="1:8" x14ac:dyDescent="0.25">
      <c r="A106" t="s">
        <v>123</v>
      </c>
      <c r="B106" t="s">
        <v>15</v>
      </c>
      <c r="C106">
        <v>28</v>
      </c>
      <c r="D106" t="s">
        <v>13</v>
      </c>
      <c r="E106" s="6">
        <v>43980</v>
      </c>
      <c r="F106" t="s">
        <v>21</v>
      </c>
      <c r="G106">
        <v>48170</v>
      </c>
      <c r="H106" t="s">
        <v>206</v>
      </c>
    </row>
    <row r="107" spans="1:8" x14ac:dyDescent="0.25">
      <c r="A107" t="s">
        <v>140</v>
      </c>
      <c r="B107" t="s">
        <v>15</v>
      </c>
      <c r="C107">
        <v>21</v>
      </c>
      <c r="D107" t="s">
        <v>16</v>
      </c>
      <c r="E107" s="6">
        <v>44042</v>
      </c>
      <c r="F107" t="s">
        <v>9</v>
      </c>
      <c r="G107">
        <v>37920</v>
      </c>
      <c r="H107" t="s">
        <v>206</v>
      </c>
    </row>
    <row r="108" spans="1:8" x14ac:dyDescent="0.25">
      <c r="A108" t="s">
        <v>178</v>
      </c>
      <c r="B108" t="s">
        <v>15</v>
      </c>
      <c r="C108">
        <v>34</v>
      </c>
      <c r="D108" t="s">
        <v>16</v>
      </c>
      <c r="E108" s="6">
        <v>44642</v>
      </c>
      <c r="F108" t="s">
        <v>9</v>
      </c>
      <c r="G108">
        <v>112650</v>
      </c>
      <c r="H108" t="s">
        <v>206</v>
      </c>
    </row>
    <row r="109" spans="1:8" x14ac:dyDescent="0.25">
      <c r="A109" t="s">
        <v>165</v>
      </c>
      <c r="B109" t="s">
        <v>8</v>
      </c>
      <c r="C109">
        <v>34</v>
      </c>
      <c r="D109" t="s">
        <v>24</v>
      </c>
      <c r="E109" s="6">
        <v>44660</v>
      </c>
      <c r="F109" t="s">
        <v>19</v>
      </c>
      <c r="G109">
        <v>49630</v>
      </c>
      <c r="H109" t="s">
        <v>206</v>
      </c>
    </row>
    <row r="110" spans="1:8" x14ac:dyDescent="0.25">
      <c r="A110" t="s">
        <v>199</v>
      </c>
      <c r="B110" t="s">
        <v>15</v>
      </c>
      <c r="C110">
        <v>36</v>
      </c>
      <c r="D110" t="s">
        <v>16</v>
      </c>
      <c r="E110" s="6">
        <v>43958</v>
      </c>
      <c r="F110" t="s">
        <v>12</v>
      </c>
      <c r="G110">
        <v>118840</v>
      </c>
      <c r="H110" t="s">
        <v>206</v>
      </c>
    </row>
    <row r="111" spans="1:8" x14ac:dyDescent="0.25">
      <c r="A111" t="s">
        <v>159</v>
      </c>
      <c r="B111" t="s">
        <v>15</v>
      </c>
      <c r="C111">
        <v>30</v>
      </c>
      <c r="D111" t="s">
        <v>16</v>
      </c>
      <c r="E111" s="6">
        <v>44789</v>
      </c>
      <c r="F111" t="s">
        <v>12</v>
      </c>
      <c r="G111">
        <v>69710</v>
      </c>
      <c r="H111" t="s">
        <v>206</v>
      </c>
    </row>
    <row r="112" spans="1:8" x14ac:dyDescent="0.25">
      <c r="A112" t="s">
        <v>197</v>
      </c>
      <c r="B112" t="s">
        <v>15</v>
      </c>
      <c r="C112">
        <v>20</v>
      </c>
      <c r="D112" t="s">
        <v>16</v>
      </c>
      <c r="E112" s="6">
        <v>44683</v>
      </c>
      <c r="F112" t="s">
        <v>9</v>
      </c>
      <c r="G112">
        <v>79570</v>
      </c>
      <c r="H112" t="s">
        <v>206</v>
      </c>
    </row>
    <row r="113" spans="1:8" x14ac:dyDescent="0.25">
      <c r="A113" t="s">
        <v>154</v>
      </c>
      <c r="B113" t="s">
        <v>8</v>
      </c>
      <c r="C113">
        <v>22</v>
      </c>
      <c r="D113" t="s">
        <v>13</v>
      </c>
      <c r="E113" s="6">
        <v>44388</v>
      </c>
      <c r="F113" t="s">
        <v>9</v>
      </c>
      <c r="G113">
        <v>76900</v>
      </c>
      <c r="H113" t="s">
        <v>206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50291-A892-4BE9-8850-00B829F02D85}">
  <dimension ref="A1:H102"/>
  <sheetViews>
    <sheetView workbookViewId="0">
      <selection activeCell="C4" sqref="C4"/>
    </sheetView>
  </sheetViews>
  <sheetFormatPr defaultRowHeight="15" x14ac:dyDescent="0.25"/>
  <cols>
    <col min="1" max="1" width="21.42578125" style="8" bestFit="1" customWidth="1"/>
    <col min="2" max="2" width="12.28515625" style="8" bestFit="1" customWidth="1"/>
    <col min="3" max="3" width="16.28515625" style="8" bestFit="1" customWidth="1"/>
    <col min="4" max="4" width="9" style="8" bestFit="1" customWidth="1"/>
    <col min="5" max="5" width="16" style="9" bestFit="1" customWidth="1"/>
    <col min="6" max="6" width="10.85546875" style="8" bestFit="1" customWidth="1"/>
    <col min="7" max="7" width="14.28515625" style="8" bestFit="1" customWidth="1"/>
    <col min="8" max="8" width="12.5703125" style="8" bestFit="1" customWidth="1"/>
    <col min="9" max="16384" width="9.140625" style="8"/>
  </cols>
  <sheetData>
    <row r="1" spans="1:8" x14ac:dyDescent="0.25">
      <c r="A1" s="8" t="s">
        <v>0</v>
      </c>
      <c r="B1" s="8" t="s">
        <v>1</v>
      </c>
      <c r="C1" s="8" t="s">
        <v>2</v>
      </c>
      <c r="D1" s="8" t="s">
        <v>3</v>
      </c>
      <c r="E1" s="9" t="s">
        <v>4</v>
      </c>
      <c r="F1" s="8" t="s">
        <v>5</v>
      </c>
      <c r="G1" s="8" t="s">
        <v>6</v>
      </c>
      <c r="H1" s="8" t="s">
        <v>204</v>
      </c>
    </row>
    <row r="2" spans="1:8" x14ac:dyDescent="0.25">
      <c r="A2" s="11" t="s">
        <v>58</v>
      </c>
      <c r="B2" s="8" t="s">
        <v>15</v>
      </c>
      <c r="C2" s="8" t="s">
        <v>19</v>
      </c>
      <c r="D2" s="8">
        <v>22</v>
      </c>
      <c r="E2" s="9">
        <v>44446</v>
      </c>
      <c r="F2" s="8">
        <v>112780</v>
      </c>
      <c r="G2" s="8" t="s">
        <v>13</v>
      </c>
      <c r="H2" s="8" t="s">
        <v>205</v>
      </c>
    </row>
    <row r="3" spans="1:8" x14ac:dyDescent="0.25">
      <c r="A3" s="11" t="s">
        <v>70</v>
      </c>
      <c r="B3" s="8" t="s">
        <v>15</v>
      </c>
      <c r="C3" s="8" t="s">
        <v>9</v>
      </c>
      <c r="D3" s="8">
        <v>46</v>
      </c>
      <c r="E3" s="9">
        <v>44758</v>
      </c>
      <c r="F3" s="8">
        <v>70610</v>
      </c>
      <c r="G3" s="8" t="s">
        <v>16</v>
      </c>
      <c r="H3" s="8" t="s">
        <v>205</v>
      </c>
    </row>
    <row r="4" spans="1:8" x14ac:dyDescent="0.25">
      <c r="A4" s="11" t="s">
        <v>75</v>
      </c>
      <c r="B4" s="8" t="s">
        <v>8</v>
      </c>
      <c r="C4" s="8" t="s">
        <v>19</v>
      </c>
      <c r="D4" s="8">
        <v>28</v>
      </c>
      <c r="E4" s="9">
        <v>44357</v>
      </c>
      <c r="F4" s="8">
        <v>53240</v>
      </c>
      <c r="G4" s="8" t="s">
        <v>16</v>
      </c>
      <c r="H4" s="8" t="s">
        <v>205</v>
      </c>
    </row>
    <row r="5" spans="1:8" x14ac:dyDescent="0.25">
      <c r="A5" s="11" t="s">
        <v>49</v>
      </c>
      <c r="B5" s="8" t="s">
        <v>207</v>
      </c>
      <c r="C5" s="8" t="s">
        <v>21</v>
      </c>
      <c r="D5" s="8">
        <v>37</v>
      </c>
      <c r="E5" s="9">
        <v>44146</v>
      </c>
      <c r="F5" s="8">
        <v>115440</v>
      </c>
      <c r="G5" s="8" t="s">
        <v>24</v>
      </c>
      <c r="H5" s="8" t="s">
        <v>205</v>
      </c>
    </row>
    <row r="6" spans="1:8" x14ac:dyDescent="0.25">
      <c r="A6" s="11" t="s">
        <v>65</v>
      </c>
      <c r="B6" s="8" t="s">
        <v>15</v>
      </c>
      <c r="C6" s="8" t="s">
        <v>19</v>
      </c>
      <c r="D6" s="8">
        <v>32</v>
      </c>
      <c r="E6" s="9">
        <v>44465</v>
      </c>
      <c r="F6" s="8">
        <v>53540</v>
      </c>
      <c r="G6" s="8" t="s">
        <v>16</v>
      </c>
      <c r="H6" s="8" t="s">
        <v>205</v>
      </c>
    </row>
    <row r="7" spans="1:8" x14ac:dyDescent="0.25">
      <c r="A7" s="11" t="s">
        <v>81</v>
      </c>
      <c r="B7" s="8" t="s">
        <v>8</v>
      </c>
      <c r="C7" s="8" t="s">
        <v>9</v>
      </c>
      <c r="D7" s="8">
        <v>30</v>
      </c>
      <c r="E7" s="9">
        <v>44861</v>
      </c>
      <c r="F7" s="8">
        <v>112570</v>
      </c>
      <c r="G7" s="8" t="s">
        <v>16</v>
      </c>
      <c r="H7" s="8" t="s">
        <v>205</v>
      </c>
    </row>
    <row r="8" spans="1:8" x14ac:dyDescent="0.25">
      <c r="A8" s="11" t="s">
        <v>51</v>
      </c>
      <c r="B8" s="8" t="s">
        <v>15</v>
      </c>
      <c r="C8" s="8" t="s">
        <v>9</v>
      </c>
      <c r="D8" s="8">
        <v>33</v>
      </c>
      <c r="E8" s="9">
        <v>44701</v>
      </c>
      <c r="F8" s="8">
        <v>48530</v>
      </c>
      <c r="G8" s="8" t="s">
        <v>13</v>
      </c>
      <c r="H8" s="8" t="s">
        <v>205</v>
      </c>
    </row>
    <row r="9" spans="1:8" x14ac:dyDescent="0.25">
      <c r="A9" s="11" t="s">
        <v>61</v>
      </c>
      <c r="B9" s="8" t="s">
        <v>8</v>
      </c>
      <c r="C9" s="8" t="s">
        <v>12</v>
      </c>
      <c r="D9" s="8">
        <v>24</v>
      </c>
      <c r="E9" s="9">
        <v>44148</v>
      </c>
      <c r="F9" s="8">
        <v>62780</v>
      </c>
      <c r="G9" s="8" t="s">
        <v>16</v>
      </c>
      <c r="H9" s="8" t="s">
        <v>205</v>
      </c>
    </row>
    <row r="10" spans="1:8" x14ac:dyDescent="0.25">
      <c r="A10" s="11" t="s">
        <v>82</v>
      </c>
      <c r="B10" s="8" t="s">
        <v>15</v>
      </c>
      <c r="C10" s="8" t="s">
        <v>12</v>
      </c>
      <c r="D10" s="8">
        <v>33</v>
      </c>
      <c r="E10" s="9">
        <v>44509</v>
      </c>
      <c r="F10" s="8">
        <v>53870</v>
      </c>
      <c r="G10" s="8" t="s">
        <v>16</v>
      </c>
      <c r="H10" s="8" t="s">
        <v>205</v>
      </c>
    </row>
    <row r="11" spans="1:8" x14ac:dyDescent="0.25">
      <c r="A11" s="11" t="s">
        <v>60</v>
      </c>
      <c r="B11" s="8" t="s">
        <v>8</v>
      </c>
      <c r="C11" s="8" t="s">
        <v>56</v>
      </c>
      <c r="D11" s="8">
        <v>27</v>
      </c>
      <c r="E11" s="9">
        <v>44122</v>
      </c>
      <c r="F11" s="8">
        <v>119110</v>
      </c>
      <c r="G11" s="8" t="s">
        <v>16</v>
      </c>
      <c r="H11" s="8" t="s">
        <v>205</v>
      </c>
    </row>
    <row r="12" spans="1:8" x14ac:dyDescent="0.25">
      <c r="A12" s="11" t="s">
        <v>87</v>
      </c>
      <c r="B12" s="8" t="s">
        <v>15</v>
      </c>
      <c r="C12" s="8" t="s">
        <v>12</v>
      </c>
      <c r="D12" s="8">
        <v>29</v>
      </c>
      <c r="E12" s="9">
        <v>44180</v>
      </c>
      <c r="F12" s="8">
        <v>112110</v>
      </c>
      <c r="G12" s="8" t="s">
        <v>24</v>
      </c>
      <c r="H12" s="8" t="s">
        <v>205</v>
      </c>
    </row>
    <row r="13" spans="1:8" x14ac:dyDescent="0.25">
      <c r="A13" s="11" t="s">
        <v>76</v>
      </c>
      <c r="B13" s="8" t="s">
        <v>15</v>
      </c>
      <c r="C13" s="8" t="s">
        <v>19</v>
      </c>
      <c r="D13" s="8">
        <v>25</v>
      </c>
      <c r="E13" s="9">
        <v>44383</v>
      </c>
      <c r="F13" s="8">
        <v>65700</v>
      </c>
      <c r="G13" s="8" t="s">
        <v>16</v>
      </c>
      <c r="H13" s="8" t="s">
        <v>205</v>
      </c>
    </row>
    <row r="14" spans="1:8" x14ac:dyDescent="0.25">
      <c r="A14" s="11" t="s">
        <v>97</v>
      </c>
      <c r="B14" s="8" t="s">
        <v>15</v>
      </c>
      <c r="C14" s="8" t="s">
        <v>12</v>
      </c>
      <c r="D14" s="8">
        <v>37</v>
      </c>
      <c r="E14" s="9">
        <v>44701</v>
      </c>
      <c r="F14" s="8">
        <v>69070</v>
      </c>
      <c r="G14" s="8" t="s">
        <v>16</v>
      </c>
      <c r="H14" s="8" t="s">
        <v>205</v>
      </c>
    </row>
    <row r="15" spans="1:8" x14ac:dyDescent="0.25">
      <c r="A15" s="11" t="s">
        <v>22</v>
      </c>
      <c r="B15" s="8" t="s">
        <v>15</v>
      </c>
      <c r="C15" s="8" t="s">
        <v>12</v>
      </c>
      <c r="D15" s="8">
        <v>20</v>
      </c>
      <c r="E15" s="9">
        <v>44459</v>
      </c>
      <c r="F15" s="8">
        <v>107700</v>
      </c>
      <c r="G15" s="8" t="s">
        <v>16</v>
      </c>
      <c r="H15" s="8" t="s">
        <v>205</v>
      </c>
    </row>
    <row r="16" spans="1:8" x14ac:dyDescent="0.25">
      <c r="A16" s="11" t="s">
        <v>84</v>
      </c>
      <c r="B16" s="8" t="s">
        <v>8</v>
      </c>
      <c r="C16" s="8" t="s">
        <v>12</v>
      </c>
      <c r="D16" s="8">
        <v>32</v>
      </c>
      <c r="E16" s="9">
        <v>44354</v>
      </c>
      <c r="F16" s="8">
        <v>43840</v>
      </c>
      <c r="G16" s="8" t="s">
        <v>13</v>
      </c>
      <c r="H16" s="8" t="s">
        <v>205</v>
      </c>
    </row>
    <row r="17" spans="1:8" x14ac:dyDescent="0.25">
      <c r="A17" s="11" t="s">
        <v>105</v>
      </c>
      <c r="B17" s="8" t="s">
        <v>15</v>
      </c>
      <c r="C17" s="8" t="s">
        <v>9</v>
      </c>
      <c r="D17" s="8">
        <v>40</v>
      </c>
      <c r="E17" s="9">
        <v>44263</v>
      </c>
      <c r="F17" s="8">
        <v>99750</v>
      </c>
      <c r="G17" s="8" t="s">
        <v>16</v>
      </c>
      <c r="H17" s="8" t="s">
        <v>205</v>
      </c>
    </row>
    <row r="18" spans="1:8" x14ac:dyDescent="0.25">
      <c r="A18" s="11" t="s">
        <v>47</v>
      </c>
      <c r="B18" s="8" t="s">
        <v>15</v>
      </c>
      <c r="C18" s="8" t="s">
        <v>9</v>
      </c>
      <c r="D18" s="8">
        <v>21</v>
      </c>
      <c r="E18" s="9">
        <v>44104</v>
      </c>
      <c r="F18" s="8">
        <v>37920</v>
      </c>
      <c r="G18" s="8" t="s">
        <v>16</v>
      </c>
      <c r="H18" s="8" t="s">
        <v>205</v>
      </c>
    </row>
    <row r="19" spans="1:8" x14ac:dyDescent="0.25">
      <c r="A19" s="11" t="s">
        <v>31</v>
      </c>
      <c r="B19" s="8" t="s">
        <v>15</v>
      </c>
      <c r="C19" s="8" t="s">
        <v>9</v>
      </c>
      <c r="D19" s="8">
        <v>21</v>
      </c>
      <c r="E19" s="9">
        <v>44762</v>
      </c>
      <c r="F19" s="8">
        <v>57090</v>
      </c>
      <c r="G19" s="8" t="s">
        <v>16</v>
      </c>
      <c r="H19" s="8" t="s">
        <v>205</v>
      </c>
    </row>
    <row r="20" spans="1:8" x14ac:dyDescent="0.25">
      <c r="A20" s="11" t="s">
        <v>30</v>
      </c>
      <c r="B20" s="8" t="s">
        <v>8</v>
      </c>
      <c r="C20" s="8" t="s">
        <v>12</v>
      </c>
      <c r="D20" s="8">
        <v>31</v>
      </c>
      <c r="E20" s="9">
        <v>44145</v>
      </c>
      <c r="F20" s="8">
        <v>41980</v>
      </c>
      <c r="G20" s="8" t="s">
        <v>16</v>
      </c>
      <c r="H20" s="8" t="s">
        <v>205</v>
      </c>
    </row>
    <row r="21" spans="1:8" x14ac:dyDescent="0.25">
      <c r="A21" s="11" t="s">
        <v>78</v>
      </c>
      <c r="B21" s="8" t="s">
        <v>15</v>
      </c>
      <c r="C21" s="8" t="s">
        <v>56</v>
      </c>
      <c r="D21" s="8">
        <v>21</v>
      </c>
      <c r="E21" s="9">
        <v>44242</v>
      </c>
      <c r="F21" s="8">
        <v>75880</v>
      </c>
      <c r="G21" s="8" t="s">
        <v>16</v>
      </c>
      <c r="H21" s="8" t="s">
        <v>205</v>
      </c>
    </row>
    <row r="22" spans="1:8" x14ac:dyDescent="0.25">
      <c r="A22" s="11" t="s">
        <v>36</v>
      </c>
      <c r="B22" s="8" t="s">
        <v>8</v>
      </c>
      <c r="C22" s="8" t="s">
        <v>21</v>
      </c>
      <c r="D22" s="8">
        <v>34</v>
      </c>
      <c r="E22" s="9">
        <v>44653</v>
      </c>
      <c r="F22" s="8">
        <v>58940</v>
      </c>
      <c r="G22" s="8" t="s">
        <v>16</v>
      </c>
      <c r="H22" s="8" t="s">
        <v>205</v>
      </c>
    </row>
    <row r="23" spans="1:8" x14ac:dyDescent="0.25">
      <c r="A23" s="11" t="s">
        <v>27</v>
      </c>
      <c r="B23" s="8" t="s">
        <v>8</v>
      </c>
      <c r="C23" s="8" t="s">
        <v>21</v>
      </c>
      <c r="D23" s="8">
        <v>30</v>
      </c>
      <c r="E23" s="9">
        <v>44389</v>
      </c>
      <c r="F23" s="8">
        <v>67910</v>
      </c>
      <c r="G23" s="8" t="s">
        <v>24</v>
      </c>
      <c r="H23" s="8" t="s">
        <v>205</v>
      </c>
    </row>
    <row r="24" spans="1:8" x14ac:dyDescent="0.25">
      <c r="A24" s="11" t="s">
        <v>26</v>
      </c>
      <c r="B24" s="8" t="s">
        <v>8</v>
      </c>
      <c r="C24" s="8" t="s">
        <v>12</v>
      </c>
      <c r="D24" s="8">
        <v>31</v>
      </c>
      <c r="E24" s="9">
        <v>44663</v>
      </c>
      <c r="F24" s="8">
        <v>58100</v>
      </c>
      <c r="G24" s="8" t="s">
        <v>16</v>
      </c>
      <c r="H24" s="8" t="s">
        <v>205</v>
      </c>
    </row>
    <row r="25" spans="1:8" x14ac:dyDescent="0.25">
      <c r="A25" s="11" t="s">
        <v>53</v>
      </c>
      <c r="B25" s="8" t="s">
        <v>15</v>
      </c>
      <c r="C25" s="8" t="s">
        <v>21</v>
      </c>
      <c r="D25" s="8">
        <v>27</v>
      </c>
      <c r="E25" s="9">
        <v>44567</v>
      </c>
      <c r="F25" s="8">
        <v>48980</v>
      </c>
      <c r="G25" s="8" t="s">
        <v>16</v>
      </c>
      <c r="H25" s="8" t="s">
        <v>205</v>
      </c>
    </row>
    <row r="26" spans="1:8" x14ac:dyDescent="0.25">
      <c r="A26" s="11" t="s">
        <v>20</v>
      </c>
      <c r="B26" s="8" t="s">
        <v>207</v>
      </c>
      <c r="C26" s="8" t="s">
        <v>21</v>
      </c>
      <c r="D26" s="8">
        <v>30</v>
      </c>
      <c r="E26" s="9">
        <v>44597</v>
      </c>
      <c r="F26" s="8">
        <v>64000</v>
      </c>
      <c r="G26" s="8" t="s">
        <v>16</v>
      </c>
      <c r="H26" s="8" t="s">
        <v>205</v>
      </c>
    </row>
    <row r="27" spans="1:8" x14ac:dyDescent="0.25">
      <c r="A27" s="11" t="s">
        <v>7</v>
      </c>
      <c r="B27" s="8" t="s">
        <v>8</v>
      </c>
      <c r="C27" s="8" t="s">
        <v>9</v>
      </c>
      <c r="D27" s="8">
        <v>42</v>
      </c>
      <c r="E27" s="9">
        <v>44779</v>
      </c>
      <c r="F27" s="8">
        <v>75000</v>
      </c>
      <c r="G27" s="8" t="s">
        <v>10</v>
      </c>
      <c r="H27" s="8" t="s">
        <v>205</v>
      </c>
    </row>
    <row r="28" spans="1:8" x14ac:dyDescent="0.25">
      <c r="A28" s="11" t="s">
        <v>74</v>
      </c>
      <c r="B28" s="8" t="s">
        <v>8</v>
      </c>
      <c r="C28" s="8" t="s">
        <v>12</v>
      </c>
      <c r="D28" s="8">
        <v>40</v>
      </c>
      <c r="E28" s="9">
        <v>44337</v>
      </c>
      <c r="F28" s="8">
        <v>87620</v>
      </c>
      <c r="G28" s="8" t="s">
        <v>16</v>
      </c>
      <c r="H28" s="8" t="s">
        <v>205</v>
      </c>
    </row>
    <row r="29" spans="1:8" x14ac:dyDescent="0.25">
      <c r="A29" s="11" t="s">
        <v>44</v>
      </c>
      <c r="B29" s="8" t="s">
        <v>8</v>
      </c>
      <c r="C29" s="8" t="s">
        <v>12</v>
      </c>
      <c r="D29" s="8">
        <v>29</v>
      </c>
      <c r="E29" s="9">
        <v>44023</v>
      </c>
      <c r="F29" s="8">
        <v>34980</v>
      </c>
      <c r="G29" s="8" t="s">
        <v>16</v>
      </c>
      <c r="H29" s="8" t="s">
        <v>205</v>
      </c>
    </row>
    <row r="30" spans="1:8" x14ac:dyDescent="0.25">
      <c r="A30" s="11" t="s">
        <v>35</v>
      </c>
      <c r="B30" s="8" t="s">
        <v>8</v>
      </c>
      <c r="C30" s="8" t="s">
        <v>21</v>
      </c>
      <c r="D30" s="8">
        <v>28</v>
      </c>
      <c r="E30" s="9">
        <v>44185</v>
      </c>
      <c r="F30" s="8">
        <v>75970</v>
      </c>
      <c r="G30" s="8" t="s">
        <v>16</v>
      </c>
      <c r="H30" s="8" t="s">
        <v>205</v>
      </c>
    </row>
    <row r="31" spans="1:8" x14ac:dyDescent="0.25">
      <c r="A31" s="11" t="s">
        <v>38</v>
      </c>
      <c r="B31" s="8" t="s">
        <v>8</v>
      </c>
      <c r="C31" s="8" t="s">
        <v>21</v>
      </c>
      <c r="D31" s="8">
        <v>34</v>
      </c>
      <c r="E31" s="9">
        <v>44612</v>
      </c>
      <c r="F31" s="8">
        <v>60130</v>
      </c>
      <c r="G31" s="8" t="s">
        <v>16</v>
      </c>
      <c r="H31" s="8" t="s">
        <v>205</v>
      </c>
    </row>
    <row r="32" spans="1:8" x14ac:dyDescent="0.25">
      <c r="A32" s="11" t="s">
        <v>41</v>
      </c>
      <c r="B32" s="8" t="s">
        <v>8</v>
      </c>
      <c r="C32" s="8" t="s">
        <v>12</v>
      </c>
      <c r="D32" s="8">
        <v>33</v>
      </c>
      <c r="E32" s="9">
        <v>44374</v>
      </c>
      <c r="F32" s="8">
        <v>75480</v>
      </c>
      <c r="G32" s="8" t="s">
        <v>42</v>
      </c>
      <c r="H32" s="8" t="s">
        <v>205</v>
      </c>
    </row>
    <row r="33" spans="1:8" x14ac:dyDescent="0.25">
      <c r="A33" s="11" t="s">
        <v>40</v>
      </c>
      <c r="B33" s="8" t="s">
        <v>15</v>
      </c>
      <c r="C33" s="8" t="s">
        <v>9</v>
      </c>
      <c r="D33" s="8">
        <v>33</v>
      </c>
      <c r="E33" s="9">
        <v>44164</v>
      </c>
      <c r="F33" s="8">
        <v>115920</v>
      </c>
      <c r="G33" s="8" t="s">
        <v>16</v>
      </c>
      <c r="H33" s="8" t="s">
        <v>205</v>
      </c>
    </row>
    <row r="34" spans="1:8" x14ac:dyDescent="0.25">
      <c r="A34" s="11" t="s">
        <v>48</v>
      </c>
      <c r="B34" s="8" t="s">
        <v>8</v>
      </c>
      <c r="C34" s="8" t="s">
        <v>19</v>
      </c>
      <c r="D34" s="8">
        <v>36</v>
      </c>
      <c r="E34" s="9">
        <v>44494</v>
      </c>
      <c r="F34" s="8">
        <v>78540</v>
      </c>
      <c r="G34" s="8" t="s">
        <v>16</v>
      </c>
      <c r="H34" s="8" t="s">
        <v>205</v>
      </c>
    </row>
    <row r="35" spans="1:8" x14ac:dyDescent="0.25">
      <c r="A35" s="11" t="s">
        <v>34</v>
      </c>
      <c r="B35" s="8" t="s">
        <v>15</v>
      </c>
      <c r="C35" s="8" t="s">
        <v>9</v>
      </c>
      <c r="D35" s="8">
        <v>25</v>
      </c>
      <c r="E35" s="9">
        <v>44726</v>
      </c>
      <c r="F35" s="8">
        <v>109190</v>
      </c>
      <c r="G35" s="8" t="s">
        <v>13</v>
      </c>
      <c r="H35" s="8" t="s">
        <v>205</v>
      </c>
    </row>
    <row r="36" spans="1:8" x14ac:dyDescent="0.25">
      <c r="A36" s="11" t="s">
        <v>73</v>
      </c>
      <c r="B36" s="8" t="s">
        <v>8</v>
      </c>
      <c r="C36" s="8" t="s">
        <v>19</v>
      </c>
      <c r="D36" s="8">
        <v>34</v>
      </c>
      <c r="E36" s="9">
        <v>44721</v>
      </c>
      <c r="F36" s="8">
        <v>49630</v>
      </c>
      <c r="G36" s="8" t="s">
        <v>24</v>
      </c>
      <c r="H36" s="8" t="s">
        <v>205</v>
      </c>
    </row>
    <row r="37" spans="1:8" x14ac:dyDescent="0.25">
      <c r="A37" s="11" t="s">
        <v>107</v>
      </c>
      <c r="B37" s="8" t="s">
        <v>8</v>
      </c>
      <c r="C37" s="8" t="s">
        <v>9</v>
      </c>
      <c r="D37" s="8">
        <v>28</v>
      </c>
      <c r="E37" s="9">
        <v>44630</v>
      </c>
      <c r="F37" s="8">
        <v>99970</v>
      </c>
      <c r="G37" s="8" t="s">
        <v>16</v>
      </c>
      <c r="H37" s="8" t="s">
        <v>205</v>
      </c>
    </row>
    <row r="38" spans="1:8" x14ac:dyDescent="0.25">
      <c r="A38" s="11" t="s">
        <v>71</v>
      </c>
      <c r="B38" s="8" t="s">
        <v>8</v>
      </c>
      <c r="C38" s="8" t="s">
        <v>12</v>
      </c>
      <c r="D38" s="8">
        <v>33</v>
      </c>
      <c r="E38" s="9">
        <v>44190</v>
      </c>
      <c r="F38" s="8">
        <v>96140</v>
      </c>
      <c r="G38" s="8" t="s">
        <v>16</v>
      </c>
      <c r="H38" s="8" t="s">
        <v>205</v>
      </c>
    </row>
    <row r="39" spans="1:8" x14ac:dyDescent="0.25">
      <c r="A39" s="11" t="s">
        <v>50</v>
      </c>
      <c r="B39" s="8" t="s">
        <v>15</v>
      </c>
      <c r="C39" s="8" t="s">
        <v>9</v>
      </c>
      <c r="D39" s="8">
        <v>31</v>
      </c>
      <c r="E39" s="9">
        <v>44724</v>
      </c>
      <c r="F39" s="8">
        <v>103550</v>
      </c>
      <c r="G39" s="8" t="s">
        <v>16</v>
      </c>
      <c r="H39" s="8" t="s">
        <v>205</v>
      </c>
    </row>
    <row r="40" spans="1:8" x14ac:dyDescent="0.25">
      <c r="A40" s="11" t="s">
        <v>14</v>
      </c>
      <c r="B40" s="8" t="s">
        <v>15</v>
      </c>
      <c r="C40" s="8" t="s">
        <v>12</v>
      </c>
      <c r="D40" s="8">
        <v>31</v>
      </c>
      <c r="E40" s="9">
        <v>44511</v>
      </c>
      <c r="F40" s="8">
        <v>48950</v>
      </c>
      <c r="G40" s="8" t="s">
        <v>16</v>
      </c>
      <c r="H40" s="8" t="s">
        <v>205</v>
      </c>
    </row>
    <row r="41" spans="1:8" x14ac:dyDescent="0.25">
      <c r="A41" s="11" t="s">
        <v>63</v>
      </c>
      <c r="B41" s="8" t="s">
        <v>15</v>
      </c>
      <c r="C41" s="8" t="s">
        <v>21</v>
      </c>
      <c r="D41" s="8">
        <v>24</v>
      </c>
      <c r="E41" s="9">
        <v>44436</v>
      </c>
      <c r="F41" s="8">
        <v>52610</v>
      </c>
      <c r="G41" s="8" t="s">
        <v>24</v>
      </c>
      <c r="H41" s="8" t="s">
        <v>205</v>
      </c>
    </row>
    <row r="42" spans="1:8" x14ac:dyDescent="0.25">
      <c r="A42" s="11" t="s">
        <v>72</v>
      </c>
      <c r="B42" s="8" t="s">
        <v>8</v>
      </c>
      <c r="C42" s="8" t="s">
        <v>9</v>
      </c>
      <c r="D42" s="8">
        <v>36</v>
      </c>
      <c r="E42" s="9">
        <v>44529</v>
      </c>
      <c r="F42" s="8">
        <v>78390</v>
      </c>
      <c r="G42" s="8" t="s">
        <v>16</v>
      </c>
      <c r="H42" s="8" t="s">
        <v>205</v>
      </c>
    </row>
    <row r="43" spans="1:8" x14ac:dyDescent="0.25">
      <c r="A43" s="11" t="s">
        <v>88</v>
      </c>
      <c r="B43" s="8" t="s">
        <v>8</v>
      </c>
      <c r="C43" s="8" t="s">
        <v>21</v>
      </c>
      <c r="D43" s="8">
        <v>33</v>
      </c>
      <c r="E43" s="9">
        <v>44809</v>
      </c>
      <c r="F43" s="8">
        <v>86570</v>
      </c>
      <c r="G43" s="8" t="s">
        <v>16</v>
      </c>
      <c r="H43" s="8" t="s">
        <v>205</v>
      </c>
    </row>
    <row r="44" spans="1:8" x14ac:dyDescent="0.25">
      <c r="A44" s="11" t="s">
        <v>92</v>
      </c>
      <c r="B44" s="8" t="s">
        <v>8</v>
      </c>
      <c r="C44" s="8" t="s">
        <v>12</v>
      </c>
      <c r="D44" s="8">
        <v>27</v>
      </c>
      <c r="E44" s="9">
        <v>44686</v>
      </c>
      <c r="F44" s="8">
        <v>83750</v>
      </c>
      <c r="G44" s="8" t="s">
        <v>16</v>
      </c>
      <c r="H44" s="8" t="s">
        <v>205</v>
      </c>
    </row>
    <row r="45" spans="1:8" x14ac:dyDescent="0.25">
      <c r="A45" s="11" t="s">
        <v>102</v>
      </c>
      <c r="B45" s="8" t="s">
        <v>8</v>
      </c>
      <c r="C45" s="8" t="s">
        <v>21</v>
      </c>
      <c r="D45" s="8">
        <v>34</v>
      </c>
      <c r="E45" s="9">
        <v>44445</v>
      </c>
      <c r="F45" s="8">
        <v>92450</v>
      </c>
      <c r="G45" s="8" t="s">
        <v>16</v>
      </c>
      <c r="H45" s="8" t="s">
        <v>205</v>
      </c>
    </row>
    <row r="46" spans="1:8" x14ac:dyDescent="0.25">
      <c r="A46" s="11" t="s">
        <v>64</v>
      </c>
      <c r="B46" s="8" t="s">
        <v>15</v>
      </c>
      <c r="C46" s="8" t="s">
        <v>12</v>
      </c>
      <c r="D46" s="8">
        <v>20</v>
      </c>
      <c r="E46" s="9">
        <v>44183</v>
      </c>
      <c r="F46" s="8">
        <v>112650</v>
      </c>
      <c r="G46" s="8" t="s">
        <v>16</v>
      </c>
      <c r="H46" s="8" t="s">
        <v>205</v>
      </c>
    </row>
    <row r="47" spans="1:8" x14ac:dyDescent="0.25">
      <c r="A47" s="11" t="s">
        <v>104</v>
      </c>
      <c r="B47" s="8" t="s">
        <v>15</v>
      </c>
      <c r="C47" s="8" t="s">
        <v>9</v>
      </c>
      <c r="D47" s="8">
        <v>20</v>
      </c>
      <c r="E47" s="9">
        <v>44744</v>
      </c>
      <c r="F47" s="8">
        <v>79570</v>
      </c>
      <c r="G47" s="8" t="s">
        <v>16</v>
      </c>
      <c r="H47" s="8" t="s">
        <v>205</v>
      </c>
    </row>
    <row r="48" spans="1:8" x14ac:dyDescent="0.25">
      <c r="A48" s="11" t="s">
        <v>91</v>
      </c>
      <c r="B48" s="8" t="s">
        <v>8</v>
      </c>
      <c r="C48" s="8" t="s">
        <v>19</v>
      </c>
      <c r="D48" s="8">
        <v>20</v>
      </c>
      <c r="E48" s="9">
        <v>44537</v>
      </c>
      <c r="F48" s="8">
        <v>68900</v>
      </c>
      <c r="G48" s="8" t="s">
        <v>24</v>
      </c>
      <c r="H48" s="8" t="s">
        <v>205</v>
      </c>
    </row>
    <row r="49" spans="1:8" x14ac:dyDescent="0.25">
      <c r="A49" s="11" t="s">
        <v>39</v>
      </c>
      <c r="B49" s="8" t="s">
        <v>8</v>
      </c>
      <c r="C49" s="8" t="s">
        <v>12</v>
      </c>
      <c r="D49" s="8">
        <v>25</v>
      </c>
      <c r="E49" s="9">
        <v>44694</v>
      </c>
      <c r="F49" s="8">
        <v>80700</v>
      </c>
      <c r="G49" s="8" t="s">
        <v>13</v>
      </c>
      <c r="H49" s="8" t="s">
        <v>205</v>
      </c>
    </row>
    <row r="50" spans="1:8" x14ac:dyDescent="0.25">
      <c r="A50" s="11" t="s">
        <v>100</v>
      </c>
      <c r="B50" s="8" t="s">
        <v>15</v>
      </c>
      <c r="C50" s="8" t="s">
        <v>9</v>
      </c>
      <c r="D50" s="8">
        <v>19</v>
      </c>
      <c r="E50" s="9">
        <v>44277</v>
      </c>
      <c r="F50" s="8">
        <v>58960</v>
      </c>
      <c r="G50" s="8" t="s">
        <v>16</v>
      </c>
      <c r="H50" s="8" t="s">
        <v>205</v>
      </c>
    </row>
    <row r="51" spans="1:8" x14ac:dyDescent="0.25">
      <c r="A51" s="11" t="s">
        <v>106</v>
      </c>
      <c r="B51" s="8" t="s">
        <v>15</v>
      </c>
      <c r="C51" s="8" t="s">
        <v>12</v>
      </c>
      <c r="D51" s="8">
        <v>36</v>
      </c>
      <c r="E51" s="9">
        <v>44019</v>
      </c>
      <c r="F51" s="8">
        <v>118840</v>
      </c>
      <c r="G51" s="8" t="s">
        <v>16</v>
      </c>
      <c r="H51" s="8" t="s">
        <v>205</v>
      </c>
    </row>
    <row r="52" spans="1:8" x14ac:dyDescent="0.25">
      <c r="A52" s="11" t="s">
        <v>29</v>
      </c>
      <c r="B52" s="8" t="s">
        <v>15</v>
      </c>
      <c r="C52" s="8" t="s">
        <v>21</v>
      </c>
      <c r="D52" s="8">
        <v>28</v>
      </c>
      <c r="E52" s="9">
        <v>44041</v>
      </c>
      <c r="F52" s="8">
        <v>48170</v>
      </c>
      <c r="G52" s="8" t="s">
        <v>13</v>
      </c>
      <c r="H52" s="8" t="s">
        <v>205</v>
      </c>
    </row>
    <row r="53" spans="1:8" x14ac:dyDescent="0.25">
      <c r="A53" s="11" t="s">
        <v>108</v>
      </c>
      <c r="B53" s="8" t="s">
        <v>8</v>
      </c>
      <c r="C53" s="8" t="s">
        <v>56</v>
      </c>
      <c r="D53" s="8">
        <v>32</v>
      </c>
      <c r="E53" s="9">
        <v>44400</v>
      </c>
      <c r="F53" s="8">
        <v>45510</v>
      </c>
      <c r="G53" s="8" t="s">
        <v>16</v>
      </c>
      <c r="H53" s="8" t="s">
        <v>205</v>
      </c>
    </row>
    <row r="54" spans="1:8" x14ac:dyDescent="0.25">
      <c r="A54" s="11" t="s">
        <v>64</v>
      </c>
      <c r="B54" s="8" t="s">
        <v>15</v>
      </c>
      <c r="C54" s="8" t="s">
        <v>9</v>
      </c>
      <c r="D54" s="8">
        <v>34</v>
      </c>
      <c r="E54" s="9">
        <v>44703</v>
      </c>
      <c r="F54" s="8">
        <v>112650</v>
      </c>
      <c r="G54" s="8" t="s">
        <v>16</v>
      </c>
      <c r="H54" s="8" t="s">
        <v>205</v>
      </c>
    </row>
    <row r="55" spans="1:8" x14ac:dyDescent="0.25">
      <c r="A55" s="11" t="s">
        <v>83</v>
      </c>
      <c r="B55" s="8" t="s">
        <v>8</v>
      </c>
      <c r="C55" s="8" t="s">
        <v>9</v>
      </c>
      <c r="D55" s="8">
        <v>36</v>
      </c>
      <c r="E55" s="9">
        <v>44085</v>
      </c>
      <c r="F55" s="8">
        <v>114890</v>
      </c>
      <c r="G55" s="8" t="s">
        <v>16</v>
      </c>
      <c r="H55" s="8" t="s">
        <v>205</v>
      </c>
    </row>
    <row r="56" spans="1:8" x14ac:dyDescent="0.25">
      <c r="A56" s="11" t="s">
        <v>67</v>
      </c>
      <c r="B56" s="8" t="s">
        <v>15</v>
      </c>
      <c r="C56" s="8" t="s">
        <v>12</v>
      </c>
      <c r="D56" s="8">
        <v>30</v>
      </c>
      <c r="E56" s="9">
        <v>44850</v>
      </c>
      <c r="F56" s="8">
        <v>69710</v>
      </c>
      <c r="G56" s="8" t="s">
        <v>16</v>
      </c>
      <c r="H56" s="8" t="s">
        <v>205</v>
      </c>
    </row>
    <row r="57" spans="1:8" x14ac:dyDescent="0.25">
      <c r="A57" s="11" t="s">
        <v>94</v>
      </c>
      <c r="B57" s="8" t="s">
        <v>15</v>
      </c>
      <c r="C57" s="8" t="s">
        <v>21</v>
      </c>
      <c r="D57" s="8">
        <v>36</v>
      </c>
      <c r="E57" s="9">
        <v>44333</v>
      </c>
      <c r="F57" s="8">
        <v>71380</v>
      </c>
      <c r="G57" s="8" t="s">
        <v>16</v>
      </c>
      <c r="H57" s="8" t="s">
        <v>205</v>
      </c>
    </row>
    <row r="58" spans="1:8" x14ac:dyDescent="0.25">
      <c r="A58" s="11" t="s">
        <v>33</v>
      </c>
      <c r="B58" s="8" t="s">
        <v>8</v>
      </c>
      <c r="C58" s="8" t="s">
        <v>19</v>
      </c>
      <c r="D58" s="8">
        <v>38</v>
      </c>
      <c r="E58" s="9">
        <v>44377</v>
      </c>
      <c r="F58" s="8">
        <v>109160</v>
      </c>
      <c r="G58" s="8" t="s">
        <v>10</v>
      </c>
      <c r="H58" s="8" t="s">
        <v>205</v>
      </c>
    </row>
    <row r="59" spans="1:8" x14ac:dyDescent="0.25">
      <c r="A59" s="11" t="s">
        <v>98</v>
      </c>
      <c r="B59" s="8" t="s">
        <v>15</v>
      </c>
      <c r="C59" s="8" t="s">
        <v>9</v>
      </c>
      <c r="D59" s="8">
        <v>27</v>
      </c>
      <c r="E59" s="9">
        <v>44609</v>
      </c>
      <c r="F59" s="8">
        <v>113280</v>
      </c>
      <c r="G59" s="8" t="s">
        <v>42</v>
      </c>
      <c r="H59" s="8" t="s">
        <v>205</v>
      </c>
    </row>
    <row r="60" spans="1:8" x14ac:dyDescent="0.25">
      <c r="A60" s="11" t="s">
        <v>25</v>
      </c>
      <c r="B60" s="8" t="s">
        <v>15</v>
      </c>
      <c r="C60" s="8" t="s">
        <v>12</v>
      </c>
      <c r="D60" s="8">
        <v>30</v>
      </c>
      <c r="E60" s="9">
        <v>44273</v>
      </c>
      <c r="F60" s="8">
        <v>69120</v>
      </c>
      <c r="G60" s="8" t="s">
        <v>16</v>
      </c>
      <c r="H60" s="8" t="s">
        <v>205</v>
      </c>
    </row>
    <row r="61" spans="1:8" x14ac:dyDescent="0.25">
      <c r="A61" s="11" t="s">
        <v>55</v>
      </c>
      <c r="B61" s="8" t="s">
        <v>8</v>
      </c>
      <c r="C61" s="8" t="s">
        <v>56</v>
      </c>
      <c r="D61" s="8">
        <v>37</v>
      </c>
      <c r="E61" s="9">
        <v>44451</v>
      </c>
      <c r="F61" s="8">
        <v>118100</v>
      </c>
      <c r="G61" s="8" t="s">
        <v>16</v>
      </c>
      <c r="H61" s="8" t="s">
        <v>205</v>
      </c>
    </row>
    <row r="62" spans="1:8" x14ac:dyDescent="0.25">
      <c r="A62" s="11" t="s">
        <v>62</v>
      </c>
      <c r="B62" s="8" t="s">
        <v>8</v>
      </c>
      <c r="C62" s="8" t="s">
        <v>9</v>
      </c>
      <c r="D62" s="8">
        <v>22</v>
      </c>
      <c r="E62" s="9">
        <v>44450</v>
      </c>
      <c r="F62" s="8">
        <v>76900</v>
      </c>
      <c r="G62" s="8" t="s">
        <v>13</v>
      </c>
      <c r="H62" s="8" t="s">
        <v>205</v>
      </c>
    </row>
    <row r="63" spans="1:8" x14ac:dyDescent="0.25">
      <c r="A63" s="11" t="s">
        <v>17</v>
      </c>
      <c r="B63" s="8" t="s">
        <v>8</v>
      </c>
      <c r="C63" s="8" t="s">
        <v>12</v>
      </c>
      <c r="D63" s="8">
        <v>43</v>
      </c>
      <c r="E63" s="9">
        <v>45045</v>
      </c>
      <c r="F63" s="8">
        <v>114870</v>
      </c>
      <c r="G63" s="8" t="s">
        <v>16</v>
      </c>
      <c r="H63" s="8" t="s">
        <v>205</v>
      </c>
    </row>
    <row r="64" spans="1:8" x14ac:dyDescent="0.25">
      <c r="A64" s="11" t="s">
        <v>52</v>
      </c>
      <c r="B64" s="8" t="s">
        <v>207</v>
      </c>
      <c r="C64" s="8" t="s">
        <v>12</v>
      </c>
      <c r="D64" s="8">
        <v>32</v>
      </c>
      <c r="E64" s="9">
        <v>44774</v>
      </c>
      <c r="F64" s="8">
        <v>91310</v>
      </c>
      <c r="G64" s="8" t="s">
        <v>16</v>
      </c>
      <c r="H64" s="8" t="s">
        <v>205</v>
      </c>
    </row>
    <row r="65" spans="1:8" x14ac:dyDescent="0.25">
      <c r="A65" s="11" t="s">
        <v>43</v>
      </c>
      <c r="B65" s="8" t="s">
        <v>8</v>
      </c>
      <c r="C65" s="8" t="s">
        <v>9</v>
      </c>
      <c r="D65" s="8">
        <v>28</v>
      </c>
      <c r="E65" s="9">
        <v>44486</v>
      </c>
      <c r="F65" s="8">
        <v>104770</v>
      </c>
      <c r="G65" s="8" t="s">
        <v>16</v>
      </c>
      <c r="H65" s="8" t="s">
        <v>205</v>
      </c>
    </row>
    <row r="66" spans="1:8" x14ac:dyDescent="0.25">
      <c r="A66" s="11" t="s">
        <v>89</v>
      </c>
      <c r="B66" s="8" t="s">
        <v>15</v>
      </c>
      <c r="C66" s="8" t="s">
        <v>19</v>
      </c>
      <c r="D66" s="8">
        <v>27</v>
      </c>
      <c r="E66" s="9">
        <v>44134</v>
      </c>
      <c r="F66" s="8">
        <v>54970</v>
      </c>
      <c r="G66" s="8" t="s">
        <v>16</v>
      </c>
      <c r="H66" s="8" t="s">
        <v>205</v>
      </c>
    </row>
    <row r="67" spans="1:8" x14ac:dyDescent="0.25">
      <c r="A67" s="11" t="s">
        <v>11</v>
      </c>
      <c r="B67" s="8" t="s">
        <v>207</v>
      </c>
      <c r="C67" s="8" t="s">
        <v>12</v>
      </c>
      <c r="D67" s="8">
        <v>26</v>
      </c>
      <c r="E67" s="9">
        <v>44271</v>
      </c>
      <c r="F67" s="8">
        <v>90700</v>
      </c>
      <c r="G67" s="8" t="s">
        <v>13</v>
      </c>
      <c r="H67" s="8" t="s">
        <v>205</v>
      </c>
    </row>
    <row r="68" spans="1:8" x14ac:dyDescent="0.25">
      <c r="A68" s="11" t="s">
        <v>109</v>
      </c>
      <c r="B68" s="8" t="s">
        <v>8</v>
      </c>
      <c r="C68" s="8" t="s">
        <v>19</v>
      </c>
      <c r="D68" s="8">
        <v>38</v>
      </c>
      <c r="E68" s="9">
        <v>44329</v>
      </c>
      <c r="F68" s="8">
        <v>56870</v>
      </c>
      <c r="G68" s="8" t="s">
        <v>13</v>
      </c>
      <c r="H68" s="8" t="s">
        <v>205</v>
      </c>
    </row>
    <row r="69" spans="1:8" x14ac:dyDescent="0.25">
      <c r="A69" s="11" t="s">
        <v>77</v>
      </c>
      <c r="B69" s="8" t="s">
        <v>8</v>
      </c>
      <c r="C69" s="8" t="s">
        <v>19</v>
      </c>
      <c r="D69" s="8">
        <v>25</v>
      </c>
      <c r="E69" s="9">
        <v>44205</v>
      </c>
      <c r="F69" s="8">
        <v>92700</v>
      </c>
      <c r="G69" s="8" t="s">
        <v>16</v>
      </c>
      <c r="H69" s="8" t="s">
        <v>205</v>
      </c>
    </row>
    <row r="70" spans="1:8" x14ac:dyDescent="0.25">
      <c r="A70" s="11" t="s">
        <v>32</v>
      </c>
      <c r="B70" s="8" t="s">
        <v>8</v>
      </c>
      <c r="C70" s="8" t="s">
        <v>21</v>
      </c>
      <c r="D70" s="8">
        <v>21</v>
      </c>
      <c r="E70" s="9">
        <v>44317</v>
      </c>
      <c r="F70" s="8">
        <v>65920</v>
      </c>
      <c r="G70" s="8" t="s">
        <v>16</v>
      </c>
      <c r="H70" s="8" t="s">
        <v>205</v>
      </c>
    </row>
    <row r="71" spans="1:8" x14ac:dyDescent="0.25">
      <c r="A71" s="11" t="s">
        <v>59</v>
      </c>
      <c r="B71" s="8" t="s">
        <v>15</v>
      </c>
      <c r="C71" s="8" t="s">
        <v>9</v>
      </c>
      <c r="D71" s="8">
        <v>26</v>
      </c>
      <c r="E71" s="9">
        <v>44225</v>
      </c>
      <c r="F71" s="8">
        <v>47360</v>
      </c>
      <c r="G71" s="8" t="s">
        <v>16</v>
      </c>
      <c r="H71" s="8" t="s">
        <v>205</v>
      </c>
    </row>
    <row r="72" spans="1:8" x14ac:dyDescent="0.25">
      <c r="A72" s="11" t="s">
        <v>37</v>
      </c>
      <c r="B72" s="8" t="s">
        <v>15</v>
      </c>
      <c r="C72" s="8" t="s">
        <v>9</v>
      </c>
      <c r="D72" s="8">
        <v>30</v>
      </c>
      <c r="E72" s="9">
        <v>44666</v>
      </c>
      <c r="F72" s="8">
        <v>60570</v>
      </c>
      <c r="G72" s="8" t="s">
        <v>16</v>
      </c>
      <c r="H72" s="8" t="s">
        <v>205</v>
      </c>
    </row>
    <row r="73" spans="1:8" x14ac:dyDescent="0.25">
      <c r="A73" s="11" t="s">
        <v>96</v>
      </c>
      <c r="B73" s="8" t="s">
        <v>8</v>
      </c>
      <c r="C73" s="8" t="s">
        <v>9</v>
      </c>
      <c r="D73" s="8">
        <v>28</v>
      </c>
      <c r="E73" s="9">
        <v>44649</v>
      </c>
      <c r="F73" s="8">
        <v>104120</v>
      </c>
      <c r="G73" s="8" t="s">
        <v>16</v>
      </c>
      <c r="H73" s="8" t="s">
        <v>205</v>
      </c>
    </row>
    <row r="74" spans="1:8" x14ac:dyDescent="0.25">
      <c r="A74" s="11" t="s">
        <v>23</v>
      </c>
      <c r="B74" s="8" t="s">
        <v>15</v>
      </c>
      <c r="C74" s="8" t="s">
        <v>12</v>
      </c>
      <c r="D74" s="8">
        <v>37</v>
      </c>
      <c r="E74" s="9">
        <v>44338</v>
      </c>
      <c r="F74" s="8">
        <v>88050</v>
      </c>
      <c r="G74" s="8" t="s">
        <v>24</v>
      </c>
      <c r="H74" s="8" t="s">
        <v>205</v>
      </c>
    </row>
    <row r="75" spans="1:8" x14ac:dyDescent="0.25">
      <c r="A75" s="11" t="s">
        <v>103</v>
      </c>
      <c r="B75" s="8" t="s">
        <v>15</v>
      </c>
      <c r="C75" s="8" t="s">
        <v>12</v>
      </c>
      <c r="D75" s="8">
        <v>24</v>
      </c>
      <c r="E75" s="9">
        <v>44686</v>
      </c>
      <c r="F75" s="8">
        <v>100420</v>
      </c>
      <c r="G75" s="8" t="s">
        <v>16</v>
      </c>
      <c r="H75" s="8" t="s">
        <v>205</v>
      </c>
    </row>
    <row r="76" spans="1:8" x14ac:dyDescent="0.25">
      <c r="A76" s="11" t="s">
        <v>54</v>
      </c>
      <c r="B76" s="8" t="s">
        <v>8</v>
      </c>
      <c r="C76" s="8" t="s">
        <v>9</v>
      </c>
      <c r="D76" s="8">
        <v>30</v>
      </c>
      <c r="E76" s="9">
        <v>44850</v>
      </c>
      <c r="F76" s="8">
        <v>114180</v>
      </c>
      <c r="G76" s="8" t="s">
        <v>16</v>
      </c>
      <c r="H76" s="8" t="s">
        <v>205</v>
      </c>
    </row>
    <row r="77" spans="1:8" x14ac:dyDescent="0.25">
      <c r="A77" s="11" t="s">
        <v>86</v>
      </c>
      <c r="B77" s="8" t="s">
        <v>8</v>
      </c>
      <c r="C77" s="8" t="s">
        <v>12</v>
      </c>
      <c r="D77" s="8">
        <v>21</v>
      </c>
      <c r="E77" s="9">
        <v>44678</v>
      </c>
      <c r="F77" s="8">
        <v>33920</v>
      </c>
      <c r="G77" s="8" t="s">
        <v>16</v>
      </c>
      <c r="H77" s="8" t="s">
        <v>205</v>
      </c>
    </row>
    <row r="78" spans="1:8" x14ac:dyDescent="0.25">
      <c r="A78" s="11" t="s">
        <v>69</v>
      </c>
      <c r="B78" s="8" t="s">
        <v>15</v>
      </c>
      <c r="C78" s="8" t="s">
        <v>9</v>
      </c>
      <c r="D78" s="8">
        <v>23</v>
      </c>
      <c r="E78" s="9">
        <v>44440</v>
      </c>
      <c r="F78" s="8">
        <v>106460</v>
      </c>
      <c r="G78" s="8" t="s">
        <v>16</v>
      </c>
      <c r="H78" s="8" t="s">
        <v>205</v>
      </c>
    </row>
    <row r="79" spans="1:8" x14ac:dyDescent="0.25">
      <c r="A79" s="11" t="s">
        <v>57</v>
      </c>
      <c r="B79" s="8" t="s">
        <v>15</v>
      </c>
      <c r="C79" s="8" t="s">
        <v>9</v>
      </c>
      <c r="D79" s="8">
        <v>35</v>
      </c>
      <c r="E79" s="9">
        <v>44727</v>
      </c>
      <c r="F79" s="8">
        <v>40400</v>
      </c>
      <c r="G79" s="8" t="s">
        <v>16</v>
      </c>
      <c r="H79" s="8" t="s">
        <v>205</v>
      </c>
    </row>
    <row r="80" spans="1:8" x14ac:dyDescent="0.25">
      <c r="A80" s="11" t="s">
        <v>68</v>
      </c>
      <c r="B80" s="8" t="s">
        <v>15</v>
      </c>
      <c r="C80" s="8" t="s">
        <v>21</v>
      </c>
      <c r="D80" s="8">
        <v>27</v>
      </c>
      <c r="E80" s="9">
        <v>44236</v>
      </c>
      <c r="F80" s="8">
        <v>91650</v>
      </c>
      <c r="G80" s="8" t="s">
        <v>13</v>
      </c>
      <c r="H80" s="8" t="s">
        <v>205</v>
      </c>
    </row>
    <row r="81" spans="1:8" x14ac:dyDescent="0.25">
      <c r="A81" s="11" t="s">
        <v>99</v>
      </c>
      <c r="B81" s="8" t="s">
        <v>15</v>
      </c>
      <c r="C81" s="8" t="s">
        <v>19</v>
      </c>
      <c r="D81" s="8">
        <v>43</v>
      </c>
      <c r="E81" s="9">
        <v>44620</v>
      </c>
      <c r="F81" s="8">
        <v>36040</v>
      </c>
      <c r="G81" s="8" t="s">
        <v>16</v>
      </c>
      <c r="H81" s="8" t="s">
        <v>205</v>
      </c>
    </row>
    <row r="82" spans="1:8" x14ac:dyDescent="0.25">
      <c r="A82" s="11" t="s">
        <v>101</v>
      </c>
      <c r="B82" s="8" t="s">
        <v>8</v>
      </c>
      <c r="C82" s="8" t="s">
        <v>12</v>
      </c>
      <c r="D82" s="8">
        <v>40</v>
      </c>
      <c r="E82" s="9">
        <v>44381</v>
      </c>
      <c r="F82" s="8">
        <v>104410</v>
      </c>
      <c r="G82" s="8" t="s">
        <v>16</v>
      </c>
      <c r="H82" s="8" t="s">
        <v>205</v>
      </c>
    </row>
    <row r="83" spans="1:8" x14ac:dyDescent="0.25">
      <c r="A83" s="11" t="s">
        <v>85</v>
      </c>
      <c r="B83" s="8" t="s">
        <v>15</v>
      </c>
      <c r="C83" s="8" t="s">
        <v>21</v>
      </c>
      <c r="D83" s="8">
        <v>30</v>
      </c>
      <c r="E83" s="9">
        <v>44606</v>
      </c>
      <c r="F83" s="8">
        <v>96800</v>
      </c>
      <c r="G83" s="8" t="s">
        <v>16</v>
      </c>
      <c r="H83" s="8" t="s">
        <v>205</v>
      </c>
    </row>
    <row r="84" spans="1:8" x14ac:dyDescent="0.25">
      <c r="A84" s="11" t="s">
        <v>28</v>
      </c>
      <c r="B84" s="8" t="s">
        <v>8</v>
      </c>
      <c r="C84" s="8" t="s">
        <v>21</v>
      </c>
      <c r="D84" s="8">
        <v>34</v>
      </c>
      <c r="E84" s="9">
        <v>44459</v>
      </c>
      <c r="F84" s="8">
        <v>85000</v>
      </c>
      <c r="G84" s="8" t="s">
        <v>16</v>
      </c>
      <c r="H84" s="8" t="s">
        <v>205</v>
      </c>
    </row>
    <row r="85" spans="1:8" x14ac:dyDescent="0.25">
      <c r="A85" s="11" t="s">
        <v>80</v>
      </c>
      <c r="B85" s="8" t="s">
        <v>15</v>
      </c>
      <c r="C85" s="8" t="s">
        <v>19</v>
      </c>
      <c r="D85" s="8">
        <v>28</v>
      </c>
      <c r="E85" s="9">
        <v>44820</v>
      </c>
      <c r="F85" s="8">
        <v>43510</v>
      </c>
      <c r="G85" s="8" t="s">
        <v>42</v>
      </c>
      <c r="H85" s="8" t="s">
        <v>205</v>
      </c>
    </row>
    <row r="86" spans="1:8" x14ac:dyDescent="0.25">
      <c r="A86" s="11" t="s">
        <v>79</v>
      </c>
      <c r="B86" s="8" t="s">
        <v>15</v>
      </c>
      <c r="C86" s="8" t="s">
        <v>21</v>
      </c>
      <c r="D86" s="8">
        <v>33</v>
      </c>
      <c r="E86" s="9">
        <v>44243</v>
      </c>
      <c r="F86" s="8">
        <v>59430</v>
      </c>
      <c r="G86" s="8" t="s">
        <v>16</v>
      </c>
      <c r="H86" s="8" t="s">
        <v>205</v>
      </c>
    </row>
    <row r="87" spans="1:8" x14ac:dyDescent="0.25">
      <c r="A87" s="11" t="s">
        <v>93</v>
      </c>
      <c r="B87" s="8" t="s">
        <v>8</v>
      </c>
      <c r="C87" s="8" t="s">
        <v>21</v>
      </c>
      <c r="D87" s="8">
        <v>33</v>
      </c>
      <c r="E87" s="9">
        <v>44067</v>
      </c>
      <c r="F87" s="8">
        <v>65360</v>
      </c>
      <c r="G87" s="8" t="s">
        <v>16</v>
      </c>
      <c r="H87" s="8" t="s">
        <v>205</v>
      </c>
    </row>
    <row r="88" spans="1:8" x14ac:dyDescent="0.25">
      <c r="A88" s="11" t="s">
        <v>66</v>
      </c>
      <c r="B88" s="8" t="s">
        <v>8</v>
      </c>
      <c r="C88" s="8" t="s">
        <v>9</v>
      </c>
      <c r="D88" s="8">
        <v>32</v>
      </c>
      <c r="E88" s="9">
        <v>44611</v>
      </c>
      <c r="F88" s="8">
        <v>41570</v>
      </c>
      <c r="G88" s="8" t="s">
        <v>16</v>
      </c>
      <c r="H88" s="8" t="s">
        <v>205</v>
      </c>
    </row>
    <row r="89" spans="1:8" x14ac:dyDescent="0.25">
      <c r="A89" s="11" t="s">
        <v>95</v>
      </c>
      <c r="B89" s="8" t="s">
        <v>8</v>
      </c>
      <c r="C89" s="8" t="s">
        <v>12</v>
      </c>
      <c r="D89" s="8">
        <v>33</v>
      </c>
      <c r="E89" s="9">
        <v>44312</v>
      </c>
      <c r="F89" s="8">
        <v>75280</v>
      </c>
      <c r="G89" s="8" t="s">
        <v>16</v>
      </c>
      <c r="H89" s="8" t="s">
        <v>205</v>
      </c>
    </row>
    <row r="90" spans="1:8" x14ac:dyDescent="0.25">
      <c r="A90" s="11" t="s">
        <v>18</v>
      </c>
      <c r="B90" s="8" t="s">
        <v>15</v>
      </c>
      <c r="C90" s="8" t="s">
        <v>19</v>
      </c>
      <c r="D90" s="8">
        <v>33</v>
      </c>
      <c r="E90" s="9">
        <v>44385</v>
      </c>
      <c r="F90" s="8">
        <v>74550</v>
      </c>
      <c r="G90" s="8" t="s">
        <v>16</v>
      </c>
      <c r="H90" s="8" t="s">
        <v>205</v>
      </c>
    </row>
    <row r="91" spans="1:8" x14ac:dyDescent="0.25">
      <c r="A91" s="11" t="s">
        <v>45</v>
      </c>
      <c r="B91" s="8" t="s">
        <v>15</v>
      </c>
      <c r="C91" s="8" t="s">
        <v>9</v>
      </c>
      <c r="D91" s="8">
        <v>30</v>
      </c>
      <c r="E91" s="9">
        <v>44701</v>
      </c>
      <c r="F91" s="8">
        <v>67950</v>
      </c>
      <c r="G91" s="8" t="s">
        <v>16</v>
      </c>
      <c r="H91" s="8" t="s">
        <v>205</v>
      </c>
    </row>
    <row r="92" spans="1:8" x14ac:dyDescent="0.25">
      <c r="A92" s="11" t="s">
        <v>90</v>
      </c>
      <c r="B92" s="8" t="s">
        <v>15</v>
      </c>
      <c r="C92" s="8" t="s">
        <v>21</v>
      </c>
      <c r="D92" s="8">
        <v>42</v>
      </c>
      <c r="E92" s="9">
        <v>44731</v>
      </c>
      <c r="F92" s="8">
        <v>70270</v>
      </c>
      <c r="G92" s="8" t="s">
        <v>24</v>
      </c>
      <c r="H92" s="8" t="s">
        <v>205</v>
      </c>
    </row>
    <row r="93" spans="1:8" x14ac:dyDescent="0.25">
      <c r="A93" s="11" t="s">
        <v>46</v>
      </c>
      <c r="B93" s="8" t="s">
        <v>15</v>
      </c>
      <c r="C93" s="8" t="s">
        <v>9</v>
      </c>
      <c r="D93" s="8">
        <v>26</v>
      </c>
      <c r="E93" s="9">
        <v>44411</v>
      </c>
      <c r="F93" s="8">
        <v>53540</v>
      </c>
      <c r="G93" s="8" t="s">
        <v>16</v>
      </c>
      <c r="H93" s="8" t="s">
        <v>205</v>
      </c>
    </row>
    <row r="94" spans="1:8" x14ac:dyDescent="0.25">
      <c r="A94" s="11" t="s">
        <v>58</v>
      </c>
      <c r="B94" s="8" t="s">
        <v>15</v>
      </c>
      <c r="C94" s="8" t="s">
        <v>19</v>
      </c>
      <c r="D94" s="8">
        <v>22</v>
      </c>
      <c r="E94" s="9">
        <v>44446</v>
      </c>
      <c r="F94" s="8">
        <v>112780</v>
      </c>
      <c r="G94" s="8" t="s">
        <v>13</v>
      </c>
      <c r="H94" s="8" t="s">
        <v>205</v>
      </c>
    </row>
    <row r="95" spans="1:8" x14ac:dyDescent="0.25">
      <c r="A95" s="11" t="s">
        <v>70</v>
      </c>
      <c r="B95" s="8" t="s">
        <v>15</v>
      </c>
      <c r="C95" s="8" t="s">
        <v>9</v>
      </c>
      <c r="D95" s="8">
        <v>46</v>
      </c>
      <c r="E95" s="9">
        <v>44758</v>
      </c>
      <c r="F95" s="8">
        <v>70610</v>
      </c>
      <c r="G95" s="8" t="s">
        <v>16</v>
      </c>
      <c r="H95" s="8" t="s">
        <v>205</v>
      </c>
    </row>
    <row r="96" spans="1:8" x14ac:dyDescent="0.25">
      <c r="A96" s="11" t="s">
        <v>75</v>
      </c>
      <c r="B96" s="8" t="s">
        <v>8</v>
      </c>
      <c r="C96" s="8" t="s">
        <v>19</v>
      </c>
      <c r="D96" s="8">
        <v>28</v>
      </c>
      <c r="E96" s="9">
        <v>44357</v>
      </c>
      <c r="F96" s="8">
        <v>53240</v>
      </c>
      <c r="G96" s="8" t="s">
        <v>16</v>
      </c>
      <c r="H96" s="8" t="s">
        <v>205</v>
      </c>
    </row>
    <row r="97" spans="1:8" x14ac:dyDescent="0.25">
      <c r="A97" s="11" t="s">
        <v>49</v>
      </c>
      <c r="B97" s="8" t="s">
        <v>207</v>
      </c>
      <c r="C97" s="8" t="s">
        <v>21</v>
      </c>
      <c r="D97" s="8">
        <v>37</v>
      </c>
      <c r="E97" s="9">
        <v>44146</v>
      </c>
      <c r="F97" s="8">
        <v>115440</v>
      </c>
      <c r="G97" s="8" t="s">
        <v>24</v>
      </c>
      <c r="H97" s="8" t="s">
        <v>205</v>
      </c>
    </row>
    <row r="98" spans="1:8" x14ac:dyDescent="0.25">
      <c r="A98" s="11" t="s">
        <v>65</v>
      </c>
      <c r="B98" s="8" t="s">
        <v>15</v>
      </c>
      <c r="C98" s="8" t="s">
        <v>19</v>
      </c>
      <c r="D98" s="8">
        <v>32</v>
      </c>
      <c r="E98" s="9">
        <v>44465</v>
      </c>
      <c r="F98" s="8">
        <v>53540</v>
      </c>
      <c r="G98" s="8" t="s">
        <v>16</v>
      </c>
      <c r="H98" s="8" t="s">
        <v>205</v>
      </c>
    </row>
    <row r="99" spans="1:8" x14ac:dyDescent="0.25">
      <c r="A99" s="11" t="s">
        <v>81</v>
      </c>
      <c r="B99" s="8" t="s">
        <v>8</v>
      </c>
      <c r="C99" s="8" t="s">
        <v>9</v>
      </c>
      <c r="D99" s="8">
        <v>30</v>
      </c>
      <c r="E99" s="9">
        <v>44861</v>
      </c>
      <c r="F99" s="8">
        <v>112570</v>
      </c>
      <c r="G99" s="8" t="s">
        <v>16</v>
      </c>
      <c r="H99" s="8" t="s">
        <v>205</v>
      </c>
    </row>
    <row r="100" spans="1:8" x14ac:dyDescent="0.25">
      <c r="A100" s="11" t="s">
        <v>51</v>
      </c>
      <c r="B100" s="8" t="s">
        <v>15</v>
      </c>
      <c r="C100" s="8" t="s">
        <v>9</v>
      </c>
      <c r="D100" s="8">
        <v>33</v>
      </c>
      <c r="E100" s="9">
        <v>44701</v>
      </c>
      <c r="F100" s="8">
        <v>48530</v>
      </c>
      <c r="G100" s="8" t="s">
        <v>13</v>
      </c>
      <c r="H100" s="8" t="s">
        <v>205</v>
      </c>
    </row>
    <row r="101" spans="1:8" x14ac:dyDescent="0.25">
      <c r="A101" s="11" t="s">
        <v>61</v>
      </c>
      <c r="B101" s="8" t="s">
        <v>8</v>
      </c>
      <c r="C101" s="8" t="s">
        <v>12</v>
      </c>
      <c r="D101" s="8">
        <v>24</v>
      </c>
      <c r="E101" s="9">
        <v>44148</v>
      </c>
      <c r="F101" s="8">
        <v>62780</v>
      </c>
      <c r="G101" s="8" t="s">
        <v>16</v>
      </c>
      <c r="H101" s="8" t="s">
        <v>205</v>
      </c>
    </row>
    <row r="102" spans="1:8" x14ac:dyDescent="0.25">
      <c r="A102" s="11" t="s">
        <v>203</v>
      </c>
      <c r="B102" s="8" t="s">
        <v>207</v>
      </c>
      <c r="D102" s="8">
        <v>30.52</v>
      </c>
      <c r="F102" s="8">
        <v>77472.100000000006</v>
      </c>
      <c r="G102" s="8">
        <v>100</v>
      </c>
      <c r="H102" s="8" t="s">
        <v>205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E9" sqref="E9"/>
    </sheetView>
  </sheetViews>
  <sheetFormatPr defaultRowHeight="15" x14ac:dyDescent="0.25"/>
  <cols>
    <col min="1" max="1" width="1.7109375" customWidth="1"/>
    <col min="2" max="2" width="3.7109375" customWidth="1"/>
    <col min="3" max="3" width="22.85546875" customWidth="1"/>
    <col min="4" max="4" width="12.7109375" customWidth="1"/>
    <col min="5" max="5" width="16.85546875" customWidth="1"/>
    <col min="6" max="6" width="11.42578125" customWidth="1"/>
    <col min="7" max="7" width="14.85546875" customWidth="1"/>
    <col min="8" max="8" width="12.42578125" customWidth="1"/>
    <col min="9" max="9" width="18.5703125"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C14" sqref="C14"/>
    </sheetView>
  </sheetViews>
  <sheetFormatPr defaultRowHeight="15" x14ac:dyDescent="0.25"/>
  <cols>
    <col min="2" max="2" width="30" bestFit="1" customWidth="1"/>
    <col min="3" max="3" width="10" bestFit="1" customWidth="1"/>
    <col min="4" max="4" width="9.42578125"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C69A-05BC-4A8A-9DEA-403064DFB620}">
  <dimension ref="A1:F59"/>
  <sheetViews>
    <sheetView workbookViewId="0"/>
  </sheetViews>
  <sheetFormatPr defaultRowHeight="15" x14ac:dyDescent="0.25"/>
  <cols>
    <col min="2" max="2" width="30" bestFit="1" customWidth="1"/>
    <col min="3" max="3" width="18" bestFit="1" customWidth="1"/>
    <col min="4" max="4" width="14.28515625" bestFit="1" customWidth="1"/>
    <col min="5" max="5" width="23.28515625" bestFit="1" customWidth="1"/>
    <col min="6" max="6" width="4.140625" bestFit="1" customWidth="1"/>
  </cols>
  <sheetData>
    <row r="1" spans="1:6" ht="24" thickBot="1" x14ac:dyDescent="0.4">
      <c r="A1" s="22">
        <v>3</v>
      </c>
      <c r="B1" s="24" t="s">
        <v>218</v>
      </c>
    </row>
    <row r="3" spans="1:6" ht="15.75" thickBot="1" x14ac:dyDescent="0.3"/>
    <row r="4" spans="1:6" ht="21.75" thickBot="1" x14ac:dyDescent="0.4">
      <c r="B4" s="23" t="s">
        <v>219</v>
      </c>
      <c r="C4" s="25" t="s">
        <v>12</v>
      </c>
      <c r="E4" s="26" t="s">
        <v>220</v>
      </c>
      <c r="F4" s="26">
        <f>COUNTIFS(Staff[Department],C4)</f>
        <v>54</v>
      </c>
    </row>
    <row r="6" spans="1:6" x14ac:dyDescent="0.25">
      <c r="B6" t="str" cm="1">
        <f t="array" aca="1" ref="B6:D59" ca="1">_xlfn._xlws.SORT(_xlfn.CHOOSECOLS(_xlfn._xlws.FILTER(Staff[],Staff[Department]=C4),1,6,7),2,-1)</f>
        <v>Tawnya Tickel</v>
      </c>
      <c r="C6">
        <f ca="1"/>
        <v>118840</v>
      </c>
      <c r="D6" t="str">
        <f ca="1"/>
        <v>Average</v>
      </c>
    </row>
    <row r="7" spans="1:6" x14ac:dyDescent="0.25">
      <c r="B7" t="str">
        <f ca="1"/>
        <v>Heer Pennathur</v>
      </c>
      <c r="C7">
        <f ca="1"/>
        <v>118840</v>
      </c>
      <c r="D7" t="str">
        <f ca="1"/>
        <v>Average</v>
      </c>
    </row>
    <row r="8" spans="1:6" x14ac:dyDescent="0.25">
      <c r="B8" t="str">
        <f ca="1"/>
        <v>Wilone O'Kielt</v>
      </c>
      <c r="C8">
        <f ca="1"/>
        <v>114870</v>
      </c>
      <c r="D8" t="str">
        <f ca="1"/>
        <v>Average</v>
      </c>
    </row>
    <row r="9" spans="1:6" x14ac:dyDescent="0.25">
      <c r="B9" t="str">
        <f ca="1"/>
        <v>Ramnath Ravuri</v>
      </c>
      <c r="C9">
        <f ca="1"/>
        <v>114870</v>
      </c>
      <c r="D9" t="str">
        <f ca="1"/>
        <v>Average</v>
      </c>
    </row>
    <row r="10" spans="1:6" x14ac:dyDescent="0.25">
      <c r="B10" t="str">
        <f ca="1"/>
        <v>Mollie Hanway</v>
      </c>
      <c r="C10">
        <f ca="1"/>
        <v>112650</v>
      </c>
      <c r="D10" t="str">
        <f ca="1"/>
        <v>Average</v>
      </c>
    </row>
    <row r="11" spans="1:6" x14ac:dyDescent="0.25">
      <c r="B11" t="str">
        <f ca="1"/>
        <v>Deepali Charan</v>
      </c>
      <c r="C11">
        <f ca="1"/>
        <v>112650</v>
      </c>
      <c r="D11" t="str">
        <f ca="1"/>
        <v>Average</v>
      </c>
    </row>
    <row r="12" spans="1:6" x14ac:dyDescent="0.25">
      <c r="B12" t="str">
        <f ca="1"/>
        <v>Bev Lashley</v>
      </c>
      <c r="C12">
        <f ca="1"/>
        <v>112110</v>
      </c>
      <c r="D12" t="str">
        <f ca="1"/>
        <v>Poor</v>
      </c>
    </row>
    <row r="13" spans="1:6" x14ac:dyDescent="0.25">
      <c r="B13" t="str">
        <f ca="1"/>
        <v>Narois Motiwala</v>
      </c>
      <c r="C13">
        <f ca="1"/>
        <v>112110</v>
      </c>
      <c r="D13" t="str">
        <f ca="1"/>
        <v>Poor</v>
      </c>
    </row>
    <row r="14" spans="1:6" x14ac:dyDescent="0.25">
      <c r="B14" t="str">
        <f ca="1"/>
        <v>Kaine Padly</v>
      </c>
      <c r="C14">
        <f ca="1"/>
        <v>107700</v>
      </c>
      <c r="D14" t="str">
        <f ca="1"/>
        <v>Average</v>
      </c>
    </row>
    <row r="15" spans="1:6" x14ac:dyDescent="0.25">
      <c r="B15" t="str">
        <f ca="1"/>
        <v>Hridaynath Tendulkar</v>
      </c>
      <c r="C15">
        <f ca="1"/>
        <v>107700</v>
      </c>
      <c r="D15" t="str">
        <f ca="1"/>
        <v>Average</v>
      </c>
    </row>
    <row r="16" spans="1:6" x14ac:dyDescent="0.25">
      <c r="B16" t="str">
        <f ca="1"/>
        <v>Caro Chappel</v>
      </c>
      <c r="C16">
        <f ca="1"/>
        <v>104410</v>
      </c>
      <c r="D16" t="str">
        <f ca="1"/>
        <v>Average</v>
      </c>
    </row>
    <row r="17" spans="2:4" x14ac:dyDescent="0.25">
      <c r="B17" t="str">
        <f ca="1"/>
        <v>Manjusri Ruchi</v>
      </c>
      <c r="C17">
        <f ca="1"/>
        <v>104410</v>
      </c>
      <c r="D17" t="str">
        <f ca="1"/>
        <v>Average</v>
      </c>
    </row>
    <row r="18" spans="2:4" x14ac:dyDescent="0.25">
      <c r="B18" t="str">
        <f ca="1"/>
        <v>Collin Jagson</v>
      </c>
      <c r="C18">
        <f ca="1"/>
        <v>100420</v>
      </c>
      <c r="D18" t="str">
        <f ca="1"/>
        <v>Average</v>
      </c>
    </row>
    <row r="19" spans="2:4" x14ac:dyDescent="0.25">
      <c r="B19" t="str">
        <f ca="1"/>
        <v>Amlankusum Rajabhushan</v>
      </c>
      <c r="C19">
        <f ca="1"/>
        <v>100420</v>
      </c>
      <c r="D19" t="str">
        <f ca="1"/>
        <v>Average</v>
      </c>
    </row>
    <row r="20" spans="2:4" x14ac:dyDescent="0.25">
      <c r="B20" t="str">
        <f ca="1"/>
        <v>Torrance Collier</v>
      </c>
      <c r="C20">
        <f ca="1"/>
        <v>96140</v>
      </c>
      <c r="D20" t="str">
        <f ca="1"/>
        <v>Average</v>
      </c>
    </row>
    <row r="21" spans="2:4" x14ac:dyDescent="0.25">
      <c r="B21" t="str">
        <f ca="1"/>
        <v>Sukhdev Nageshwar</v>
      </c>
      <c r="C21">
        <f ca="1"/>
        <v>96140</v>
      </c>
      <c r="D21" t="str">
        <f ca="1"/>
        <v>Average</v>
      </c>
    </row>
    <row r="22" spans="2:4" x14ac:dyDescent="0.25">
      <c r="B22" t="str">
        <f ca="1"/>
        <v>Madge McCloughen</v>
      </c>
      <c r="C22">
        <f ca="1"/>
        <v>91310</v>
      </c>
      <c r="D22" t="str">
        <f ca="1"/>
        <v>Average</v>
      </c>
    </row>
    <row r="23" spans="2:4" x14ac:dyDescent="0.25">
      <c r="B23" t="str">
        <f ca="1"/>
        <v>Rukma Vinita</v>
      </c>
      <c r="C23">
        <f ca="1"/>
        <v>91310</v>
      </c>
      <c r="D23" t="str">
        <f ca="1"/>
        <v>Average</v>
      </c>
    </row>
    <row r="24" spans="2:4" x14ac:dyDescent="0.25">
      <c r="B24" t="str">
        <f ca="1"/>
        <v>Dennison Crosswaite</v>
      </c>
      <c r="C24">
        <f ca="1"/>
        <v>90700</v>
      </c>
      <c r="D24" t="str">
        <f ca="1"/>
        <v>Above average</v>
      </c>
    </row>
    <row r="25" spans="2:4" x14ac:dyDescent="0.25">
      <c r="B25" t="str">
        <f ca="1"/>
        <v>Karuna Pashupathy</v>
      </c>
      <c r="C25">
        <f ca="1"/>
        <v>90700</v>
      </c>
      <c r="D25" t="str">
        <f ca="1"/>
        <v>Above average</v>
      </c>
    </row>
    <row r="26" spans="2:4" x14ac:dyDescent="0.25">
      <c r="B26" t="str">
        <f ca="1"/>
        <v>Ches Bonnell</v>
      </c>
      <c r="C26">
        <f ca="1"/>
        <v>88050</v>
      </c>
      <c r="D26" t="str">
        <f ca="1"/>
        <v>Poor</v>
      </c>
    </row>
    <row r="27" spans="2:4" x14ac:dyDescent="0.25">
      <c r="B27" t="str">
        <f ca="1"/>
        <v>Gangadutt Ragha</v>
      </c>
      <c r="C27">
        <f ca="1"/>
        <v>88050</v>
      </c>
      <c r="D27" t="str">
        <f ca="1"/>
        <v>Poor</v>
      </c>
    </row>
    <row r="28" spans="2:4" x14ac:dyDescent="0.25">
      <c r="B28" t="str">
        <f ca="1"/>
        <v>Merrilee Plenty</v>
      </c>
      <c r="C28">
        <f ca="1"/>
        <v>87620</v>
      </c>
      <c r="D28" t="str">
        <f ca="1"/>
        <v>Average</v>
      </c>
    </row>
    <row r="29" spans="2:4" x14ac:dyDescent="0.25">
      <c r="B29" t="str">
        <f ca="1"/>
        <v>Godavari Veena</v>
      </c>
      <c r="C29">
        <f ca="1"/>
        <v>87620</v>
      </c>
      <c r="D29" t="str">
        <f ca="1"/>
        <v>Average</v>
      </c>
    </row>
    <row r="30" spans="2:4" x14ac:dyDescent="0.25">
      <c r="B30" t="str">
        <f ca="1"/>
        <v>Agnes Collicott</v>
      </c>
      <c r="C30">
        <f ca="1"/>
        <v>83750</v>
      </c>
      <c r="D30" t="str">
        <f ca="1"/>
        <v>Average</v>
      </c>
    </row>
    <row r="31" spans="2:4" x14ac:dyDescent="0.25">
      <c r="B31" t="str">
        <f ca="1"/>
        <v>Kunja Prashanta Vibha</v>
      </c>
      <c r="C31">
        <f ca="1"/>
        <v>83750</v>
      </c>
      <c r="D31" t="str">
        <f ca="1"/>
        <v>Average</v>
      </c>
    </row>
    <row r="32" spans="2:4" x14ac:dyDescent="0.25">
      <c r="B32" t="str">
        <f ca="1"/>
        <v>Van Tuxwell</v>
      </c>
      <c r="C32">
        <f ca="1"/>
        <v>80700</v>
      </c>
      <c r="D32" t="str">
        <f ca="1"/>
        <v>Above average</v>
      </c>
    </row>
    <row r="33" spans="2:4" x14ac:dyDescent="0.25">
      <c r="B33" t="str">
        <f ca="1"/>
        <v>Bhuvan Pals</v>
      </c>
      <c r="C33">
        <f ca="1"/>
        <v>80700</v>
      </c>
      <c r="D33" t="str">
        <f ca="1"/>
        <v>Above average</v>
      </c>
    </row>
    <row r="34" spans="2:4" x14ac:dyDescent="0.25">
      <c r="B34" t="str">
        <f ca="1"/>
        <v>Camilla Castle</v>
      </c>
      <c r="C34">
        <f ca="1"/>
        <v>75480</v>
      </c>
      <c r="D34" t="str">
        <f ca="1"/>
        <v>Very poor</v>
      </c>
    </row>
    <row r="35" spans="2:4" x14ac:dyDescent="0.25">
      <c r="B35" t="str">
        <f ca="1"/>
        <v>Ayog Chakrabarti</v>
      </c>
      <c r="C35">
        <f ca="1"/>
        <v>75480</v>
      </c>
      <c r="D35" t="str">
        <f ca="1"/>
        <v>Very poor</v>
      </c>
    </row>
    <row r="36" spans="2:4" x14ac:dyDescent="0.25">
      <c r="B36" t="str">
        <f ca="1"/>
        <v>Elia Cockton</v>
      </c>
      <c r="C36">
        <f ca="1"/>
        <v>75280</v>
      </c>
      <c r="D36" t="str">
        <f ca="1"/>
        <v>Average</v>
      </c>
    </row>
    <row r="37" spans="2:4" x14ac:dyDescent="0.25">
      <c r="B37" t="str">
        <f ca="1"/>
        <v>Hemavati Muthiah</v>
      </c>
      <c r="C37">
        <f ca="1"/>
        <v>75280</v>
      </c>
      <c r="D37" t="str">
        <f ca="1"/>
        <v>Average</v>
      </c>
    </row>
    <row r="38" spans="2:4" x14ac:dyDescent="0.25">
      <c r="B38" t="str">
        <f ca="1"/>
        <v>Myer McCory</v>
      </c>
      <c r="C38">
        <f ca="1"/>
        <v>69710</v>
      </c>
      <c r="D38" t="str">
        <f ca="1"/>
        <v>Average</v>
      </c>
    </row>
    <row r="39" spans="2:4" x14ac:dyDescent="0.25">
      <c r="B39" t="str">
        <f ca="1"/>
        <v>Shekhar Eswara</v>
      </c>
      <c r="C39">
        <f ca="1"/>
        <v>69710</v>
      </c>
      <c r="D39" t="str">
        <f ca="1"/>
        <v>Average</v>
      </c>
    </row>
    <row r="40" spans="2:4" x14ac:dyDescent="0.25">
      <c r="B40" t="str">
        <f ca="1"/>
        <v>Andria Kimpton</v>
      </c>
      <c r="C40">
        <f ca="1"/>
        <v>69120</v>
      </c>
      <c r="D40" t="str">
        <f ca="1"/>
        <v>Average</v>
      </c>
    </row>
    <row r="41" spans="2:4" x14ac:dyDescent="0.25">
      <c r="B41" t="str">
        <f ca="1"/>
        <v>Rameshwari Chikodi</v>
      </c>
      <c r="C41">
        <f ca="1"/>
        <v>69120</v>
      </c>
      <c r="D41" t="str">
        <f ca="1"/>
        <v>Average</v>
      </c>
    </row>
    <row r="42" spans="2:4" x14ac:dyDescent="0.25">
      <c r="B42" t="str">
        <f ca="1"/>
        <v>Murry Dryburgh</v>
      </c>
      <c r="C42">
        <f ca="1"/>
        <v>69070</v>
      </c>
      <c r="D42" t="str">
        <f ca="1"/>
        <v>Average</v>
      </c>
    </row>
    <row r="43" spans="2:4" x14ac:dyDescent="0.25">
      <c r="B43" t="str">
        <f ca="1"/>
        <v>Jaishree Atasi Yavatkar</v>
      </c>
      <c r="C43">
        <f ca="1"/>
        <v>69070</v>
      </c>
      <c r="D43" t="str">
        <f ca="1"/>
        <v>Average</v>
      </c>
    </row>
    <row r="44" spans="2:4" x14ac:dyDescent="0.25">
      <c r="B44" t="str">
        <f ca="1"/>
        <v>Vic Radolf</v>
      </c>
      <c r="C44">
        <f ca="1"/>
        <v>62780</v>
      </c>
      <c r="D44" t="str">
        <f ca="1"/>
        <v>Average</v>
      </c>
    </row>
    <row r="45" spans="2:4" x14ac:dyDescent="0.25">
      <c r="B45" t="str">
        <f ca="1"/>
        <v>Fullara Sushanti Mokate</v>
      </c>
      <c r="C45">
        <f ca="1"/>
        <v>62780</v>
      </c>
      <c r="D45" t="str">
        <f ca="1"/>
        <v>Average</v>
      </c>
    </row>
    <row r="46" spans="2:4" x14ac:dyDescent="0.25">
      <c r="B46" t="str">
        <f ca="1"/>
        <v>Brien Boise</v>
      </c>
      <c r="C46">
        <f ca="1"/>
        <v>58100</v>
      </c>
      <c r="D46" t="str">
        <f ca="1"/>
        <v>Average</v>
      </c>
    </row>
    <row r="47" spans="2:4" x14ac:dyDescent="0.25">
      <c r="B47" t="str">
        <f ca="1"/>
        <v>Pratigya Rema</v>
      </c>
      <c r="C47">
        <f ca="1"/>
        <v>58100</v>
      </c>
      <c r="D47" t="str">
        <f ca="1"/>
        <v>Average</v>
      </c>
    </row>
    <row r="48" spans="2:4" x14ac:dyDescent="0.25">
      <c r="B48" t="str">
        <f ca="1"/>
        <v>William Reeveley</v>
      </c>
      <c r="C48">
        <f ca="1"/>
        <v>53870</v>
      </c>
      <c r="D48" t="str">
        <f ca="1"/>
        <v>Average</v>
      </c>
    </row>
    <row r="49" spans="2:4" x14ac:dyDescent="0.25">
      <c r="B49" t="str">
        <f ca="1"/>
        <v>Pragya Nilufar</v>
      </c>
      <c r="C49">
        <f ca="1"/>
        <v>53870</v>
      </c>
      <c r="D49" t="str">
        <f ca="1"/>
        <v>Average</v>
      </c>
    </row>
    <row r="50" spans="2:4" x14ac:dyDescent="0.25">
      <c r="B50" t="str">
        <f ca="1"/>
        <v>Gunar Cockshoot</v>
      </c>
      <c r="C50">
        <f ca="1"/>
        <v>48950</v>
      </c>
      <c r="D50" t="str">
        <f ca="1"/>
        <v>Average</v>
      </c>
    </row>
    <row r="51" spans="2:4" x14ac:dyDescent="0.25">
      <c r="B51" t="str">
        <f ca="1"/>
        <v>Amal Nimesh</v>
      </c>
      <c r="C51">
        <f ca="1"/>
        <v>48950</v>
      </c>
      <c r="D51" t="str">
        <f ca="1"/>
        <v>Average</v>
      </c>
    </row>
    <row r="52" spans="2:4" x14ac:dyDescent="0.25">
      <c r="B52" t="str">
        <f ca="1"/>
        <v>Kassi Jonson</v>
      </c>
      <c r="C52">
        <f ca="1"/>
        <v>43840</v>
      </c>
      <c r="D52" t="str">
        <f ca="1"/>
        <v>Above average</v>
      </c>
    </row>
    <row r="53" spans="2:4" x14ac:dyDescent="0.25">
      <c r="B53" t="str">
        <f ca="1"/>
        <v>Yagna Sujeev</v>
      </c>
      <c r="C53">
        <f ca="1"/>
        <v>43840</v>
      </c>
      <c r="D53" t="str">
        <f ca="1"/>
        <v>Above average</v>
      </c>
    </row>
    <row r="54" spans="2:4" x14ac:dyDescent="0.25">
      <c r="B54" t="str">
        <f ca="1"/>
        <v>Dotty Strutley</v>
      </c>
      <c r="C54">
        <f ca="1"/>
        <v>41980</v>
      </c>
      <c r="D54" t="str">
        <f ca="1"/>
        <v>Average</v>
      </c>
    </row>
    <row r="55" spans="2:4" x14ac:dyDescent="0.25">
      <c r="B55" t="str">
        <f ca="1"/>
        <v>Jagajeet Viraj</v>
      </c>
      <c r="C55">
        <f ca="1"/>
        <v>41980</v>
      </c>
      <c r="D55" t="str">
        <f ca="1"/>
        <v>Average</v>
      </c>
    </row>
    <row r="56" spans="2:4" x14ac:dyDescent="0.25">
      <c r="B56" t="str">
        <f ca="1"/>
        <v>Niall Selesnick</v>
      </c>
      <c r="C56">
        <f ca="1"/>
        <v>34980</v>
      </c>
      <c r="D56" t="str">
        <f ca="1"/>
        <v>Average</v>
      </c>
    </row>
    <row r="57" spans="2:4" x14ac:dyDescent="0.25">
      <c r="B57" t="str">
        <f ca="1"/>
        <v>Suchira Bhanupriya Tapti</v>
      </c>
      <c r="C57">
        <f ca="1"/>
        <v>34980</v>
      </c>
      <c r="D57" t="str">
        <f ca="1"/>
        <v>Average</v>
      </c>
    </row>
    <row r="58" spans="2:4" x14ac:dyDescent="0.25">
      <c r="B58" t="str">
        <f ca="1"/>
        <v>Gretchen Callow</v>
      </c>
      <c r="C58">
        <f ca="1"/>
        <v>33920</v>
      </c>
      <c r="D58" t="str">
        <f ca="1"/>
        <v>Average</v>
      </c>
    </row>
    <row r="59" spans="2:4" x14ac:dyDescent="0.25">
      <c r="B59" t="str">
        <f ca="1"/>
        <v>Shubhra Potla</v>
      </c>
      <c r="C59">
        <f ca="1"/>
        <v>33920</v>
      </c>
      <c r="D59" t="str">
        <f ca="1"/>
        <v>Average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E5CCF-611D-4028-88E4-0D18BBD9C19F}">
  <dimension ref="B1:D10"/>
  <sheetViews>
    <sheetView workbookViewId="0">
      <selection activeCell="G3" sqref="G3"/>
    </sheetView>
  </sheetViews>
  <sheetFormatPr defaultRowHeight="15" x14ac:dyDescent="0.25"/>
  <cols>
    <col min="2" max="2" width="17.5703125" bestFit="1" customWidth="1"/>
    <col min="3" max="3" width="16.28515625" bestFit="1" customWidth="1"/>
    <col min="4" max="4" width="10.140625" bestFit="1" customWidth="1"/>
    <col min="5" max="5" width="11.28515625" bestFit="1" customWidth="1"/>
    <col min="6" max="6" width="12" bestFit="1" customWidth="1"/>
    <col min="7" max="7" width="16.28515625" bestFit="1" customWidth="1"/>
    <col min="8" max="8" width="19.42578125" bestFit="1" customWidth="1"/>
    <col min="9" max="9" width="19.5703125" bestFit="1" customWidth="1"/>
  </cols>
  <sheetData>
    <row r="1" spans="2:4" ht="15.75" thickBot="1" x14ac:dyDescent="0.3"/>
    <row r="2" spans="2:4" ht="32.25" thickBot="1" x14ac:dyDescent="0.55000000000000004">
      <c r="B2" s="22">
        <v>4</v>
      </c>
      <c r="C2" s="30" t="s">
        <v>228</v>
      </c>
    </row>
    <row r="5" spans="2:4" x14ac:dyDescent="0.25">
      <c r="C5" s="27" t="s">
        <v>221</v>
      </c>
    </row>
    <row r="6" spans="2:4" x14ac:dyDescent="0.25">
      <c r="B6" s="27" t="s">
        <v>225</v>
      </c>
      <c r="C6" t="s">
        <v>8</v>
      </c>
      <c r="D6" t="s">
        <v>15</v>
      </c>
    </row>
    <row r="7" spans="2:4" x14ac:dyDescent="0.25">
      <c r="B7" s="10" t="s">
        <v>223</v>
      </c>
      <c r="C7" s="34">
        <v>86</v>
      </c>
      <c r="D7" s="34">
        <v>89</v>
      </c>
    </row>
    <row r="8" spans="2:4" x14ac:dyDescent="0.25">
      <c r="B8" s="10" t="s">
        <v>224</v>
      </c>
      <c r="C8" s="28">
        <v>31.406976744186046</v>
      </c>
      <c r="D8" s="28">
        <v>29.393258426966291</v>
      </c>
    </row>
    <row r="9" spans="2:4" x14ac:dyDescent="0.25">
      <c r="B9" s="10" t="s">
        <v>226</v>
      </c>
      <c r="C9" s="29">
        <v>78284.186046511633</v>
      </c>
      <c r="D9" s="29">
        <v>74915.168539325838</v>
      </c>
    </row>
    <row r="10" spans="2:4" x14ac:dyDescent="0.25">
      <c r="B10" s="10" t="s">
        <v>227</v>
      </c>
      <c r="C10" s="13">
        <v>3.2189232239566743</v>
      </c>
      <c r="D10" s="13">
        <v>3.2098199168847152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338E-7AED-4167-8559-EFF1FF726D57}">
  <dimension ref="A1"/>
  <sheetViews>
    <sheetView workbookViewId="0">
      <selection activeCell="N2" sqref="N2"/>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A0FE-6B63-4F2D-A169-3C18D31A5629}">
  <dimension ref="B2:D7"/>
  <sheetViews>
    <sheetView workbookViewId="0">
      <selection activeCell="M10" sqref="M10"/>
    </sheetView>
  </sheetViews>
  <sheetFormatPr defaultRowHeight="15" x14ac:dyDescent="0.25"/>
  <cols>
    <col min="2" max="2" width="14.28515625" bestFit="1" customWidth="1"/>
    <col min="3" max="3" width="14.42578125" bestFit="1" customWidth="1"/>
    <col min="4" max="4" width="16.42578125" bestFit="1" customWidth="1"/>
  </cols>
  <sheetData>
    <row r="2" spans="2:4" x14ac:dyDescent="0.25">
      <c r="B2" s="27" t="s">
        <v>230</v>
      </c>
      <c r="C2" t="s">
        <v>223</v>
      </c>
      <c r="D2" t="s">
        <v>226</v>
      </c>
    </row>
    <row r="3" spans="2:4" x14ac:dyDescent="0.25">
      <c r="B3" s="10" t="s">
        <v>10</v>
      </c>
      <c r="C3" s="34">
        <v>4</v>
      </c>
      <c r="D3" s="32">
        <v>92080</v>
      </c>
    </row>
    <row r="4" spans="2:4" x14ac:dyDescent="0.25">
      <c r="B4" s="10" t="s">
        <v>13</v>
      </c>
      <c r="C4" s="34">
        <v>20</v>
      </c>
      <c r="D4" s="32">
        <v>75933</v>
      </c>
    </row>
    <row r="5" spans="2:4" x14ac:dyDescent="0.25">
      <c r="B5" s="10" t="s">
        <v>16</v>
      </c>
      <c r="C5" s="34">
        <v>137</v>
      </c>
      <c r="D5" s="32">
        <v>76798.759124087592</v>
      </c>
    </row>
    <row r="6" spans="2:4" x14ac:dyDescent="0.25">
      <c r="B6" s="10" t="s">
        <v>24</v>
      </c>
      <c r="C6" s="34">
        <v>16</v>
      </c>
      <c r="D6" s="32">
        <v>78115</v>
      </c>
    </row>
    <row r="7" spans="2:4" x14ac:dyDescent="0.25">
      <c r="B7" s="10" t="s">
        <v>42</v>
      </c>
      <c r="C7" s="34">
        <v>6</v>
      </c>
      <c r="D7" s="32">
        <v>77423.333333333328</v>
      </c>
    </row>
  </sheetData>
  <conditionalFormatting pivot="1" sqref="D3:D7">
    <cfRule type="dataBar" priority="1">
      <dataBar>
        <cfvo type="min"/>
        <cfvo type="max"/>
        <color rgb="FFFF555A"/>
      </dataBar>
      <extLst>
        <ext xmlns:x14="http://schemas.microsoft.com/office/spreadsheetml/2009/9/main" uri="{B025F937-C7B1-47D3-B67F-A62EFF666E3E}">
          <x14:id>{1EEE6947-C1DB-45D9-879D-5D69652A9C51}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EEE6947-C1DB-45D9-879D-5D69652A9C51}">
            <x14:dataBar minLength="0" maxLength="100" border="1" negativeBarBorderColorSameAsPositive="0">
              <x14:cfvo type="autoMin"/>
              <x14:cfvo type="autoMax"/>
              <x14:borderColor rgb="FFFF555A"/>
              <x14:negativeFillColor rgb="FFFF0000"/>
              <x14:negativeBorderColor rgb="FFFF0000"/>
              <x14:axisColor rgb="FF000000"/>
            </x14:dataBar>
          </x14:cfRule>
          <xm:sqref>D3:D7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B3C4-F4B6-4F76-82AA-A310E6883728}">
  <dimension ref="B2:U39"/>
  <sheetViews>
    <sheetView topLeftCell="B1" zoomScale="96" zoomScaleNormal="96" workbookViewId="0">
      <selection activeCell="Q27" sqref="Q27"/>
    </sheetView>
  </sheetViews>
  <sheetFormatPr defaultRowHeight="15" x14ac:dyDescent="0.25"/>
  <cols>
    <col min="2" max="2" width="13.140625" bestFit="1" customWidth="1"/>
    <col min="3" max="3" width="14.42578125" bestFit="1" customWidth="1"/>
    <col min="19" max="19" width="10.5703125" customWidth="1"/>
    <col min="20" max="20" width="10.5703125" bestFit="1" customWidth="1"/>
    <col min="21" max="21" width="13.28515625" bestFit="1" customWidth="1"/>
  </cols>
  <sheetData>
    <row r="2" spans="2:21" x14ac:dyDescent="0.25">
      <c r="B2" s="27" t="s">
        <v>230</v>
      </c>
      <c r="C2" t="s">
        <v>223</v>
      </c>
    </row>
    <row r="3" spans="2:21" x14ac:dyDescent="0.25">
      <c r="B3" s="10" t="s">
        <v>232</v>
      </c>
      <c r="C3" s="34"/>
      <c r="S3" t="s">
        <v>248</v>
      </c>
      <c r="T3" t="s">
        <v>249</v>
      </c>
      <c r="U3" t="s">
        <v>250</v>
      </c>
    </row>
    <row r="4" spans="2:21" x14ac:dyDescent="0.25">
      <c r="B4" s="35" t="s">
        <v>233</v>
      </c>
      <c r="C4" s="34">
        <v>3</v>
      </c>
      <c r="R4" cm="1">
        <f t="array" ref="R4:R39">_xlfn.SEQUENCE(36)</f>
        <v>1</v>
      </c>
      <c r="S4" s="36" cm="1">
        <f t="array" ref="S4:S39">EDATE(DATE(2020,4,1),_xlfn.ANCHORARRAY(R4)+0)</f>
        <v>43952</v>
      </c>
      <c r="T4">
        <f>COUNTIFS(Staff[Date Joined],"&gt;="&amp;S4,Staff[Date Joined],"&lt;="&amp;EOMONTH(S4,0))</f>
        <v>3</v>
      </c>
      <c r="U4">
        <f>SUM($T$4:T4)</f>
        <v>3</v>
      </c>
    </row>
    <row r="5" spans="2:21" x14ac:dyDescent="0.25">
      <c r="B5" s="35" t="s">
        <v>234</v>
      </c>
      <c r="C5" s="34">
        <v>4</v>
      </c>
      <c r="R5">
        <v>2</v>
      </c>
      <c r="S5" s="36">
        <v>43983</v>
      </c>
      <c r="T5">
        <f>COUNTIFS(Staff[Date Joined],"&gt;="&amp;S5,Staff[Date Joined],"&lt;="&amp;EOMONTH(S5,0))</f>
        <v>1</v>
      </c>
      <c r="U5">
        <f>SUM($T$4:T5)</f>
        <v>4</v>
      </c>
    </row>
    <row r="6" spans="2:21" x14ac:dyDescent="0.25">
      <c r="B6" s="35" t="s">
        <v>235</v>
      </c>
      <c r="C6" s="34">
        <v>9</v>
      </c>
      <c r="R6">
        <v>3</v>
      </c>
      <c r="S6" s="36">
        <v>44013</v>
      </c>
      <c r="T6">
        <f>COUNTIFS(Staff[Date Joined],"&gt;="&amp;S6,Staff[Date Joined],"&lt;="&amp;EOMONTH(S6,0))</f>
        <v>5</v>
      </c>
      <c r="U6">
        <f>SUM($T$4:T6)</f>
        <v>9</v>
      </c>
    </row>
    <row r="7" spans="2:21" x14ac:dyDescent="0.25">
      <c r="B7" s="35" t="s">
        <v>236</v>
      </c>
      <c r="C7" s="34">
        <v>12</v>
      </c>
      <c r="R7">
        <v>4</v>
      </c>
      <c r="S7" s="36">
        <v>44044</v>
      </c>
      <c r="T7">
        <f>COUNTIFS(Staff[Date Joined],"&gt;="&amp;S7,Staff[Date Joined],"&lt;="&amp;EOMONTH(S7,0))</f>
        <v>3</v>
      </c>
      <c r="U7">
        <f>SUM($T$4:T7)</f>
        <v>12</v>
      </c>
    </row>
    <row r="8" spans="2:21" x14ac:dyDescent="0.25">
      <c r="B8" s="35" t="s">
        <v>237</v>
      </c>
      <c r="C8" s="34">
        <v>18</v>
      </c>
      <c r="R8">
        <v>5</v>
      </c>
      <c r="S8" s="36">
        <v>44075</v>
      </c>
      <c r="T8">
        <f>COUNTIFS(Staff[Date Joined],"&gt;="&amp;S8,Staff[Date Joined],"&lt;="&amp;EOMONTH(S8,0))</f>
        <v>6</v>
      </c>
      <c r="U8">
        <f>SUM($T$4:T8)</f>
        <v>18</v>
      </c>
    </row>
    <row r="9" spans="2:21" x14ac:dyDescent="0.25">
      <c r="B9" s="35" t="s">
        <v>238</v>
      </c>
      <c r="C9" s="34">
        <v>24</v>
      </c>
      <c r="R9">
        <v>6</v>
      </c>
      <c r="S9" s="36">
        <v>44105</v>
      </c>
      <c r="T9">
        <f>COUNTIFS(Staff[Date Joined],"&gt;="&amp;S9,Staff[Date Joined],"&lt;="&amp;EOMONTH(S9,0))</f>
        <v>6</v>
      </c>
      <c r="U9">
        <f>SUM($T$4:T9)</f>
        <v>24</v>
      </c>
    </row>
    <row r="10" spans="2:21" x14ac:dyDescent="0.25">
      <c r="B10" s="35" t="s">
        <v>239</v>
      </c>
      <c r="C10" s="34">
        <v>30</v>
      </c>
      <c r="R10">
        <v>7</v>
      </c>
      <c r="S10" s="36">
        <v>44136</v>
      </c>
      <c r="T10">
        <f>COUNTIFS(Staff[Date Joined],"&gt;="&amp;S10,Staff[Date Joined],"&lt;="&amp;EOMONTH(S10,0))</f>
        <v>6</v>
      </c>
      <c r="U10">
        <f>SUM($T$4:T10)</f>
        <v>30</v>
      </c>
    </row>
    <row r="11" spans="2:21" x14ac:dyDescent="0.25">
      <c r="B11" s="35" t="s">
        <v>240</v>
      </c>
      <c r="C11" s="34">
        <v>37</v>
      </c>
      <c r="R11">
        <v>8</v>
      </c>
      <c r="S11" s="36">
        <v>44166</v>
      </c>
      <c r="T11">
        <f>COUNTIFS(Staff[Date Joined],"&gt;="&amp;S11,Staff[Date Joined],"&lt;="&amp;EOMONTH(S11,0))</f>
        <v>7</v>
      </c>
      <c r="U11">
        <f>SUM($T$4:T11)</f>
        <v>37</v>
      </c>
    </row>
    <row r="12" spans="2:21" x14ac:dyDescent="0.25">
      <c r="B12" s="10" t="s">
        <v>241</v>
      </c>
      <c r="C12" s="34"/>
      <c r="R12">
        <v>9</v>
      </c>
      <c r="S12" s="36">
        <v>44197</v>
      </c>
      <c r="T12">
        <f>COUNTIFS(Staff[Date Joined],"&gt;="&amp;S12,Staff[Date Joined],"&lt;="&amp;EOMONTH(S12,0))</f>
        <v>6</v>
      </c>
      <c r="U12">
        <f>SUM($T$4:T12)</f>
        <v>43</v>
      </c>
    </row>
    <row r="13" spans="2:21" x14ac:dyDescent="0.25">
      <c r="B13" s="35" t="s">
        <v>242</v>
      </c>
      <c r="C13" s="34">
        <v>6</v>
      </c>
      <c r="R13">
        <v>10</v>
      </c>
      <c r="S13" s="36">
        <v>44228</v>
      </c>
      <c r="T13">
        <f>COUNTIFS(Staff[Date Joined],"&gt;="&amp;S13,Staff[Date Joined],"&lt;="&amp;EOMONTH(S13,0))</f>
        <v>4</v>
      </c>
      <c r="U13">
        <f>SUM($T$4:T13)</f>
        <v>47</v>
      </c>
    </row>
    <row r="14" spans="2:21" x14ac:dyDescent="0.25">
      <c r="B14" s="35" t="s">
        <v>243</v>
      </c>
      <c r="C14" s="34">
        <v>10</v>
      </c>
      <c r="R14">
        <v>11</v>
      </c>
      <c r="S14" s="36">
        <v>44256</v>
      </c>
      <c r="T14">
        <f>COUNTIFS(Staff[Date Joined],"&gt;="&amp;S14,Staff[Date Joined],"&lt;="&amp;EOMONTH(S14,0))</f>
        <v>9</v>
      </c>
      <c r="U14">
        <f>SUM($T$4:T14)</f>
        <v>56</v>
      </c>
    </row>
    <row r="15" spans="2:21" x14ac:dyDescent="0.25">
      <c r="B15" s="35" t="s">
        <v>244</v>
      </c>
      <c r="C15" s="34">
        <v>19</v>
      </c>
      <c r="R15">
        <v>12</v>
      </c>
      <c r="S15" s="36">
        <v>44287</v>
      </c>
      <c r="T15">
        <f>COUNTIFS(Staff[Date Joined],"&gt;="&amp;S15,Staff[Date Joined],"&lt;="&amp;EOMONTH(S15,0))</f>
        <v>5</v>
      </c>
      <c r="U15">
        <f>SUM($T$4:T15)</f>
        <v>61</v>
      </c>
    </row>
    <row r="16" spans="2:21" x14ac:dyDescent="0.25">
      <c r="B16" s="35" t="s">
        <v>245</v>
      </c>
      <c r="C16" s="34">
        <v>24</v>
      </c>
      <c r="R16">
        <v>13</v>
      </c>
      <c r="S16" s="36">
        <v>44317</v>
      </c>
      <c r="T16">
        <f>COUNTIFS(Staff[Date Joined],"&gt;="&amp;S16,Staff[Date Joined],"&lt;="&amp;EOMONTH(S16,0))</f>
        <v>10</v>
      </c>
      <c r="U16">
        <f>SUM($T$4:T16)</f>
        <v>71</v>
      </c>
    </row>
    <row r="17" spans="2:21" x14ac:dyDescent="0.25">
      <c r="B17" s="35" t="s">
        <v>233</v>
      </c>
      <c r="C17" s="34">
        <v>34</v>
      </c>
      <c r="R17">
        <v>14</v>
      </c>
      <c r="S17" s="36">
        <v>44348</v>
      </c>
      <c r="T17">
        <f>COUNTIFS(Staff[Date Joined],"&gt;="&amp;S17,Staff[Date Joined],"&lt;="&amp;EOMONTH(S17,0))</f>
        <v>6</v>
      </c>
      <c r="U17">
        <f>SUM($T$4:T17)</f>
        <v>77</v>
      </c>
    </row>
    <row r="18" spans="2:21" x14ac:dyDescent="0.25">
      <c r="B18" s="35" t="s">
        <v>234</v>
      </c>
      <c r="C18" s="34">
        <v>40</v>
      </c>
      <c r="R18">
        <v>15</v>
      </c>
      <c r="S18" s="36">
        <v>44378</v>
      </c>
      <c r="T18">
        <f>COUNTIFS(Staff[Date Joined],"&gt;="&amp;S18,Staff[Date Joined],"&lt;="&amp;EOMONTH(S18,0))</f>
        <v>13</v>
      </c>
      <c r="U18">
        <f>SUM($T$4:T18)</f>
        <v>90</v>
      </c>
    </row>
    <row r="19" spans="2:21" x14ac:dyDescent="0.25">
      <c r="B19" s="35" t="s">
        <v>235</v>
      </c>
      <c r="C19" s="34">
        <v>53</v>
      </c>
      <c r="R19">
        <v>16</v>
      </c>
      <c r="S19" s="36">
        <v>44409</v>
      </c>
      <c r="T19">
        <f>COUNTIFS(Staff[Date Joined],"&gt;="&amp;S19,Staff[Date Joined],"&lt;="&amp;EOMONTH(S19,0))</f>
        <v>4</v>
      </c>
      <c r="U19">
        <f>SUM($T$4:T19)</f>
        <v>94</v>
      </c>
    </row>
    <row r="20" spans="2:21" x14ac:dyDescent="0.25">
      <c r="B20" s="35" t="s">
        <v>236</v>
      </c>
      <c r="C20" s="34">
        <v>57</v>
      </c>
      <c r="R20">
        <v>17</v>
      </c>
      <c r="S20" s="36">
        <v>44440</v>
      </c>
      <c r="T20">
        <f>COUNTIFS(Staff[Date Joined],"&gt;="&amp;S20,Staff[Date Joined],"&lt;="&amp;EOMONTH(S20,0))</f>
        <v>11</v>
      </c>
      <c r="U20">
        <f>SUM($T$4:T20)</f>
        <v>105</v>
      </c>
    </row>
    <row r="21" spans="2:21" x14ac:dyDescent="0.25">
      <c r="B21" s="35" t="s">
        <v>237</v>
      </c>
      <c r="C21" s="34">
        <v>68</v>
      </c>
      <c r="R21">
        <v>18</v>
      </c>
      <c r="S21" s="36">
        <v>44470</v>
      </c>
      <c r="T21">
        <f>COUNTIFS(Staff[Date Joined],"&gt;="&amp;S21,Staff[Date Joined],"&lt;="&amp;EOMONTH(S21,0))</f>
        <v>3</v>
      </c>
      <c r="U21">
        <f>SUM($T$4:T21)</f>
        <v>108</v>
      </c>
    </row>
    <row r="22" spans="2:21" x14ac:dyDescent="0.25">
      <c r="B22" s="35" t="s">
        <v>238</v>
      </c>
      <c r="C22" s="34">
        <v>71</v>
      </c>
      <c r="R22">
        <v>19</v>
      </c>
      <c r="S22" s="36">
        <v>44501</v>
      </c>
      <c r="T22">
        <f>COUNTIFS(Staff[Date Joined],"&gt;="&amp;S22,Staff[Date Joined],"&lt;="&amp;EOMONTH(S22,0))</f>
        <v>4</v>
      </c>
      <c r="U22">
        <f>SUM($T$4:T22)</f>
        <v>112</v>
      </c>
    </row>
    <row r="23" spans="2:21" x14ac:dyDescent="0.25">
      <c r="B23" s="35" t="s">
        <v>239</v>
      </c>
      <c r="C23" s="34">
        <v>75</v>
      </c>
      <c r="R23">
        <v>20</v>
      </c>
      <c r="S23" s="36">
        <v>44531</v>
      </c>
      <c r="T23">
        <f>COUNTIFS(Staff[Date Joined],"&gt;="&amp;S23,Staff[Date Joined],"&lt;="&amp;EOMONTH(S23,0))</f>
        <v>7</v>
      </c>
      <c r="U23">
        <f>SUM($T$4:T23)</f>
        <v>119</v>
      </c>
    </row>
    <row r="24" spans="2:21" x14ac:dyDescent="0.25">
      <c r="B24" s="35" t="s">
        <v>240</v>
      </c>
      <c r="C24" s="34">
        <v>82</v>
      </c>
      <c r="R24">
        <v>21</v>
      </c>
      <c r="S24" s="36">
        <v>44562</v>
      </c>
      <c r="T24">
        <f>COUNTIFS(Staff[Date Joined],"&gt;="&amp;S24,Staff[Date Joined],"&lt;="&amp;EOMONTH(S24,0))</f>
        <v>3</v>
      </c>
      <c r="U24">
        <f>SUM($T$4:T24)</f>
        <v>122</v>
      </c>
    </row>
    <row r="25" spans="2:21" x14ac:dyDescent="0.25">
      <c r="B25" s="10" t="s">
        <v>246</v>
      </c>
      <c r="C25" s="34"/>
      <c r="R25">
        <v>22</v>
      </c>
      <c r="S25" s="36">
        <v>44593</v>
      </c>
      <c r="T25">
        <f>COUNTIFS(Staff[Date Joined],"&gt;="&amp;S25,Staff[Date Joined],"&lt;="&amp;EOMONTH(S25,0))</f>
        <v>10</v>
      </c>
      <c r="U25">
        <f>SUM($T$4:T25)</f>
        <v>132</v>
      </c>
    </row>
    <row r="26" spans="2:21" x14ac:dyDescent="0.25">
      <c r="B26" s="35" t="s">
        <v>242</v>
      </c>
      <c r="C26" s="34">
        <v>3</v>
      </c>
      <c r="R26">
        <v>23</v>
      </c>
      <c r="S26" s="36">
        <v>44621</v>
      </c>
      <c r="T26">
        <f>COUNTIFS(Staff[Date Joined],"&gt;="&amp;S26,Staff[Date Joined],"&lt;="&amp;EOMONTH(S26,0))</f>
        <v>9</v>
      </c>
      <c r="U26">
        <f>SUM($T$4:T26)</f>
        <v>141</v>
      </c>
    </row>
    <row r="27" spans="2:21" x14ac:dyDescent="0.25">
      <c r="B27" s="35" t="s">
        <v>243</v>
      </c>
      <c r="C27" s="34">
        <v>13</v>
      </c>
      <c r="R27">
        <v>24</v>
      </c>
      <c r="S27" s="36">
        <v>44652</v>
      </c>
      <c r="T27">
        <f>COUNTIFS(Staff[Date Joined],"&gt;="&amp;S27,Staff[Date Joined],"&lt;="&amp;EOMONTH(S27,0))</f>
        <v>9</v>
      </c>
      <c r="U27">
        <f>SUM($T$4:T27)</f>
        <v>150</v>
      </c>
    </row>
    <row r="28" spans="2:21" x14ac:dyDescent="0.25">
      <c r="B28" s="35" t="s">
        <v>244</v>
      </c>
      <c r="C28" s="34">
        <v>22</v>
      </c>
      <c r="R28">
        <v>25</v>
      </c>
      <c r="S28" s="36">
        <v>44682</v>
      </c>
      <c r="T28">
        <f>COUNTIFS(Staff[Date Joined],"&gt;="&amp;S28,Staff[Date Joined],"&lt;="&amp;EOMONTH(S28,0))</f>
        <v>9</v>
      </c>
      <c r="U28">
        <f>SUM($T$4:T28)</f>
        <v>159</v>
      </c>
    </row>
    <row r="29" spans="2:21" x14ac:dyDescent="0.25">
      <c r="B29" s="35" t="s">
        <v>245</v>
      </c>
      <c r="C29" s="34">
        <v>31</v>
      </c>
      <c r="R29">
        <v>26</v>
      </c>
      <c r="S29" s="36">
        <v>44713</v>
      </c>
      <c r="T29">
        <f>COUNTIFS(Staff[Date Joined],"&gt;="&amp;S29,Staff[Date Joined],"&lt;="&amp;EOMONTH(S29,0))</f>
        <v>7</v>
      </c>
      <c r="U29">
        <f>SUM($T$4:T29)</f>
        <v>166</v>
      </c>
    </row>
    <row r="30" spans="2:21" x14ac:dyDescent="0.25">
      <c r="B30" s="35" t="s">
        <v>233</v>
      </c>
      <c r="C30" s="34">
        <v>40</v>
      </c>
      <c r="R30">
        <v>27</v>
      </c>
      <c r="S30" s="36">
        <v>44743</v>
      </c>
      <c r="T30">
        <f>COUNTIFS(Staff[Date Joined],"&gt;="&amp;S30,Staff[Date Joined],"&lt;="&amp;EOMONTH(S30,0))</f>
        <v>5</v>
      </c>
      <c r="U30">
        <f>SUM($T$4:T30)</f>
        <v>171</v>
      </c>
    </row>
    <row r="31" spans="2:21" x14ac:dyDescent="0.25">
      <c r="B31" s="35" t="s">
        <v>234</v>
      </c>
      <c r="C31" s="34">
        <v>47</v>
      </c>
      <c r="R31">
        <v>28</v>
      </c>
      <c r="S31" s="36">
        <v>44774</v>
      </c>
      <c r="T31">
        <f>COUNTIFS(Staff[Date Joined],"&gt;="&amp;S31,Staff[Date Joined],"&lt;="&amp;EOMONTH(S31,0))</f>
        <v>5</v>
      </c>
      <c r="U31">
        <f>SUM($T$4:T31)</f>
        <v>176</v>
      </c>
    </row>
    <row r="32" spans="2:21" x14ac:dyDescent="0.25">
      <c r="B32" s="35" t="s">
        <v>235</v>
      </c>
      <c r="C32" s="34">
        <v>52</v>
      </c>
      <c r="R32">
        <v>29</v>
      </c>
      <c r="S32" s="36">
        <v>44805</v>
      </c>
      <c r="T32">
        <f>COUNTIFS(Staff[Date Joined],"&gt;="&amp;S32,Staff[Date Joined],"&lt;="&amp;EOMONTH(S32,0))</f>
        <v>2</v>
      </c>
      <c r="U32">
        <f>SUM($T$4:T32)</f>
        <v>178</v>
      </c>
    </row>
    <row r="33" spans="2:21" x14ac:dyDescent="0.25">
      <c r="B33" s="35" t="s">
        <v>236</v>
      </c>
      <c r="C33" s="34">
        <v>57</v>
      </c>
      <c r="R33">
        <v>30</v>
      </c>
      <c r="S33" s="36">
        <v>44835</v>
      </c>
      <c r="T33">
        <f>COUNTIFS(Staff[Date Joined],"&gt;="&amp;S33,Staff[Date Joined],"&lt;="&amp;EOMONTH(S33,0))</f>
        <v>3</v>
      </c>
      <c r="U33">
        <f>SUM($T$4:T33)</f>
        <v>181</v>
      </c>
    </row>
    <row r="34" spans="2:21" x14ac:dyDescent="0.25">
      <c r="B34" s="35" t="s">
        <v>237</v>
      </c>
      <c r="C34" s="34">
        <v>59</v>
      </c>
      <c r="R34">
        <v>31</v>
      </c>
      <c r="S34" s="36">
        <v>44866</v>
      </c>
      <c r="T34">
        <f>COUNTIFS(Staff[Date Joined],"&gt;="&amp;S34,Staff[Date Joined],"&lt;="&amp;EOMONTH(S34,0))</f>
        <v>0</v>
      </c>
      <c r="U34">
        <f>SUM($T$4:T34)</f>
        <v>181</v>
      </c>
    </row>
    <row r="35" spans="2:21" x14ac:dyDescent="0.25">
      <c r="B35" s="35" t="s">
        <v>238</v>
      </c>
      <c r="C35" s="34">
        <v>62</v>
      </c>
      <c r="R35">
        <v>32</v>
      </c>
      <c r="S35" s="36">
        <v>44896</v>
      </c>
      <c r="T35">
        <f>COUNTIFS(Staff[Date Joined],"&gt;="&amp;S35,Staff[Date Joined],"&lt;="&amp;EOMONTH(S35,0))</f>
        <v>0</v>
      </c>
      <c r="U35">
        <f>SUM($T$4:T35)</f>
        <v>181</v>
      </c>
    </row>
    <row r="36" spans="2:21" x14ac:dyDescent="0.25">
      <c r="B36" s="10" t="s">
        <v>247</v>
      </c>
      <c r="C36" s="34"/>
      <c r="R36">
        <v>33</v>
      </c>
      <c r="S36" s="36">
        <v>44927</v>
      </c>
      <c r="T36">
        <f>COUNTIFS(Staff[Date Joined],"&gt;="&amp;S36,Staff[Date Joined],"&lt;="&amp;EOMONTH(S36,0))</f>
        <v>0</v>
      </c>
      <c r="U36">
        <f>SUM($T$4:T36)</f>
        <v>181</v>
      </c>
    </row>
    <row r="37" spans="2:21" x14ac:dyDescent="0.25">
      <c r="B37" s="35" t="s">
        <v>243</v>
      </c>
      <c r="C37" s="34">
        <v>1</v>
      </c>
      <c r="R37">
        <v>34</v>
      </c>
      <c r="S37" s="36">
        <v>44958</v>
      </c>
      <c r="T37">
        <f>COUNTIFS(Staff[Date Joined],"&gt;="&amp;S37,Staff[Date Joined],"&lt;="&amp;EOMONTH(S37,0))</f>
        <v>1</v>
      </c>
      <c r="U37">
        <f>SUM($T$4:T37)</f>
        <v>182</v>
      </c>
    </row>
    <row r="38" spans="2:21" x14ac:dyDescent="0.25">
      <c r="B38" s="35" t="s">
        <v>245</v>
      </c>
      <c r="C38" s="34">
        <v>2</v>
      </c>
      <c r="R38">
        <v>35</v>
      </c>
      <c r="S38" s="36">
        <v>44986</v>
      </c>
      <c r="T38">
        <f>COUNTIFS(Staff[Date Joined],"&gt;="&amp;S38,Staff[Date Joined],"&lt;="&amp;EOMONTH(S38,0))</f>
        <v>0</v>
      </c>
      <c r="U38">
        <f>SUM($T$4:T38)</f>
        <v>182</v>
      </c>
    </row>
    <row r="39" spans="2:21" x14ac:dyDescent="0.25">
      <c r="R39">
        <v>36</v>
      </c>
      <c r="S39" s="36">
        <v>45017</v>
      </c>
      <c r="T39">
        <f>COUNTIFS(Staff[Date Joined],"&gt;="&amp;S39,Staff[Date Joined],"&lt;="&amp;EOMONTH(S39,0))</f>
        <v>1</v>
      </c>
      <c r="U39">
        <f>SUM($T$4:T39)</f>
        <v>183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5820E-F441-471C-982A-CD4F628F7EA6}">
  <dimension ref="C1:N24"/>
  <sheetViews>
    <sheetView showGridLines="0" workbookViewId="0">
      <selection activeCell="I3" sqref="I3"/>
    </sheetView>
  </sheetViews>
  <sheetFormatPr defaultRowHeight="15" x14ac:dyDescent="0.25"/>
  <cols>
    <col min="3" max="3" width="21.140625" customWidth="1"/>
    <col min="4" max="4" width="3.5703125" customWidth="1"/>
    <col min="5" max="5" width="21.140625" customWidth="1"/>
    <col min="6" max="6" width="3" customWidth="1"/>
    <col min="7" max="7" width="21.140625" customWidth="1"/>
    <col min="10" max="10" width="21.140625" customWidth="1"/>
    <col min="11" max="11" width="3.5703125" customWidth="1"/>
    <col min="12" max="12" width="21.140625" customWidth="1"/>
    <col min="13" max="13" width="3" customWidth="1"/>
    <col min="14" max="14" width="21.140625" customWidth="1"/>
  </cols>
  <sheetData>
    <row r="1" spans="3:14" ht="15.75" customHeight="1" x14ac:dyDescent="0.25"/>
    <row r="2" spans="3:14" ht="34.5" customHeight="1" x14ac:dyDescent="0.25">
      <c r="C2" s="47" t="s">
        <v>252</v>
      </c>
      <c r="D2" s="48"/>
      <c r="E2" s="48"/>
      <c r="F2" s="48"/>
      <c r="G2" s="49"/>
      <c r="J2" s="47" t="s">
        <v>253</v>
      </c>
      <c r="K2" s="48"/>
      <c r="L2" s="48"/>
      <c r="M2" s="48"/>
      <c r="N2" s="49"/>
    </row>
    <row r="3" spans="3:14" ht="100.5" customHeight="1" x14ac:dyDescent="0.25">
      <c r="C3" s="40">
        <f>COUNTIFS(Staff[Country],"NZ")</f>
        <v>91</v>
      </c>
      <c r="E3" s="38">
        <f>COUNTIFS(Staff[Country],"NZ",Staff[Gender],"Female")/C3</f>
        <v>0.47252747252747251</v>
      </c>
      <c r="G3" s="39">
        <f>AVERAGEIFS(Staff[Salary],Staff[Country],"NZ")</f>
        <v>76978.791208791212</v>
      </c>
      <c r="J3" s="41">
        <f>COUNTIFS(Staff[Country],"IND")</f>
        <v>92</v>
      </c>
      <c r="L3" s="42">
        <f>COUNTIFS(Staff[Country],"IND",Staff[Gender],"Female")/J3</f>
        <v>0.46739130434782611</v>
      </c>
      <c r="N3" s="43">
        <f>AVERAGEIFS(Staff[Salary],Staff[Country],"IND")</f>
        <v>77366.521739130432</v>
      </c>
    </row>
    <row r="5" spans="3:14" ht="30" customHeight="1" x14ac:dyDescent="0.25">
      <c r="C5" s="44" t="s">
        <v>251</v>
      </c>
      <c r="D5" s="45"/>
      <c r="E5" s="45"/>
      <c r="F5" s="45"/>
      <c r="G5" s="45"/>
      <c r="H5" s="45"/>
      <c r="I5" s="45"/>
      <c r="J5" s="45"/>
      <c r="K5" s="45"/>
      <c r="L5" s="45"/>
      <c r="M5" s="45"/>
      <c r="N5" s="46"/>
    </row>
    <row r="6" spans="3:14" x14ac:dyDescent="0.25">
      <c r="C6" s="37"/>
      <c r="D6" s="37"/>
      <c r="E6" s="37"/>
      <c r="F6" s="37"/>
      <c r="G6" s="37"/>
      <c r="J6" s="37"/>
      <c r="K6" s="37"/>
      <c r="L6" s="37"/>
      <c r="M6" s="37"/>
      <c r="N6" s="37"/>
    </row>
    <row r="7" spans="3:14" x14ac:dyDescent="0.25">
      <c r="C7" s="37"/>
      <c r="D7" s="37"/>
      <c r="E7" s="37"/>
      <c r="F7" s="37"/>
      <c r="G7" s="37"/>
      <c r="J7" s="37"/>
      <c r="K7" s="37"/>
      <c r="L7" s="37"/>
      <c r="M7" s="37"/>
      <c r="N7" s="37"/>
    </row>
    <row r="8" spans="3:14" x14ac:dyDescent="0.25">
      <c r="C8" s="37"/>
      <c r="D8" s="37"/>
      <c r="E8" s="37"/>
      <c r="F8" s="37"/>
      <c r="G8" s="37"/>
      <c r="J8" s="37"/>
      <c r="K8" s="37"/>
      <c r="L8" s="37"/>
      <c r="M8" s="37"/>
      <c r="N8" s="37"/>
    </row>
    <row r="9" spans="3:14" x14ac:dyDescent="0.25">
      <c r="C9" s="37"/>
      <c r="D9" s="37"/>
      <c r="E9" s="37"/>
      <c r="F9" s="37"/>
      <c r="G9" s="37"/>
      <c r="J9" s="37"/>
      <c r="K9" s="37"/>
      <c r="L9" s="37"/>
      <c r="M9" s="37"/>
      <c r="N9" s="37"/>
    </row>
    <row r="10" spans="3:14" x14ac:dyDescent="0.25">
      <c r="C10" s="37"/>
      <c r="D10" s="37"/>
      <c r="E10" s="37"/>
      <c r="F10" s="37"/>
      <c r="G10" s="37"/>
      <c r="J10" s="37"/>
      <c r="K10" s="37"/>
      <c r="L10" s="37"/>
      <c r="M10" s="37"/>
      <c r="N10" s="37"/>
    </row>
    <row r="11" spans="3:14" x14ac:dyDescent="0.25">
      <c r="C11" s="37"/>
      <c r="D11" s="37"/>
      <c r="E11" s="37"/>
      <c r="F11" s="37"/>
      <c r="G11" s="37"/>
      <c r="J11" s="37"/>
      <c r="K11" s="37"/>
      <c r="L11" s="37"/>
      <c r="M11" s="37"/>
      <c r="N11" s="37"/>
    </row>
    <row r="12" spans="3:14" x14ac:dyDescent="0.25">
      <c r="C12" s="37"/>
      <c r="D12" s="37"/>
      <c r="E12" s="37"/>
      <c r="F12" s="37"/>
      <c r="G12" s="37"/>
      <c r="J12" s="37"/>
      <c r="K12" s="37"/>
      <c r="L12" s="37"/>
      <c r="M12" s="37"/>
      <c r="N12" s="37"/>
    </row>
    <row r="13" spans="3:14" x14ac:dyDescent="0.25">
      <c r="C13" s="37"/>
      <c r="D13" s="37"/>
      <c r="E13" s="37"/>
      <c r="F13" s="37"/>
      <c r="G13" s="37"/>
      <c r="J13" s="37"/>
      <c r="K13" s="37"/>
      <c r="L13" s="37"/>
      <c r="M13" s="37"/>
      <c r="N13" s="37"/>
    </row>
    <row r="14" spans="3:14" x14ac:dyDescent="0.25">
      <c r="C14" s="37"/>
      <c r="D14" s="37"/>
      <c r="E14" s="37"/>
      <c r="F14" s="37"/>
      <c r="G14" s="37"/>
      <c r="J14" s="37"/>
      <c r="K14" s="37"/>
      <c r="L14" s="37"/>
      <c r="M14" s="37"/>
      <c r="N14" s="37"/>
    </row>
    <row r="15" spans="3:14" x14ac:dyDescent="0.25">
      <c r="C15" s="37"/>
      <c r="D15" s="37"/>
      <c r="E15" s="37"/>
      <c r="F15" s="37"/>
      <c r="G15" s="37"/>
      <c r="J15" s="37"/>
      <c r="K15" s="37"/>
      <c r="L15" s="37"/>
      <c r="M15" s="37"/>
      <c r="N15" s="37"/>
    </row>
    <row r="16" spans="3:14" x14ac:dyDescent="0.25">
      <c r="C16" s="37"/>
      <c r="D16" s="37"/>
      <c r="E16" s="37"/>
      <c r="F16" s="37"/>
      <c r="G16" s="37"/>
      <c r="J16" s="37"/>
      <c r="K16" s="37"/>
      <c r="L16" s="37"/>
      <c r="M16" s="37"/>
      <c r="N16" s="37"/>
    </row>
    <row r="17" spans="3:14" x14ac:dyDescent="0.25">
      <c r="C17" s="37"/>
      <c r="D17" s="37"/>
      <c r="E17" s="37"/>
      <c r="F17" s="37"/>
      <c r="G17" s="37"/>
      <c r="J17" s="37"/>
      <c r="K17" s="37"/>
      <c r="L17" s="37"/>
      <c r="M17" s="37"/>
      <c r="N17" s="37"/>
    </row>
    <row r="18" spans="3:14" x14ac:dyDescent="0.25">
      <c r="C18" s="37"/>
      <c r="D18" s="37"/>
      <c r="E18" s="37"/>
      <c r="F18" s="37"/>
      <c r="G18" s="37"/>
      <c r="J18" s="37"/>
      <c r="K18" s="37"/>
      <c r="L18" s="37"/>
      <c r="M18" s="37"/>
      <c r="N18" s="37"/>
    </row>
    <row r="19" spans="3:14" x14ac:dyDescent="0.25">
      <c r="C19" s="37"/>
      <c r="D19" s="37"/>
      <c r="E19" s="37"/>
      <c r="F19" s="37"/>
      <c r="G19" s="37"/>
      <c r="J19" s="37"/>
      <c r="K19" s="37"/>
      <c r="L19" s="37"/>
      <c r="M19" s="37"/>
      <c r="N19" s="37"/>
    </row>
    <row r="20" spans="3:14" x14ac:dyDescent="0.25">
      <c r="C20" s="37"/>
      <c r="D20" s="37"/>
      <c r="E20" s="37"/>
      <c r="F20" s="37"/>
      <c r="G20" s="37"/>
      <c r="J20" s="37"/>
      <c r="K20" s="37"/>
      <c r="L20" s="37"/>
      <c r="M20" s="37"/>
      <c r="N20" s="37"/>
    </row>
    <row r="21" spans="3:14" x14ac:dyDescent="0.25">
      <c r="C21" s="37"/>
      <c r="D21" s="37"/>
      <c r="E21" s="37"/>
      <c r="F21" s="37"/>
      <c r="G21" s="37"/>
      <c r="J21" s="37"/>
      <c r="K21" s="37"/>
      <c r="L21" s="37"/>
      <c r="M21" s="37"/>
      <c r="N21" s="37"/>
    </row>
    <row r="22" spans="3:14" x14ac:dyDescent="0.25">
      <c r="C22" s="37"/>
      <c r="D22" s="37"/>
      <c r="E22" s="37"/>
      <c r="F22" s="37"/>
      <c r="G22" s="37"/>
      <c r="J22" s="37"/>
      <c r="K22" s="37"/>
      <c r="L22" s="37"/>
      <c r="M22" s="37"/>
      <c r="N22" s="37"/>
    </row>
    <row r="23" spans="3:14" x14ac:dyDescent="0.25">
      <c r="C23" s="37"/>
      <c r="D23" s="37"/>
      <c r="E23" s="37"/>
      <c r="F23" s="37"/>
      <c r="G23" s="37"/>
      <c r="J23" s="37"/>
      <c r="K23" s="37"/>
      <c r="L23" s="37"/>
      <c r="M23" s="37"/>
      <c r="N23" s="37"/>
    </row>
    <row r="24" spans="3:14" x14ac:dyDescent="0.25">
      <c r="J24" s="37"/>
      <c r="K24" s="37"/>
      <c r="L24" s="37"/>
      <c r="M24" s="37"/>
      <c r="N24" s="37"/>
    </row>
  </sheetData>
  <mergeCells count="3">
    <mergeCell ref="C5:N5"/>
    <mergeCell ref="C2:G2"/>
    <mergeCell ref="J2:N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75D7-2F68-4AE8-9948-0E4FD85A8B54}">
  <dimension ref="B1:F9"/>
  <sheetViews>
    <sheetView tabSelected="1" workbookViewId="0">
      <selection activeCell="S6" sqref="S6"/>
    </sheetView>
  </sheetViews>
  <sheetFormatPr defaultRowHeight="15" x14ac:dyDescent="0.25"/>
  <cols>
    <col min="2" max="2" width="13.140625" bestFit="1" customWidth="1"/>
    <col min="3" max="3" width="14.42578125" bestFit="1" customWidth="1"/>
    <col min="5" max="5" width="13.140625" bestFit="1" customWidth="1"/>
    <col min="6" max="6" width="14.42578125" bestFit="1" customWidth="1"/>
  </cols>
  <sheetData>
    <row r="1" spans="2:6" x14ac:dyDescent="0.25">
      <c r="B1" s="27" t="s">
        <v>204</v>
      </c>
      <c r="C1" t="s" vm="2">
        <v>205</v>
      </c>
      <c r="E1" s="27" t="s">
        <v>204</v>
      </c>
      <c r="F1" t="s" vm="1">
        <v>206</v>
      </c>
    </row>
    <row r="3" spans="2:6" x14ac:dyDescent="0.25">
      <c r="B3" s="27" t="s">
        <v>230</v>
      </c>
      <c r="C3" t="s">
        <v>223</v>
      </c>
      <c r="E3" s="27" t="s">
        <v>230</v>
      </c>
      <c r="F3" t="s">
        <v>223</v>
      </c>
    </row>
    <row r="4" spans="2:6" x14ac:dyDescent="0.25">
      <c r="B4" s="10" t="s">
        <v>12</v>
      </c>
      <c r="C4" s="34">
        <v>27</v>
      </c>
      <c r="E4" s="10" t="s">
        <v>9</v>
      </c>
      <c r="F4" s="34">
        <v>28</v>
      </c>
    </row>
    <row r="5" spans="2:6" x14ac:dyDescent="0.25">
      <c r="B5" s="10" t="s">
        <v>9</v>
      </c>
      <c r="C5" s="34">
        <v>27</v>
      </c>
      <c r="E5" s="10" t="s">
        <v>12</v>
      </c>
      <c r="F5" s="34">
        <v>27</v>
      </c>
    </row>
    <row r="6" spans="2:6" x14ac:dyDescent="0.25">
      <c r="B6" s="10" t="s">
        <v>21</v>
      </c>
      <c r="C6" s="34">
        <v>19</v>
      </c>
      <c r="E6" s="10" t="s">
        <v>21</v>
      </c>
      <c r="F6" s="34">
        <v>19</v>
      </c>
    </row>
    <row r="7" spans="2:6" x14ac:dyDescent="0.25">
      <c r="B7" s="10" t="s">
        <v>19</v>
      </c>
      <c r="C7" s="34">
        <v>14</v>
      </c>
      <c r="E7" s="10" t="s">
        <v>19</v>
      </c>
      <c r="F7" s="34">
        <v>14</v>
      </c>
    </row>
    <row r="8" spans="2:6" x14ac:dyDescent="0.25">
      <c r="B8" s="10" t="s">
        <v>56</v>
      </c>
      <c r="C8" s="34">
        <v>4</v>
      </c>
      <c r="E8" s="10" t="s">
        <v>56</v>
      </c>
      <c r="F8" s="34">
        <v>4</v>
      </c>
    </row>
    <row r="9" spans="2:6" x14ac:dyDescent="0.25">
      <c r="B9" s="10" t="s">
        <v>222</v>
      </c>
      <c r="C9" s="34">
        <v>91</v>
      </c>
      <c r="E9" s="10" t="s">
        <v>222</v>
      </c>
      <c r="F9" s="34">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6BBC9-9966-45EE-A755-961861F8ADF2}">
  <dimension ref="B3:C7"/>
  <sheetViews>
    <sheetView workbookViewId="0">
      <selection activeCell="C3" sqref="C3"/>
    </sheetView>
  </sheetViews>
  <sheetFormatPr defaultRowHeight="15" x14ac:dyDescent="0.25"/>
  <cols>
    <col min="2" max="2" width="14.28515625" bestFit="1" customWidth="1"/>
  </cols>
  <sheetData>
    <row r="3" spans="2:3" x14ac:dyDescent="0.25">
      <c r="B3" s="18" t="s">
        <v>10</v>
      </c>
      <c r="C3" s="17">
        <v>5</v>
      </c>
    </row>
    <row r="4" spans="2:3" x14ac:dyDescent="0.25">
      <c r="B4" s="18" t="s">
        <v>13</v>
      </c>
      <c r="C4" s="17">
        <v>4</v>
      </c>
    </row>
    <row r="5" spans="2:3" x14ac:dyDescent="0.25">
      <c r="B5" s="18" t="s">
        <v>16</v>
      </c>
      <c r="C5" s="17">
        <v>3</v>
      </c>
    </row>
    <row r="6" spans="2:3" x14ac:dyDescent="0.25">
      <c r="B6" s="18" t="s">
        <v>24</v>
      </c>
      <c r="C6" s="17">
        <v>2</v>
      </c>
    </row>
    <row r="7" spans="2:3" x14ac:dyDescent="0.25">
      <c r="B7" s="18" t="s">
        <v>42</v>
      </c>
      <c r="C7" s="17">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83C614-5A15-4A71-873B-49020F130D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Staff</vt:lpstr>
      <vt:lpstr>india_staff</vt:lpstr>
      <vt:lpstr>nz_staff</vt:lpstr>
      <vt:lpstr>Data</vt:lpstr>
      <vt:lpstr>India Staff</vt:lpstr>
      <vt:lpstr>Info Finder 2.0</vt:lpstr>
      <vt:lpstr>Male Vs Female</vt:lpstr>
      <vt:lpstr>Salary Spread</vt:lpstr>
      <vt:lpstr>Salary Vs Rating</vt:lpstr>
      <vt:lpstr>Employee trend</vt:lpstr>
      <vt:lpstr>Sheet2</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Shahriar Shatil</cp:lastModifiedBy>
  <dcterms:created xsi:type="dcterms:W3CDTF">2021-03-14T20:21:32Z</dcterms:created>
  <dcterms:modified xsi:type="dcterms:W3CDTF">2024-11-14T14:44:35Z</dcterms:modified>
</cp:coreProperties>
</file>