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5.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6.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7.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8.xml" ContentType="application/vnd.openxmlformats-officedocument.themeOverrid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9.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20.xml" ContentType="application/vnd.openxmlformats-officedocument.themeOverrid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21.xml" ContentType="application/vnd.openxmlformats-officedocument.themeOverrid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22.xml" ContentType="application/vnd.openxmlformats-officedocument.themeOverrid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23.xml" ContentType="application/vnd.openxmlformats-officedocument.themeOverride+xml"/>
  <Override PartName="/xl/drawings/drawing5.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6.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7.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8.xml" ContentType="application/vnd.openxmlformats-officedocument.drawingml.chartshapes+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1.xml" ContentType="application/vnd.openxmlformats-officedocument.drawingml.chartshape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2.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3.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4.xml" ContentType="application/vnd.openxmlformats-officedocument.drawingml.chartshapes+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5.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6.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7.xml" ContentType="application/vnd.openxmlformats-officedocument.drawingml.chartshapes+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8.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24.xml" ContentType="application/vnd.openxmlformats-officedocument.themeOverrid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theme/themeOverride25.xml" ContentType="application/vnd.openxmlformats-officedocument.themeOverrid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26.xml" ContentType="application/vnd.openxmlformats-officedocument.themeOverrid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theme/themeOverride27.xml" ContentType="application/vnd.openxmlformats-officedocument.themeOverrid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theme/themeOverride28.xml" ContentType="application/vnd.openxmlformats-officedocument.themeOverrid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theme/themeOverride29.xml" ContentType="application/vnd.openxmlformats-officedocument.themeOverride+xml"/>
  <Override PartName="/xl/drawings/drawing21.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theme/themeOverride30.xml" ContentType="application/vnd.openxmlformats-officedocument.themeOverrid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theme/themeOverride31.xml" ContentType="application/vnd.openxmlformats-officedocument.themeOverrid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32.xml" ContentType="application/vnd.openxmlformats-officedocument.themeOverride+xml"/>
  <Override PartName="/xl/drawings/drawing22.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33.xml" ContentType="application/vnd.openxmlformats-officedocument.themeOverrid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theme/themeOverride34.xml" ContentType="application/vnd.openxmlformats-officedocument.themeOverride+xml"/>
  <Override PartName="/xl/drawings/drawing23.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theme/themeOverride35.xml" ContentType="application/vnd.openxmlformats-officedocument.themeOverrid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theme/themeOverride36.xml" ContentType="application/vnd.openxmlformats-officedocument.themeOverrid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theme/themeOverride37.xml" ContentType="application/vnd.openxmlformats-officedocument.themeOverrid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theme/themeOverride38.xml" ContentType="application/vnd.openxmlformats-officedocument.themeOverrid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theme/themeOverride39.xml" ContentType="application/vnd.openxmlformats-officedocument.themeOverrid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theme/themeOverride40.xml" ContentType="application/vnd.openxmlformats-officedocument.themeOverrid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theme/themeOverride41.xml" ContentType="application/vnd.openxmlformats-officedocument.themeOverride+xml"/>
  <Override PartName="/xl/drawings/drawing24.xml" ContentType="application/vnd.openxmlformats-officedocument.drawing+xml"/>
  <Override PartName="/xl/drawings/drawing2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6.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theme/themeOverride42.xml" ContentType="application/vnd.openxmlformats-officedocument.themeOverrid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theme/themeOverride43.xml" ContentType="application/vnd.openxmlformats-officedocument.themeOverrid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theme/themeOverride44.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dss\archive\APD\ITSR\Systems &amp; Administrative Branch\CMIPS - Data Runs\33 - IHSS Program Data\FY 2023-2024\Sep 2023\"/>
    </mc:Choice>
  </mc:AlternateContent>
  <xr:revisionPtr revIDLastSave="0" documentId="13_ncr:1_{498EDF00-C9F5-4DFD-8529-8235C6E4D86E}" xr6:coauthVersionLast="47" xr6:coauthVersionMax="47" xr10:uidLastSave="{00000000-0000-0000-0000-000000000000}"/>
  <workbookProtection workbookAlgorithmName="SHA-512" workbookHashValue="BWhJkR9Uk7VTmEwBedpKB53SYRKp6OciuFa+HrN5msvGcIQKvuwYsjlgCOOhHb0nBe1rnMGap3uW9OxI6bQF9w==" workbookSaltValue="UU3nk1jh50LFcqnsF21TSg==" workbookSpinCount="100000" lockStructure="1"/>
  <bookViews>
    <workbookView showSheetTabs="0" xWindow="30612" yWindow="972" windowWidth="30936" windowHeight="16896" tabRatio="913" xr2:uid="{00000000-000D-0000-FFFF-FFFF00000000}"/>
  </bookViews>
  <sheets>
    <sheet name="Navigation" sheetId="133" r:id="rId1"/>
    <sheet name="Dashboard" sheetId="134" r:id="rId2"/>
    <sheet name="General Data" sheetId="121" r:id="rId3"/>
    <sheet name="Aged, Blind, or Disabled" sheetId="126" r:id="rId4"/>
    <sheet name="Program Equity" sheetId="125" r:id="rId5"/>
    <sheet name="IHSS Services" sheetId="124" r:id="rId6"/>
    <sheet name="Age Gender" sheetId="123" r:id="rId7"/>
    <sheet name="Ethnicity Language" sheetId="128" r:id="rId8"/>
    <sheet name="Provider Details" sheetId="127" r:id="rId9"/>
    <sheet name="Appendix Terms" sheetId="122" r:id="rId10"/>
    <sheet name="Demo Rank" sheetId="115" state="veryHidden" r:id="rId11"/>
    <sheet name="Data" sheetId="135" r:id="rId12"/>
    <sheet name="IHSS Applicants" sheetId="137" r:id="rId13"/>
  </sheets>
  <definedNames>
    <definedName name="A1_Aged">'Aged, Blind, or Disabled'!$A$1</definedName>
    <definedName name="A1_AgeGender">'Age Gender'!$A$1</definedName>
    <definedName name="A1_AllData">Data!$A$1</definedName>
    <definedName name="A1_APPLICANTS">'IHSS Applicants'!$A$1</definedName>
    <definedName name="A1_Dashboard">Dashboard!$A$1</definedName>
    <definedName name="A1_Data">Data!$A$1</definedName>
    <definedName name="A1_Ethnicity">'Ethnicity Language'!$A$1</definedName>
    <definedName name="A1_General">'General Data'!$A$1</definedName>
    <definedName name="A1_Navigation">Navigation!$A$1</definedName>
    <definedName name="A1_Programs">'Program Equity'!$A$1</definedName>
    <definedName name="A1_Provider">'Provider Details'!$A$1</definedName>
    <definedName name="A1_Services">'IHSS Services'!$A$1</definedName>
    <definedName name="A1_Terms">'Appendix Terms'!$A$1</definedName>
    <definedName name="Appen_AGE_GROUPS">'Appendix Terms'!$A$12</definedName>
    <definedName name="Appen_AgedBD">'Appendix Terms'!$A$13</definedName>
    <definedName name="Appen_AUTH_HRS_RECIP">'Appendix Terms'!$A$14</definedName>
    <definedName name="Appen_Auth_Recip">'Appendix Terms'!$A$40</definedName>
    <definedName name="Appen_BVI">'Appendix Terms'!$A$15</definedName>
    <definedName name="Appen_BVI_DELIVERY">'Appendix Terms'!$A$16</definedName>
    <definedName name="Appen_BVI_TIMESHEET">'Appendix Terms'!$A$17</definedName>
    <definedName name="Appen_COUNTY_SIZE">'Appendix Terms'!$A$18</definedName>
    <definedName name="Appen_DDG">'Appendix Terms'!$A$19</definedName>
    <definedName name="Appen_DENIED_APP">'Appendix Terms'!$A$20</definedName>
    <definedName name="Appen_Equity">'Appendix Terms'!$A$34</definedName>
    <definedName name="Appen_ETS">'Appendix Terms'!$A$21</definedName>
    <definedName name="Appen_EVV">'Appendix Terms'!$A$22</definedName>
    <definedName name="Appen_Exemptions">'Appendix Terms'!$A$32</definedName>
    <definedName name="Appen_ExitProgram">'Appendix Terms'!$A$23</definedName>
    <definedName name="Appen_FLSA">'Appendix Terms'!$A$24</definedName>
    <definedName name="Appen_LIVEIN">'Appendix Terms'!$A$27</definedName>
    <definedName name="Appen_NEW_APP">'Appendix Terms'!$A$28</definedName>
    <definedName name="Appen_NOA">'Appendix Terms'!$A$30</definedName>
    <definedName name="Appen_NSI">'Appendix Terms'!$A$29</definedName>
    <definedName name="Appen_OT">'Appendix Terms'!$A$31</definedName>
    <definedName name="Appen_PROGRAMS">'Appendix Terms'!$A$25</definedName>
    <definedName name="Appen_Prov">'Appendix Terms'!$A$35</definedName>
    <definedName name="Appen_REASSESS">'Appendix Terms'!$A$36</definedName>
    <definedName name="Appen_Recip">'Appendix Terms'!$A$38</definedName>
    <definedName name="Appen_RELATIVE_PROV">'Appendix Terms'!$A$37</definedName>
    <definedName name="Appen_SERVICES">'Appendix Terms'!$A$26</definedName>
    <definedName name="Appen_SI">'Appendix Terms'!$A$39</definedName>
    <definedName name="Appen_Violations">'Appendix Terms'!$A$33</definedName>
    <definedName name="Appen_WAGE_RATE">'Appendix Terms'!$A$41</definedName>
    <definedName name="columntitleregion1.a7.a28.11">'Appendix Terms'!$A$11</definedName>
    <definedName name="COUNTY_NAME">Data!$A$3:$A$61</definedName>
    <definedName name="COUNTY_SELECT">Navigation!$A$2</definedName>
    <definedName name="COUNTY_SIZE">Data!$B$3:$B$62</definedName>
    <definedName name="Data_Date">Navigation!$A$6</definedName>
    <definedName name="Home_Aged">'Aged, Blind, or Disabled'!$A$5</definedName>
    <definedName name="Home_AllData">Data!$C$3</definedName>
    <definedName name="Home_Appendix">'Appendix Terms'!$A$45</definedName>
    <definedName name="Home_Applicants">'IHSS Applicants'!$A$5</definedName>
    <definedName name="Home_Dashboard">Dashboard!$A$5</definedName>
    <definedName name="Home_Data">Data!$C$3</definedName>
    <definedName name="Home_Ethn">'Ethnicity Language'!$A$5</definedName>
    <definedName name="Home_GenData">'General Data'!$A$5</definedName>
    <definedName name="Home_Gender">'Age Gender'!$A$5</definedName>
    <definedName name="Home_Nav">Navigation!$A$5</definedName>
    <definedName name="Home_Prog">'Program Equity'!$A$5</definedName>
    <definedName name="Home_Prov">'Provider Details'!$A$5</definedName>
    <definedName name="Home_Serv">'IHSS Services'!$A$5</definedName>
    <definedName name="Home_Terms">'Appendix Terms'!$A$5</definedName>
    <definedName name="ht" localSheetId="12">ALL_DATA[[#Headers],[Wage Rate]]</definedName>
    <definedName name="ht">ALL_DATA[[#Headers],[Wage Rate]]</definedName>
    <definedName name="Nav_AgedBlDis" localSheetId="11">Navigation!$E$11</definedName>
    <definedName name="Nav_AgedBlDis" localSheetId="12">Navigation!$E$11</definedName>
    <definedName name="Nav_AgedBlDis">Navigation!$E$11</definedName>
    <definedName name="Nav_AgeGen" localSheetId="11">Navigation!$H$11</definedName>
    <definedName name="Nav_AgeGen" localSheetId="12">Navigation!$H$11</definedName>
    <definedName name="Nav_AgeGen">Navigation!$H$11</definedName>
    <definedName name="Nav_AllData" localSheetId="11">Navigation!$L$11</definedName>
    <definedName name="Nav_AllData" localSheetId="12">Navigation!$L$11</definedName>
    <definedName name="Nav_AllData">Navigation!$L$11</definedName>
    <definedName name="Nav_Dash" localSheetId="11">Navigation!$B$11</definedName>
    <definedName name="Nav_Dash" localSheetId="12">Navigation!$B$11</definedName>
    <definedName name="Nav_Dash">Navigation!$B$11</definedName>
    <definedName name="Nav_EthLang" localSheetId="11">Navigation!$I$11</definedName>
    <definedName name="Nav_EthLang" localSheetId="12">Navigation!$I$11</definedName>
    <definedName name="Nav_EthLang">Navigation!$I$11</definedName>
    <definedName name="Nav_GenData" localSheetId="11">Navigation!$C$11</definedName>
    <definedName name="Nav_GenData" localSheetId="12">Navigation!$C$11</definedName>
    <definedName name="Nav_GenData">Navigation!$C$11</definedName>
    <definedName name="Nav_Programs" localSheetId="11">Navigation!$F$11</definedName>
    <definedName name="Nav_Programs" localSheetId="12">Navigation!$F$11</definedName>
    <definedName name="Nav_Programs">Navigation!$F$11</definedName>
    <definedName name="Nav_Prov" localSheetId="11">Navigation!$J$11</definedName>
    <definedName name="Nav_Prov" localSheetId="12">Navigation!$J$11</definedName>
    <definedName name="Nav_Prov">Navigation!$J$11</definedName>
    <definedName name="Nav_Serv" localSheetId="11">Navigation!$G$11</definedName>
    <definedName name="Nav_Serv" localSheetId="12">Navigation!$G$11</definedName>
    <definedName name="Nav_Serv">Navigation!$G$11</definedName>
    <definedName name="Nav_Terms" localSheetId="11">Navigation!$K$11</definedName>
    <definedName name="Nav_Terms" localSheetId="12">Navigation!$K$11</definedName>
    <definedName name="Nav_Terms">Navigation!$K$11</definedName>
    <definedName name="NavTable" localSheetId="11">Navigation!$A$11</definedName>
    <definedName name="NavTable" localSheetId="12">Navigation!$A$11</definedName>
    <definedName name="NavTable">Navigation!$A$11</definedName>
    <definedName name="_xlnm.Print_Area" localSheetId="9">'Appendix Terms'!$A$1:$A$43</definedName>
    <definedName name="_xlnm.Print_Area" localSheetId="8">'Provider Details'!$A$1:$Q$146</definedName>
    <definedName name="Term_AgedBlindDisabled">'Aged, Blind, or Disabled'!$A$9</definedName>
    <definedName name="Term_AgeGroup">'Age Gender'!$A$10</definedName>
    <definedName name="Term_AuthHoursPerRecip">'General Data'!$A$13</definedName>
    <definedName name="Term_AuthRecipHours">'General Data'!$A$11</definedName>
    <definedName name="Term_BlindVisImpaird">'Aged, Blind, or Disabled'!$A$30</definedName>
    <definedName name="Term_BVIDelivery">'Aged, Blind, or Disabled'!$A$50</definedName>
    <definedName name="Term_BVITimesheet">'Aged, Blind, or Disabled'!$A$51</definedName>
    <definedName name="Term_CountySize">Dashboard!$A$10</definedName>
    <definedName name="Term_DDG">Dashboard!$A$11:$A$12</definedName>
    <definedName name="Term_DeniedApp">'IHSS Applicants'!$A$11</definedName>
    <definedName name="Term_EnrolledETS">'General Data'!$A$12</definedName>
    <definedName name="Term_Equity">'Program Equity'!$A$10</definedName>
    <definedName name="Term_EVV">'General Data'!$A$52</definedName>
    <definedName name="Term_Exemptions">'Provider Details'!$A$95</definedName>
    <definedName name="Term_ExitProgram">'IHSS Applicants'!$A$36</definedName>
    <definedName name="Term_FLSA">'Provider Details'!$A$92</definedName>
    <definedName name="Term_IHSSProgram">'General Data'!$A$79</definedName>
    <definedName name="Term_IHSSServices">'IHSS Services'!$A$10</definedName>
    <definedName name="Term_LiveInProv">'Provider Details'!$A$12</definedName>
    <definedName name="Term_NewApp">'IHSS Applicants'!$A$10</definedName>
    <definedName name="Term_NOA">'Aged, Blind, or Disabled'!$A$52</definedName>
    <definedName name="Term_NSI">'General Data'!$A$29</definedName>
    <definedName name="Term_Overtime">'Provider Details'!$A$96</definedName>
    <definedName name="Term_Provider">'Provider Details'!$A$11</definedName>
    <definedName name="Term_ReassessRate">'General Data'!$A$51</definedName>
    <definedName name="Term_Recip">'General Data'!$A$10</definedName>
    <definedName name="Term_RelativeProv">'Provider Details'!$A$13</definedName>
    <definedName name="Term_SI">'General Data'!$A$28</definedName>
    <definedName name="Term_Violations">'Provider Details'!$A$94</definedName>
    <definedName name="Term_WageRate">'Provider Details'!$A$71</definedName>
    <definedName name="titleregion1.a11.k21.2" localSheetId="12">Navigation!$A$11</definedName>
    <definedName name="titleregion1.a11.k21.2">Navigation!$A$11</definedName>
    <definedName name="titleregion1.a3.vn62.12" localSheetId="11">Data!$A$3</definedName>
    <definedName name="titleregion1.a3.vn62.12">ALL_DATA[[#Headers],[County Name]]</definedName>
    <definedName name="titleregion1.c21.f25.6">'IHSS Services'!$C$21</definedName>
    <definedName name="titleregion1.c22.o25.7">'Age Gender'!$C$22</definedName>
    <definedName name="titleregion1.d20.g26.4">'Aged, Blind, or Disabled'!$D$20</definedName>
    <definedName name="titleregion1.d20.g26.5">'Aged, Blind, or Disabled'!$D$20</definedName>
    <definedName name="titleregion1.d22.g25.3">'General Data'!$D$22</definedName>
    <definedName name="titleregion1.d23.g28.9">'Provider Details'!$D$23</definedName>
    <definedName name="titleregion1.d27.g30.13">'IHSS Applicants'!$D$24</definedName>
    <definedName name="titleregion1.d32.i51.5">'Program Equity'!$D$32</definedName>
    <definedName name="titleregion1.i8.o27.8">'Ethnicity Language'!$I$8</definedName>
    <definedName name="titleregion10.k225.p244.5">'Program Equity'!$K$225</definedName>
    <definedName name="titleregion11.d273.i292.5">'Program Equity'!$D$273</definedName>
    <definedName name="titleregion12.k273.p292.5">'Program Equity'!$K$273</definedName>
    <definedName name="titleregion13.d321.i340.5">'Program Equity'!$D$321</definedName>
    <definedName name="titleregion14.k321.p340.5">'Program Equity'!$K$321</definedName>
    <definedName name="titleregion2.a63.vn68.12">Data!$A$63</definedName>
    <definedName name="titleregion2.c43.o46.7">'Age Gender'!$C$43</definedName>
    <definedName name="titleregion2.h21.k25.6">'IHSS Services'!$H$21</definedName>
    <definedName name="titleregion2.i20.l26.4">'Aged, Blind, or Disabled'!$I$20</definedName>
    <definedName name="titleregion2.i22.l26.3">'General Data'!$I$22</definedName>
    <definedName name="titleregion2.i23.l28.9">'Provider Details'!$I$23</definedName>
    <definedName name="titleregion2.i27.l34.13">'IHSS Applicants'!$I$24</definedName>
    <definedName name="titleregion2.i41.o72.8">'Ethnicity Language'!$I$41</definedName>
    <definedName name="titleregion2.k32.p51.5">'Program Equity'!$K$32</definedName>
    <definedName name="titleregion3.a70.vn72.12">Data!$A$70</definedName>
    <definedName name="titleregion3.c62.f88.6">'IHSS Services'!$C$62</definedName>
    <definedName name="titleregion3.d43.g45.4">'Aged, Blind, or Disabled'!$D$43</definedName>
    <definedName name="titleregion3.d43.g47.3">'General Data'!$D$44</definedName>
    <definedName name="titleregion3.d79.i98.5">'Program Equity'!$D$79</definedName>
    <definedName name="titleregion3.g43.j47.7">'Age Gender'!$G$65</definedName>
    <definedName name="titleregion3.i33.o64.9">'Provider Details'!$I$33</definedName>
    <definedName name="titleregion3.i41.O66.13">'IHSS Applicants'!$I$35</definedName>
    <definedName name="titleregion4.d71.g83.4">'Aged, Blind, or Disabled'!$D$71</definedName>
    <definedName name="titleregion4.d82.g83.9">'Provider Details'!$D$85</definedName>
    <definedName name="titleregion4.h62.k88.6">'IHSS Services'!$H$62</definedName>
    <definedName name="titleregion4.i43.l47.3">'General Data'!$I$44</definedName>
    <definedName name="titleregion4.k79.p98.5">'Program Equity'!$K$79</definedName>
    <definedName name="titleregion5.c122.f136.6">'IHSS Services'!$C$122</definedName>
    <definedName name="titleregion5.d128.i147.5">'Program Equity'!$D$128</definedName>
    <definedName name="titleregion5.d67.g70.3">'General Data'!$D$67</definedName>
    <definedName name="titleregion5.d68.g71.3">'General Data'!#REF!</definedName>
    <definedName name="titleregion5.i71.l79.4">'Aged, Blind, or Disabled'!$I$71</definedName>
    <definedName name="titleregion5.i82.l85.9">'Provider Details'!$I$85</definedName>
    <definedName name="titleregion6.d104.g111.9">'Provider Details'!$D$107</definedName>
    <definedName name="titleregion6.h122.k136.6">'IHSS Services'!$H$122</definedName>
    <definedName name="titleregion6.i67.l71.3">'General Data'!$I$67</definedName>
    <definedName name="titleregion6.i68.l75.3">'General Data'!#REF!</definedName>
    <definedName name="titleregion6.k128.p147.5">'Program Equity'!$K$128</definedName>
    <definedName name="titleregion7.c139.f143.6">'IHSS Services'!$C$139</definedName>
    <definedName name="titleregion7.d176.i195.5">'Program Equity'!$D$176</definedName>
    <definedName name="titleregion7.d91.g99.3">'General Data'!$D$90</definedName>
    <definedName name="titleregion7.d93.g96.3">'General Data'!$D$67</definedName>
    <definedName name="titleregion7.i104.l109.9">'Provider Details'!$I$107</definedName>
    <definedName name="titleregion8.h139.k143.6">'IHSS Services'!$H$139</definedName>
    <definedName name="titleregion8.i91.l99.3">'General Data'!$I$90</definedName>
    <definedName name="titleregion8.i93.l97.3">'General Data'!$I$67</definedName>
    <definedName name="titleregion8.k176.p195.5">'Program Equity'!$K$176</definedName>
    <definedName name="titleregion9.d225.i244.5">'Program Equity'!$D$225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B71" i="135" l="1"/>
  <c r="IC71" i="135"/>
  <c r="ID71" i="135"/>
  <c r="IE71" i="135"/>
  <c r="IF71" i="135"/>
  <c r="IG71" i="135"/>
  <c r="IH71" i="135"/>
  <c r="II71" i="135"/>
  <c r="IJ71" i="135"/>
  <c r="IK71" i="135"/>
  <c r="IL71" i="135"/>
  <c r="IM71" i="135"/>
  <c r="IN71" i="135"/>
  <c r="IO71" i="135"/>
  <c r="IP71" i="135"/>
  <c r="IQ71" i="135"/>
  <c r="IR71" i="135"/>
  <c r="IS71" i="135"/>
  <c r="IT71" i="135"/>
  <c r="IU71" i="135"/>
  <c r="IV71" i="135"/>
  <c r="IW71" i="135"/>
  <c r="IX71" i="135"/>
  <c r="IY71" i="135"/>
  <c r="IZ71" i="135"/>
  <c r="JA71" i="135"/>
  <c r="JB71" i="135"/>
  <c r="JC71" i="135"/>
  <c r="JD71" i="135"/>
  <c r="JE71" i="135"/>
  <c r="JF71" i="135"/>
  <c r="JG71" i="135"/>
  <c r="JH71" i="135"/>
  <c r="JI71" i="135"/>
  <c r="JJ71" i="135"/>
  <c r="JK71" i="135"/>
  <c r="JL71" i="135"/>
  <c r="JM71" i="135"/>
  <c r="JN71" i="135"/>
  <c r="JO71" i="135"/>
  <c r="JP71" i="135"/>
  <c r="JQ71" i="135"/>
  <c r="JR71" i="135"/>
  <c r="JS71" i="135"/>
  <c r="JT71" i="135"/>
  <c r="JU71" i="135"/>
  <c r="JV71" i="135"/>
  <c r="JW71" i="135"/>
  <c r="JX71" i="135"/>
  <c r="JY71" i="135"/>
  <c r="JZ71" i="135"/>
  <c r="KA71" i="135"/>
  <c r="KB71" i="135"/>
  <c r="KC71" i="135"/>
  <c r="KD71" i="135"/>
  <c r="KE71" i="135"/>
  <c r="KF71" i="135"/>
  <c r="KG71" i="135"/>
  <c r="KH71" i="135"/>
  <c r="KI71" i="135"/>
  <c r="KJ71" i="135"/>
  <c r="KK71" i="135"/>
  <c r="KL71" i="135"/>
  <c r="KM71" i="135"/>
  <c r="KN71" i="135"/>
  <c r="KO71" i="135"/>
  <c r="KP71" i="135"/>
  <c r="KQ71" i="135"/>
  <c r="KR71" i="135"/>
  <c r="KS71" i="135"/>
  <c r="KT71" i="135"/>
  <c r="KU71" i="135"/>
  <c r="KV71" i="135"/>
  <c r="KW71" i="135"/>
  <c r="KX71" i="135"/>
  <c r="KY71" i="135"/>
  <c r="KZ71" i="135"/>
  <c r="LA71" i="135"/>
  <c r="LB71" i="135"/>
  <c r="LC71" i="135"/>
  <c r="LD71" i="135"/>
  <c r="LE71" i="135"/>
  <c r="LF71" i="135"/>
  <c r="LG71" i="135"/>
  <c r="LH71" i="135"/>
  <c r="LI71" i="135"/>
  <c r="LJ71" i="135"/>
  <c r="LK71" i="135"/>
  <c r="LL71" i="135"/>
  <c r="LM71" i="135"/>
  <c r="LN71" i="135"/>
  <c r="LO71" i="135"/>
  <c r="LP71" i="135"/>
  <c r="LQ71" i="135"/>
  <c r="LR71" i="135"/>
  <c r="LS71" i="135"/>
  <c r="LT71" i="135"/>
  <c r="LU71" i="135"/>
  <c r="LV71" i="135"/>
  <c r="LW71" i="135"/>
  <c r="LX71" i="135"/>
  <c r="LY71" i="135"/>
  <c r="LZ71" i="135"/>
  <c r="MA71" i="135"/>
  <c r="MB71" i="135"/>
  <c r="MC71" i="135"/>
  <c r="MD71" i="135"/>
  <c r="ME71" i="135"/>
  <c r="MF71" i="135"/>
  <c r="MG71" i="135"/>
  <c r="MH71" i="135"/>
  <c r="MI71" i="135"/>
  <c r="MJ71" i="135"/>
  <c r="MK71" i="135"/>
  <c r="ML71" i="135"/>
  <c r="MM71" i="135"/>
  <c r="MN71" i="135"/>
  <c r="MO71" i="135"/>
  <c r="MP71" i="135"/>
  <c r="MQ71" i="135"/>
  <c r="MR71" i="135"/>
  <c r="MS71" i="135"/>
  <c r="MT71" i="135"/>
  <c r="MU71" i="135"/>
  <c r="MV71" i="135"/>
  <c r="MW71" i="135"/>
  <c r="MX71" i="135"/>
  <c r="MY71" i="135"/>
  <c r="MZ71" i="135"/>
  <c r="NA71" i="135"/>
  <c r="NB71" i="135"/>
  <c r="IA71" i="135"/>
  <c r="N321" i="125" l="1"/>
  <c r="N273" i="125"/>
  <c r="N225" i="125"/>
  <c r="N176" i="125"/>
  <c r="N128" i="125"/>
  <c r="N79" i="125"/>
  <c r="N32" i="125"/>
  <c r="L97" i="121" l="1"/>
  <c r="G97" i="121"/>
  <c r="L98" i="121" s="1"/>
  <c r="L95" i="121"/>
  <c r="G95" i="121"/>
  <c r="G96" i="121" s="1"/>
  <c r="L93" i="121"/>
  <c r="G93" i="121"/>
  <c r="G94" i="121" s="1"/>
  <c r="L91" i="121"/>
  <c r="G91" i="121"/>
  <c r="G92" i="121" s="1"/>
  <c r="G90" i="121"/>
  <c r="L92" i="121" l="1"/>
  <c r="L94" i="121"/>
  <c r="L96" i="121"/>
  <c r="G98" i="121"/>
  <c r="L79" i="125"/>
  <c r="L128" i="125"/>
  <c r="L176" i="125"/>
  <c r="L225" i="125"/>
  <c r="L273" i="125"/>
  <c r="L321" i="125"/>
  <c r="L32" i="125"/>
  <c r="Y147" i="115" l="1"/>
  <c r="Y146" i="115"/>
  <c r="Y145" i="115"/>
  <c r="Y144" i="115"/>
  <c r="Y143" i="115"/>
  <c r="Y142" i="115"/>
  <c r="Y141" i="115"/>
  <c r="Y140" i="115"/>
  <c r="Y139" i="115"/>
  <c r="Y138" i="115"/>
  <c r="Y137" i="115"/>
  <c r="Y136" i="115"/>
  <c r="Y134" i="115"/>
  <c r="Y133" i="115"/>
  <c r="Y132" i="115"/>
  <c r="Y131" i="115"/>
  <c r="Y130" i="115"/>
  <c r="Y128" i="115"/>
  <c r="J21" i="115"/>
  <c r="J20" i="115"/>
  <c r="J19" i="115"/>
  <c r="J18" i="115"/>
  <c r="J17" i="115"/>
  <c r="J16" i="115"/>
  <c r="J15" i="115"/>
  <c r="J14" i="115"/>
  <c r="J13" i="115"/>
  <c r="J12" i="115"/>
  <c r="J11" i="115"/>
  <c r="J10" i="115"/>
  <c r="J8" i="115"/>
  <c r="J7" i="115"/>
  <c r="J6" i="115"/>
  <c r="J5" i="115"/>
  <c r="J4" i="115"/>
  <c r="J3" i="115"/>
  <c r="V148" i="115"/>
  <c r="V147" i="115"/>
  <c r="V146" i="115"/>
  <c r="V145" i="115"/>
  <c r="V144" i="115"/>
  <c r="V143" i="115"/>
  <c r="V142" i="115"/>
  <c r="V141" i="115"/>
  <c r="V140" i="115"/>
  <c r="V139" i="115"/>
  <c r="V138" i="115"/>
  <c r="V137" i="115"/>
  <c r="V136" i="115"/>
  <c r="V135" i="115"/>
  <c r="V134" i="115"/>
  <c r="V133" i="115"/>
  <c r="V132" i="115"/>
  <c r="V131" i="115"/>
  <c r="V130" i="115"/>
  <c r="S302" i="115" l="1"/>
  <c r="S301" i="115"/>
  <c r="S300" i="115"/>
  <c r="S299" i="115"/>
  <c r="S298" i="115"/>
  <c r="S297" i="115"/>
  <c r="S296" i="115"/>
  <c r="S295" i="115"/>
  <c r="S294" i="115"/>
  <c r="S293" i="115"/>
  <c r="S292" i="115"/>
  <c r="S291" i="115"/>
  <c r="S290" i="115"/>
  <c r="S289" i="115"/>
  <c r="S288" i="115"/>
  <c r="S287" i="115"/>
  <c r="S286" i="115"/>
  <c r="S285" i="115"/>
  <c r="S284" i="115"/>
  <c r="R302" i="115"/>
  <c r="R301" i="115"/>
  <c r="R300" i="115"/>
  <c r="R299" i="115"/>
  <c r="R298" i="115"/>
  <c r="R297" i="115"/>
  <c r="R296" i="115"/>
  <c r="R295" i="115"/>
  <c r="R294" i="115"/>
  <c r="R293" i="115"/>
  <c r="R292" i="115"/>
  <c r="R291" i="115"/>
  <c r="R290" i="115"/>
  <c r="R289" i="115"/>
  <c r="R288" i="115"/>
  <c r="R287" i="115"/>
  <c r="R286" i="115"/>
  <c r="R285" i="115"/>
  <c r="R284" i="115"/>
  <c r="N282" i="115"/>
  <c r="C282" i="115"/>
  <c r="R257" i="115"/>
  <c r="O109" i="115"/>
  <c r="O108" i="115"/>
  <c r="O107" i="115"/>
  <c r="O106" i="115"/>
  <c r="O105" i="115"/>
  <c r="O104" i="115"/>
  <c r="O103" i="115"/>
  <c r="O102" i="115"/>
  <c r="K100" i="115"/>
  <c r="C100" i="115"/>
  <c r="P96" i="115"/>
  <c r="O96" i="115"/>
  <c r="P95" i="115"/>
  <c r="O95" i="115"/>
  <c r="P94" i="115"/>
  <c r="O94" i="115"/>
  <c r="P93" i="115"/>
  <c r="O93" i="115"/>
  <c r="P92" i="115"/>
  <c r="O92" i="115"/>
  <c r="P91" i="115"/>
  <c r="O91" i="115"/>
  <c r="P90" i="115"/>
  <c r="O90" i="115"/>
  <c r="P89" i="115"/>
  <c r="O89" i="115"/>
  <c r="P88" i="115"/>
  <c r="O88" i="115"/>
  <c r="P87" i="115"/>
  <c r="O87" i="115"/>
  <c r="P86" i="115"/>
  <c r="O86" i="115"/>
  <c r="P85" i="115"/>
  <c r="O85" i="115"/>
  <c r="P84" i="115"/>
  <c r="O84" i="115"/>
  <c r="P83" i="115"/>
  <c r="O83" i="115"/>
  <c r="P82" i="115"/>
  <c r="O82" i="115"/>
  <c r="P81" i="115"/>
  <c r="O81" i="115"/>
  <c r="P80" i="115"/>
  <c r="O80" i="115"/>
  <c r="P79" i="115"/>
  <c r="O79" i="115"/>
  <c r="P78" i="115"/>
  <c r="O78" i="115"/>
  <c r="P77" i="115"/>
  <c r="O77" i="115"/>
  <c r="P76" i="115"/>
  <c r="O76" i="115"/>
  <c r="P75" i="115"/>
  <c r="O75" i="115"/>
  <c r="P74" i="115"/>
  <c r="O74" i="115"/>
  <c r="P73" i="115"/>
  <c r="O73" i="115"/>
  <c r="P72" i="115"/>
  <c r="O72" i="115"/>
  <c r="P71" i="115"/>
  <c r="O71" i="115"/>
  <c r="P70" i="115"/>
  <c r="O70" i="115"/>
  <c r="P69" i="115"/>
  <c r="O69" i="115"/>
  <c r="P68" i="115"/>
  <c r="O68" i="115"/>
  <c r="P67" i="115"/>
  <c r="O67" i="115"/>
  <c r="P66" i="115"/>
  <c r="O66" i="115"/>
  <c r="P65" i="115"/>
  <c r="O65" i="115"/>
  <c r="P64" i="115"/>
  <c r="O64" i="115"/>
  <c r="K63" i="115"/>
  <c r="C63" i="115"/>
  <c r="P58" i="115"/>
  <c r="O58" i="115"/>
  <c r="P57" i="115"/>
  <c r="O57" i="115"/>
  <c r="P56" i="115"/>
  <c r="O56" i="115"/>
  <c r="P55" i="115"/>
  <c r="O55" i="115"/>
  <c r="P54" i="115"/>
  <c r="O54" i="115"/>
  <c r="P53" i="115"/>
  <c r="O53" i="115"/>
  <c r="P52" i="115"/>
  <c r="O52" i="115"/>
  <c r="P51" i="115"/>
  <c r="O51" i="115"/>
  <c r="P50" i="115"/>
  <c r="O50" i="115"/>
  <c r="P49" i="115"/>
  <c r="O49" i="115"/>
  <c r="P48" i="115"/>
  <c r="O48" i="115"/>
  <c r="P47" i="115"/>
  <c r="O47" i="115"/>
  <c r="P46" i="115"/>
  <c r="O46" i="115"/>
  <c r="P45" i="115"/>
  <c r="O45" i="115"/>
  <c r="P44" i="115"/>
  <c r="O44" i="115"/>
  <c r="P43" i="115"/>
  <c r="O43" i="115"/>
  <c r="P42" i="115"/>
  <c r="O42" i="115"/>
  <c r="P41" i="115"/>
  <c r="O41" i="115"/>
  <c r="P40" i="115"/>
  <c r="O40" i="115"/>
  <c r="P39" i="115"/>
  <c r="O39" i="115"/>
  <c r="P38" i="115"/>
  <c r="O38" i="115"/>
  <c r="P37" i="115"/>
  <c r="O37" i="115"/>
  <c r="P36" i="115"/>
  <c r="O36" i="115"/>
  <c r="P35" i="115"/>
  <c r="O35" i="115"/>
  <c r="P34" i="115"/>
  <c r="O34" i="115"/>
  <c r="P33" i="115"/>
  <c r="O33" i="115"/>
  <c r="P32" i="115"/>
  <c r="O32" i="115"/>
  <c r="P31" i="115"/>
  <c r="O31" i="115"/>
  <c r="P30" i="115"/>
  <c r="O30" i="115"/>
  <c r="P29" i="115"/>
  <c r="O29" i="115"/>
  <c r="P28" i="115"/>
  <c r="O28" i="115"/>
  <c r="P27" i="115"/>
  <c r="O27" i="115"/>
  <c r="P26" i="115"/>
  <c r="O26" i="115"/>
  <c r="K25" i="115"/>
  <c r="C25" i="115"/>
  <c r="P21" i="115"/>
  <c r="O21" i="115"/>
  <c r="P20" i="115"/>
  <c r="O20" i="115"/>
  <c r="P19" i="115"/>
  <c r="O19" i="115"/>
  <c r="P18" i="115"/>
  <c r="O18" i="115"/>
  <c r="P17" i="115"/>
  <c r="O17" i="115"/>
  <c r="P16" i="115"/>
  <c r="O16" i="115"/>
  <c r="P15" i="115"/>
  <c r="O15" i="115"/>
  <c r="P14" i="115"/>
  <c r="O14" i="115"/>
  <c r="P13" i="115"/>
  <c r="O13" i="115"/>
  <c r="P12" i="115"/>
  <c r="O12" i="115"/>
  <c r="P11" i="115"/>
  <c r="O11" i="115"/>
  <c r="P10" i="115"/>
  <c r="O10" i="115"/>
  <c r="P9" i="115"/>
  <c r="O9" i="115"/>
  <c r="P8" i="115"/>
  <c r="O8" i="115"/>
  <c r="P7" i="115"/>
  <c r="O7" i="115"/>
  <c r="P6" i="115"/>
  <c r="O6" i="115"/>
  <c r="P5" i="115"/>
  <c r="O5" i="115"/>
  <c r="P4" i="115"/>
  <c r="O4" i="115"/>
  <c r="P3" i="115"/>
  <c r="O3" i="115"/>
  <c r="K2" i="115"/>
  <c r="C2" i="115"/>
  <c r="R275" i="115"/>
  <c r="R274" i="115"/>
  <c r="R273" i="115"/>
  <c r="R272" i="115"/>
  <c r="R271" i="115"/>
  <c r="R270" i="115"/>
  <c r="R269" i="115"/>
  <c r="R268" i="115"/>
  <c r="R267" i="115"/>
  <c r="R266" i="115"/>
  <c r="R265" i="115"/>
  <c r="R264" i="115"/>
  <c r="R263" i="115"/>
  <c r="R262" i="115"/>
  <c r="R261" i="115"/>
  <c r="R260" i="115"/>
  <c r="R259" i="115"/>
  <c r="R258" i="115"/>
  <c r="N255" i="115"/>
  <c r="C255" i="115"/>
  <c r="S249" i="115"/>
  <c r="S248" i="115"/>
  <c r="S247" i="115"/>
  <c r="S246" i="115"/>
  <c r="S245" i="115"/>
  <c r="S244" i="115"/>
  <c r="S243" i="115"/>
  <c r="S242" i="115"/>
  <c r="S241" i="115"/>
  <c r="S240" i="115"/>
  <c r="S239" i="115"/>
  <c r="S238" i="115"/>
  <c r="S237" i="115"/>
  <c r="S236" i="115"/>
  <c r="S235" i="115"/>
  <c r="S234" i="115"/>
  <c r="S233" i="115"/>
  <c r="S232" i="115"/>
  <c r="S231" i="115"/>
  <c r="R249" i="115"/>
  <c r="R248" i="115"/>
  <c r="R247" i="115"/>
  <c r="R246" i="115"/>
  <c r="R245" i="115"/>
  <c r="R244" i="115"/>
  <c r="R243" i="115"/>
  <c r="R242" i="115"/>
  <c r="R241" i="115"/>
  <c r="R240" i="115"/>
  <c r="R239" i="115"/>
  <c r="R238" i="115"/>
  <c r="R237" i="115"/>
  <c r="R236" i="115"/>
  <c r="R235" i="115"/>
  <c r="R234" i="115"/>
  <c r="R233" i="115"/>
  <c r="R232" i="115"/>
  <c r="R231" i="115"/>
  <c r="N229" i="115"/>
  <c r="C229" i="115"/>
  <c r="R224" i="115"/>
  <c r="R223" i="115"/>
  <c r="R222" i="115"/>
  <c r="R221" i="115"/>
  <c r="R220" i="115"/>
  <c r="R219" i="115"/>
  <c r="R218" i="115"/>
  <c r="R217" i="115"/>
  <c r="R216" i="115"/>
  <c r="R215" i="115"/>
  <c r="R214" i="115"/>
  <c r="R213" i="115"/>
  <c r="R212" i="115"/>
  <c r="R211" i="115"/>
  <c r="R210" i="115"/>
  <c r="R209" i="115"/>
  <c r="R208" i="115"/>
  <c r="R207" i="115"/>
  <c r="R206" i="115"/>
  <c r="S224" i="115"/>
  <c r="S223" i="115"/>
  <c r="S222" i="115"/>
  <c r="S221" i="115"/>
  <c r="S220" i="115"/>
  <c r="S219" i="115"/>
  <c r="S218" i="115"/>
  <c r="S217" i="115"/>
  <c r="S216" i="115"/>
  <c r="S215" i="115"/>
  <c r="S214" i="115"/>
  <c r="S213" i="115"/>
  <c r="S212" i="115"/>
  <c r="S211" i="115"/>
  <c r="S210" i="115"/>
  <c r="S209" i="115"/>
  <c r="S208" i="115"/>
  <c r="S207" i="115"/>
  <c r="S206" i="115"/>
  <c r="S199" i="115"/>
  <c r="S198" i="115"/>
  <c r="S197" i="115"/>
  <c r="S196" i="115"/>
  <c r="S195" i="115"/>
  <c r="S194" i="115"/>
  <c r="S193" i="115"/>
  <c r="S192" i="115"/>
  <c r="S191" i="115"/>
  <c r="S190" i="115"/>
  <c r="S189" i="115"/>
  <c r="S188" i="115"/>
  <c r="S187" i="115"/>
  <c r="S186" i="115"/>
  <c r="S185" i="115"/>
  <c r="S184" i="115"/>
  <c r="S183" i="115"/>
  <c r="S182" i="115"/>
  <c r="S181" i="115"/>
  <c r="R181" i="115"/>
  <c r="S175" i="115"/>
  <c r="S174" i="115"/>
  <c r="S173" i="115"/>
  <c r="S172" i="115"/>
  <c r="S171" i="115"/>
  <c r="S170" i="115"/>
  <c r="S169" i="115"/>
  <c r="S168" i="115"/>
  <c r="S167" i="115"/>
  <c r="S166" i="115"/>
  <c r="S165" i="115"/>
  <c r="S164" i="115"/>
  <c r="S163" i="115"/>
  <c r="S162" i="115"/>
  <c r="S161" i="115"/>
  <c r="S160" i="115"/>
  <c r="S159" i="115"/>
  <c r="S158" i="115"/>
  <c r="S157" i="115"/>
  <c r="N204" i="115"/>
  <c r="C204" i="115"/>
  <c r="R199" i="115"/>
  <c r="R198" i="115"/>
  <c r="R197" i="115"/>
  <c r="R196" i="115"/>
  <c r="R195" i="115"/>
  <c r="R194" i="115"/>
  <c r="R193" i="115"/>
  <c r="R192" i="115"/>
  <c r="R191" i="115"/>
  <c r="R190" i="115"/>
  <c r="R189" i="115"/>
  <c r="R188" i="115"/>
  <c r="R187" i="115"/>
  <c r="R186" i="115"/>
  <c r="R185" i="115"/>
  <c r="R184" i="115"/>
  <c r="R183" i="115"/>
  <c r="R182" i="115"/>
  <c r="N179" i="115"/>
  <c r="C179" i="115"/>
  <c r="R157" i="115"/>
  <c r="R175" i="115"/>
  <c r="R174" i="115"/>
  <c r="R173" i="115"/>
  <c r="R172" i="115"/>
  <c r="R171" i="115"/>
  <c r="R170" i="115"/>
  <c r="R169" i="115"/>
  <c r="R168" i="115"/>
  <c r="R167" i="115"/>
  <c r="R166" i="115"/>
  <c r="R165" i="115"/>
  <c r="R164" i="115"/>
  <c r="R163" i="115"/>
  <c r="R162" i="115"/>
  <c r="R161" i="115"/>
  <c r="R160" i="115"/>
  <c r="R159" i="115"/>
  <c r="R158" i="115"/>
  <c r="N155" i="115"/>
  <c r="C155" i="115"/>
  <c r="S148" i="115"/>
  <c r="R148" i="115"/>
  <c r="S147" i="115"/>
  <c r="R147" i="115"/>
  <c r="S146" i="115"/>
  <c r="R146" i="115"/>
  <c r="S145" i="115"/>
  <c r="R145" i="115"/>
  <c r="S144" i="115"/>
  <c r="R144" i="115"/>
  <c r="S143" i="115"/>
  <c r="R143" i="115"/>
  <c r="S142" i="115"/>
  <c r="R142" i="115"/>
  <c r="S141" i="115"/>
  <c r="R141" i="115"/>
  <c r="S140" i="115"/>
  <c r="R140" i="115"/>
  <c r="S139" i="115"/>
  <c r="R139" i="115"/>
  <c r="S138" i="115"/>
  <c r="R138" i="115"/>
  <c r="S137" i="115"/>
  <c r="R137" i="115"/>
  <c r="S136" i="115"/>
  <c r="R136" i="115"/>
  <c r="S135" i="115"/>
  <c r="R135" i="115"/>
  <c r="S134" i="115"/>
  <c r="R134" i="115"/>
  <c r="S133" i="115"/>
  <c r="R133" i="115"/>
  <c r="S132" i="115"/>
  <c r="R132" i="115"/>
  <c r="S131" i="115"/>
  <c r="R131" i="115"/>
  <c r="S130" i="115"/>
  <c r="R130" i="115"/>
  <c r="N128" i="115"/>
  <c r="C128" i="115"/>
  <c r="O125" i="115"/>
  <c r="O124" i="115"/>
  <c r="O123" i="115"/>
  <c r="O122" i="115"/>
  <c r="O121" i="115"/>
  <c r="O120" i="115"/>
  <c r="O119" i="115"/>
  <c r="O118" i="115"/>
  <c r="O117" i="115"/>
  <c r="O116" i="115"/>
  <c r="O115" i="115"/>
  <c r="O114" i="115"/>
  <c r="O113" i="115"/>
  <c r="O112" i="115"/>
  <c r="O111" i="115"/>
  <c r="O110" i="115"/>
  <c r="N131" i="115"/>
  <c r="N132" i="115"/>
  <c r="N133" i="115"/>
  <c r="N134" i="115"/>
  <c r="N135" i="115"/>
  <c r="N136" i="115"/>
  <c r="N137" i="115"/>
  <c r="N138" i="115"/>
  <c r="N139" i="115"/>
  <c r="N140" i="115"/>
  <c r="N141" i="115"/>
  <c r="N142" i="115"/>
  <c r="N143" i="115"/>
  <c r="N144" i="115"/>
  <c r="N145" i="115"/>
  <c r="N146" i="115"/>
  <c r="N147" i="115"/>
  <c r="N148" i="115"/>
  <c r="N157" i="115"/>
  <c r="N158" i="115"/>
  <c r="N159" i="115"/>
  <c r="N160" i="115"/>
  <c r="N161" i="115"/>
  <c r="N162" i="115"/>
  <c r="N163" i="115"/>
  <c r="N164" i="115"/>
  <c r="N165" i="115"/>
  <c r="N166" i="115"/>
  <c r="N167" i="115"/>
  <c r="N168" i="115"/>
  <c r="N169" i="115"/>
  <c r="N170" i="115"/>
  <c r="N171" i="115"/>
  <c r="N172" i="115"/>
  <c r="N173" i="115"/>
  <c r="N174" i="115"/>
  <c r="N175" i="115"/>
  <c r="N181" i="115"/>
  <c r="N183" i="115"/>
  <c r="N184" i="115"/>
  <c r="N185" i="115"/>
  <c r="N187" i="115"/>
  <c r="N188" i="115"/>
  <c r="N189" i="115"/>
  <c r="N191" i="115"/>
  <c r="N192" i="115"/>
  <c r="N193" i="115"/>
  <c r="N195" i="115"/>
  <c r="N196" i="115"/>
  <c r="N197" i="115"/>
  <c r="N199" i="115"/>
  <c r="N206" i="115"/>
  <c r="N207" i="115"/>
  <c r="N208" i="115"/>
  <c r="N209" i="115"/>
  <c r="N210" i="115"/>
  <c r="N211" i="115"/>
  <c r="N212" i="115"/>
  <c r="N213" i="115"/>
  <c r="N214" i="115"/>
  <c r="N215" i="115"/>
  <c r="N216" i="115"/>
  <c r="N217" i="115"/>
  <c r="N218" i="115"/>
  <c r="N219" i="115"/>
  <c r="N220" i="115"/>
  <c r="N221" i="115"/>
  <c r="N222" i="115"/>
  <c r="N223" i="115"/>
  <c r="N224" i="115"/>
  <c r="N231" i="115"/>
  <c r="N232" i="115"/>
  <c r="N233" i="115"/>
  <c r="N234" i="115"/>
  <c r="N235" i="115"/>
  <c r="N236" i="115"/>
  <c r="N237" i="115"/>
  <c r="N238" i="115"/>
  <c r="N239" i="115"/>
  <c r="N240" i="115"/>
  <c r="N241" i="115"/>
  <c r="N242" i="115"/>
  <c r="N243" i="115"/>
  <c r="N244" i="115"/>
  <c r="N245" i="115"/>
  <c r="N246" i="115"/>
  <c r="N247" i="115"/>
  <c r="N248" i="115"/>
  <c r="N249" i="115"/>
  <c r="N257" i="115"/>
  <c r="N258" i="115"/>
  <c r="N259" i="115"/>
  <c r="N260" i="115"/>
  <c r="N261" i="115"/>
  <c r="N262" i="115"/>
  <c r="N263" i="115"/>
  <c r="N264" i="115"/>
  <c r="N265" i="115"/>
  <c r="N266" i="115"/>
  <c r="N267" i="115"/>
  <c r="N268" i="115"/>
  <c r="N269" i="115"/>
  <c r="N270" i="115"/>
  <c r="N271" i="115"/>
  <c r="N272" i="115"/>
  <c r="N273" i="115"/>
  <c r="N274" i="115"/>
  <c r="N275" i="115"/>
  <c r="N284" i="115"/>
  <c r="N285" i="115"/>
  <c r="N286" i="115"/>
  <c r="N287" i="115"/>
  <c r="N288" i="115"/>
  <c r="N289" i="115"/>
  <c r="N290" i="115"/>
  <c r="N291" i="115"/>
  <c r="N292" i="115"/>
  <c r="N293" i="115"/>
  <c r="N294" i="115"/>
  <c r="N295" i="115"/>
  <c r="N296" i="115"/>
  <c r="N297" i="115"/>
  <c r="N298" i="115"/>
  <c r="N299" i="115"/>
  <c r="N300" i="115"/>
  <c r="N301" i="115"/>
  <c r="N302" i="115"/>
  <c r="HZ71" i="135"/>
  <c r="N130" i="115" s="1"/>
  <c r="QL71" i="135"/>
  <c r="QM71" i="135"/>
  <c r="QN71" i="135"/>
  <c r="QO71" i="135"/>
  <c r="QP71" i="135"/>
  <c r="QQ71" i="135"/>
  <c r="QR71" i="135"/>
  <c r="QS71" i="135"/>
  <c r="QT71" i="135"/>
  <c r="QU71" i="135"/>
  <c r="QV71" i="135"/>
  <c r="QW71" i="135"/>
  <c r="QX71" i="135"/>
  <c r="QY71" i="135"/>
  <c r="QZ71" i="135"/>
  <c r="RA71" i="135"/>
  <c r="RB71" i="135"/>
  <c r="RC71" i="135"/>
  <c r="RD71" i="135"/>
  <c r="RE71" i="135"/>
  <c r="O157" i="115" s="1"/>
  <c r="RF71" i="135"/>
  <c r="O158" i="115" s="1"/>
  <c r="RG71" i="135"/>
  <c r="O159" i="115" s="1"/>
  <c r="RH71" i="135"/>
  <c r="O160" i="115" s="1"/>
  <c r="RI71" i="135"/>
  <c r="O161" i="115" s="1"/>
  <c r="RJ71" i="135"/>
  <c r="O162" i="115" s="1"/>
  <c r="RK71" i="135"/>
  <c r="O163" i="115" s="1"/>
  <c r="RL71" i="135"/>
  <c r="O164" i="115" s="1"/>
  <c r="RM71" i="135"/>
  <c r="O165" i="115" s="1"/>
  <c r="RN71" i="135"/>
  <c r="O166" i="115" s="1"/>
  <c r="RO71" i="135"/>
  <c r="O167" i="115" s="1"/>
  <c r="RP71" i="135"/>
  <c r="O168" i="115" s="1"/>
  <c r="RQ71" i="135"/>
  <c r="O169" i="115" s="1"/>
  <c r="RR71" i="135"/>
  <c r="O170" i="115" s="1"/>
  <c r="RS71" i="135"/>
  <c r="O171" i="115" s="1"/>
  <c r="RT71" i="135"/>
  <c r="O172" i="115" s="1"/>
  <c r="RU71" i="135"/>
  <c r="O173" i="115" s="1"/>
  <c r="RV71" i="135"/>
  <c r="O174" i="115" s="1"/>
  <c r="RW71" i="135"/>
  <c r="O175" i="115" s="1"/>
  <c r="RX71" i="135"/>
  <c r="O181" i="115" s="1"/>
  <c r="RY71" i="135"/>
  <c r="O182" i="115" s="1"/>
  <c r="RZ71" i="135"/>
  <c r="O183" i="115" s="1"/>
  <c r="SA71" i="135"/>
  <c r="O184" i="115" s="1"/>
  <c r="SB71" i="135"/>
  <c r="O185" i="115" s="1"/>
  <c r="SC71" i="135"/>
  <c r="O186" i="115" s="1"/>
  <c r="SD71" i="135"/>
  <c r="O187" i="115" s="1"/>
  <c r="SE71" i="135"/>
  <c r="O188" i="115" s="1"/>
  <c r="SF71" i="135"/>
  <c r="O189" i="115" s="1"/>
  <c r="SG71" i="135"/>
  <c r="O190" i="115" s="1"/>
  <c r="SH71" i="135"/>
  <c r="O191" i="115" s="1"/>
  <c r="SI71" i="135"/>
  <c r="O192" i="115" s="1"/>
  <c r="SJ71" i="135"/>
  <c r="O193" i="115" s="1"/>
  <c r="SK71" i="135"/>
  <c r="O194" i="115" s="1"/>
  <c r="SL71" i="135"/>
  <c r="O195" i="115" s="1"/>
  <c r="SM71" i="135"/>
  <c r="O196" i="115" s="1"/>
  <c r="SN71" i="135"/>
  <c r="O197" i="115" s="1"/>
  <c r="SO71" i="135"/>
  <c r="O198" i="115" s="1"/>
  <c r="SP71" i="135"/>
  <c r="O199" i="115" s="1"/>
  <c r="SQ71" i="135"/>
  <c r="O206" i="115" s="1"/>
  <c r="SR71" i="135"/>
  <c r="O207" i="115" s="1"/>
  <c r="SS71" i="135"/>
  <c r="O208" i="115" s="1"/>
  <c r="ST71" i="135"/>
  <c r="O209" i="115" s="1"/>
  <c r="SU71" i="135"/>
  <c r="O210" i="115" s="1"/>
  <c r="SV71" i="135"/>
  <c r="O211" i="115" s="1"/>
  <c r="SW71" i="135"/>
  <c r="O212" i="115" s="1"/>
  <c r="SX71" i="135"/>
  <c r="O213" i="115" s="1"/>
  <c r="SY71" i="135"/>
  <c r="O214" i="115" s="1"/>
  <c r="SZ71" i="135"/>
  <c r="O215" i="115" s="1"/>
  <c r="TA71" i="135"/>
  <c r="O216" i="115" s="1"/>
  <c r="TB71" i="135"/>
  <c r="O217" i="115" s="1"/>
  <c r="TC71" i="135"/>
  <c r="O218" i="115" s="1"/>
  <c r="TD71" i="135"/>
  <c r="O219" i="115" s="1"/>
  <c r="TE71" i="135"/>
  <c r="O220" i="115" s="1"/>
  <c r="TF71" i="135"/>
  <c r="O221" i="115" s="1"/>
  <c r="TG71" i="135"/>
  <c r="O222" i="115" s="1"/>
  <c r="TH71" i="135"/>
  <c r="O223" i="115" s="1"/>
  <c r="TI71" i="135"/>
  <c r="O224" i="115" s="1"/>
  <c r="TJ71" i="135"/>
  <c r="O231" i="115" s="1"/>
  <c r="TK71" i="135"/>
  <c r="O232" i="115" s="1"/>
  <c r="TL71" i="135"/>
  <c r="O233" i="115" s="1"/>
  <c r="TM71" i="135"/>
  <c r="O234" i="115" s="1"/>
  <c r="TN71" i="135"/>
  <c r="O235" i="115" s="1"/>
  <c r="TO71" i="135"/>
  <c r="O236" i="115" s="1"/>
  <c r="TP71" i="135"/>
  <c r="O237" i="115" s="1"/>
  <c r="TQ71" i="135"/>
  <c r="O238" i="115" s="1"/>
  <c r="TR71" i="135"/>
  <c r="O239" i="115" s="1"/>
  <c r="TS71" i="135"/>
  <c r="O240" i="115" s="1"/>
  <c r="TT71" i="135"/>
  <c r="O241" i="115" s="1"/>
  <c r="TU71" i="135"/>
  <c r="O242" i="115" s="1"/>
  <c r="TV71" i="135"/>
  <c r="O243" i="115" s="1"/>
  <c r="TW71" i="135"/>
  <c r="O244" i="115" s="1"/>
  <c r="TX71" i="135"/>
  <c r="O245" i="115" s="1"/>
  <c r="TY71" i="135"/>
  <c r="O246" i="115" s="1"/>
  <c r="TZ71" i="135"/>
  <c r="O247" i="115" s="1"/>
  <c r="UA71" i="135"/>
  <c r="O248" i="115" s="1"/>
  <c r="UB71" i="135"/>
  <c r="O249" i="115" s="1"/>
  <c r="UC71" i="135"/>
  <c r="UD71" i="135"/>
  <c r="UE71" i="135"/>
  <c r="D278" i="115" s="1"/>
  <c r="UF71" i="135"/>
  <c r="UG71" i="135"/>
  <c r="UH71" i="135"/>
  <c r="UI71" i="135"/>
  <c r="UJ71" i="135"/>
  <c r="UK71" i="135"/>
  <c r="UL71" i="135"/>
  <c r="UM71" i="135"/>
  <c r="UN71" i="135"/>
  <c r="UO71" i="135"/>
  <c r="UP71" i="135"/>
  <c r="UQ71" i="135"/>
  <c r="UR71" i="135"/>
  <c r="US71" i="135"/>
  <c r="UT71" i="135"/>
  <c r="UU71" i="135"/>
  <c r="UV71" i="135"/>
  <c r="UW71" i="135"/>
  <c r="UX71" i="135"/>
  <c r="UY71" i="135"/>
  <c r="UZ71" i="135"/>
  <c r="VA71" i="135"/>
  <c r="VB71" i="135"/>
  <c r="VC71" i="135"/>
  <c r="VD71" i="135"/>
  <c r="VE71" i="135"/>
  <c r="VF71" i="135"/>
  <c r="VG71" i="135"/>
  <c r="VH71" i="135"/>
  <c r="VI71" i="135"/>
  <c r="VJ71" i="135"/>
  <c r="VK71" i="135"/>
  <c r="VL71" i="135"/>
  <c r="VM71" i="135"/>
  <c r="VN71" i="135"/>
  <c r="O101" i="115" l="1"/>
  <c r="P102" i="115" s="1"/>
  <c r="L298" i="115"/>
  <c r="L301" i="115"/>
  <c r="L293" i="115"/>
  <c r="L289" i="115"/>
  <c r="L285" i="115"/>
  <c r="L297" i="115"/>
  <c r="L300" i="115"/>
  <c r="L292" i="115"/>
  <c r="L288" i="115"/>
  <c r="L284" i="115"/>
  <c r="L296" i="115"/>
  <c r="L295" i="115"/>
  <c r="L299" i="115"/>
  <c r="L287" i="115"/>
  <c r="L290" i="115"/>
  <c r="L291" i="115"/>
  <c r="L302" i="115"/>
  <c r="L294" i="115"/>
  <c r="L286" i="115"/>
  <c r="L273" i="115"/>
  <c r="L265" i="115"/>
  <c r="L272" i="115"/>
  <c r="O259" i="115"/>
  <c r="L257" i="115"/>
  <c r="L238" i="115"/>
  <c r="L261" i="115"/>
  <c r="L232" i="115"/>
  <c r="L268" i="115"/>
  <c r="L264" i="115"/>
  <c r="L260" i="115"/>
  <c r="L269" i="115"/>
  <c r="L235" i="115"/>
  <c r="L222" i="115"/>
  <c r="L218" i="115"/>
  <c r="L214" i="115"/>
  <c r="L210" i="115"/>
  <c r="L243" i="115"/>
  <c r="L239" i="115"/>
  <c r="L221" i="115"/>
  <c r="L217" i="115"/>
  <c r="L213" i="115"/>
  <c r="L211" i="115"/>
  <c r="L305" i="115"/>
  <c r="O294" i="115"/>
  <c r="O274" i="115"/>
  <c r="S278" i="115"/>
  <c r="O262" i="115"/>
  <c r="G278" i="115"/>
  <c r="T305" i="115"/>
  <c r="O302" i="115"/>
  <c r="S305" i="115"/>
  <c r="O301" i="115"/>
  <c r="O305" i="115"/>
  <c r="O297" i="115"/>
  <c r="K305" i="115"/>
  <c r="O293" i="115"/>
  <c r="G305" i="115"/>
  <c r="O289" i="115"/>
  <c r="C305" i="115"/>
  <c r="O285" i="115"/>
  <c r="O273" i="115"/>
  <c r="R278" i="115"/>
  <c r="O269" i="115"/>
  <c r="N278" i="115"/>
  <c r="O265" i="115"/>
  <c r="J278" i="115"/>
  <c r="O261" i="115"/>
  <c r="F278" i="115"/>
  <c r="O257" i="115"/>
  <c r="B278" i="115"/>
  <c r="L275" i="115"/>
  <c r="L271" i="115"/>
  <c r="L267" i="115"/>
  <c r="L263" i="115"/>
  <c r="L259" i="115"/>
  <c r="H305" i="115"/>
  <c r="O290" i="115"/>
  <c r="O270" i="115"/>
  <c r="O278" i="115"/>
  <c r="O258" i="115"/>
  <c r="C278" i="115"/>
  <c r="L242" i="115"/>
  <c r="O300" i="115"/>
  <c r="R305" i="115"/>
  <c r="O296" i="115"/>
  <c r="N305" i="115"/>
  <c r="O292" i="115"/>
  <c r="J305" i="115"/>
  <c r="O288" i="115"/>
  <c r="F305" i="115"/>
  <c r="O284" i="115"/>
  <c r="B305" i="115"/>
  <c r="O272" i="115"/>
  <c r="Q278" i="115"/>
  <c r="O268" i="115"/>
  <c r="M278" i="115"/>
  <c r="O264" i="115"/>
  <c r="I278" i="115"/>
  <c r="O260" i="115"/>
  <c r="E278" i="115"/>
  <c r="L274" i="115"/>
  <c r="L270" i="115"/>
  <c r="L266" i="115"/>
  <c r="L262" i="115"/>
  <c r="L258" i="115"/>
  <c r="L247" i="115"/>
  <c r="L142" i="115"/>
  <c r="P305" i="115"/>
  <c r="O298" i="115"/>
  <c r="D305" i="115"/>
  <c r="O286" i="115"/>
  <c r="O266" i="115"/>
  <c r="K278" i="115"/>
  <c r="Q305" i="115"/>
  <c r="O299" i="115"/>
  <c r="M305" i="115"/>
  <c r="O295" i="115"/>
  <c r="I305" i="115"/>
  <c r="O291" i="115"/>
  <c r="E305" i="115"/>
  <c r="O287" i="115"/>
  <c r="T278" i="115"/>
  <c r="O275" i="115"/>
  <c r="P278" i="115"/>
  <c r="O271" i="115"/>
  <c r="L278" i="115"/>
  <c r="O267" i="115"/>
  <c r="H278" i="115"/>
  <c r="O263" i="115"/>
  <c r="L246" i="115"/>
  <c r="L231" i="115"/>
  <c r="L234" i="115"/>
  <c r="L249" i="115"/>
  <c r="L245" i="115"/>
  <c r="L241" i="115"/>
  <c r="L237" i="115"/>
  <c r="L233" i="115"/>
  <c r="L248" i="115"/>
  <c r="L244" i="115"/>
  <c r="L240" i="115"/>
  <c r="L236" i="115"/>
  <c r="L206" i="115"/>
  <c r="L207" i="115"/>
  <c r="L224" i="115"/>
  <c r="L220" i="115"/>
  <c r="L216" i="115"/>
  <c r="L212" i="115"/>
  <c r="L223" i="115"/>
  <c r="L219" i="115"/>
  <c r="L215" i="115"/>
  <c r="L209" i="115"/>
  <c r="L208" i="115"/>
  <c r="N198" i="115"/>
  <c r="N186" i="115"/>
  <c r="N190" i="115"/>
  <c r="N182" i="115"/>
  <c r="N194" i="115"/>
  <c r="L170" i="115"/>
  <c r="O141" i="115"/>
  <c r="O133" i="115"/>
  <c r="O137" i="115"/>
  <c r="O148" i="115"/>
  <c r="O144" i="115"/>
  <c r="O140" i="115"/>
  <c r="O136" i="115"/>
  <c r="O132" i="115"/>
  <c r="L148" i="115"/>
  <c r="L130" i="115"/>
  <c r="O145" i="115"/>
  <c r="L172" i="115"/>
  <c r="O147" i="115"/>
  <c r="O143" i="115"/>
  <c r="O139" i="115"/>
  <c r="O135" i="115"/>
  <c r="O131" i="115"/>
  <c r="L138" i="115"/>
  <c r="L134" i="115"/>
  <c r="O146" i="115"/>
  <c r="O142" i="115"/>
  <c r="O138" i="115"/>
  <c r="O134" i="115"/>
  <c r="O130" i="115"/>
  <c r="L141" i="115"/>
  <c r="L137" i="115"/>
  <c r="L133" i="115"/>
  <c r="L168" i="115"/>
  <c r="L166" i="115"/>
  <c r="L140" i="115"/>
  <c r="L136" i="115"/>
  <c r="L132" i="115"/>
  <c r="L143" i="115"/>
  <c r="L139" i="115"/>
  <c r="L135" i="115"/>
  <c r="L131" i="115"/>
  <c r="L162" i="115"/>
  <c r="L175" i="115"/>
  <c r="L159" i="115"/>
  <c r="L163" i="115"/>
  <c r="L167" i="115"/>
  <c r="L160" i="115"/>
  <c r="L164" i="115"/>
  <c r="L169" i="115"/>
  <c r="L158" i="115"/>
  <c r="L157" i="115"/>
  <c r="L161" i="115"/>
  <c r="L165" i="115"/>
  <c r="L171" i="115"/>
  <c r="L173" i="115"/>
  <c r="L174" i="115"/>
  <c r="L144" i="115"/>
  <c r="L147" i="115"/>
  <c r="L145" i="115"/>
  <c r="L146" i="115"/>
  <c r="P111" i="115"/>
  <c r="P120" i="115" l="1"/>
  <c r="P107" i="115"/>
  <c r="C284" i="115"/>
  <c r="C209" i="115"/>
  <c r="E180" i="125" s="1"/>
  <c r="C213" i="115"/>
  <c r="C217" i="115"/>
  <c r="C221" i="115"/>
  <c r="C215" i="115"/>
  <c r="C206" i="115"/>
  <c r="C210" i="115"/>
  <c r="C214" i="115"/>
  <c r="C218" i="115"/>
  <c r="E189" i="125" s="1"/>
  <c r="C222" i="115"/>
  <c r="C207" i="115"/>
  <c r="C211" i="115"/>
  <c r="E182" i="125" s="1"/>
  <c r="C219" i="115"/>
  <c r="C223" i="115"/>
  <c r="C216" i="115"/>
  <c r="C220" i="115"/>
  <c r="E191" i="125" s="1"/>
  <c r="C208" i="115"/>
  <c r="E179" i="125" s="1"/>
  <c r="C224" i="115"/>
  <c r="C212" i="115"/>
  <c r="C133" i="115"/>
  <c r="C137" i="115"/>
  <c r="C141" i="115"/>
  <c r="C145" i="115"/>
  <c r="C130" i="115"/>
  <c r="C134" i="115"/>
  <c r="C138" i="115"/>
  <c r="C142" i="115"/>
  <c r="C146" i="115"/>
  <c r="C132" i="115"/>
  <c r="C140" i="115"/>
  <c r="C148" i="115"/>
  <c r="C135" i="115"/>
  <c r="C143" i="115"/>
  <c r="C136" i="115"/>
  <c r="C144" i="115"/>
  <c r="C131" i="115"/>
  <c r="C147" i="115"/>
  <c r="C139" i="115"/>
  <c r="C159" i="115"/>
  <c r="C163" i="115"/>
  <c r="C167" i="115"/>
  <c r="C171" i="115"/>
  <c r="C175" i="115"/>
  <c r="C160" i="115"/>
  <c r="C164" i="115"/>
  <c r="C168" i="115"/>
  <c r="C172" i="115"/>
  <c r="C162" i="115"/>
  <c r="C170" i="115"/>
  <c r="C157" i="115"/>
  <c r="C165" i="115"/>
  <c r="C173" i="115"/>
  <c r="C158" i="115"/>
  <c r="C166" i="115"/>
  <c r="C174" i="115"/>
  <c r="C161" i="115"/>
  <c r="C169" i="115"/>
  <c r="C233" i="115"/>
  <c r="E228" i="125" s="1"/>
  <c r="C237" i="115"/>
  <c r="E232" i="125" s="1"/>
  <c r="C241" i="115"/>
  <c r="E236" i="125" s="1"/>
  <c r="C245" i="115"/>
  <c r="E240" i="125" s="1"/>
  <c r="C249" i="115"/>
  <c r="E244" i="125" s="1"/>
  <c r="C234" i="115"/>
  <c r="E229" i="125" s="1"/>
  <c r="C238" i="115"/>
  <c r="E233" i="125" s="1"/>
  <c r="C242" i="115"/>
  <c r="E237" i="125" s="1"/>
  <c r="C246" i="115"/>
  <c r="E241" i="125" s="1"/>
  <c r="C231" i="115"/>
  <c r="E226" i="125" s="1"/>
  <c r="C235" i="115"/>
  <c r="E230" i="125" s="1"/>
  <c r="C239" i="115"/>
  <c r="E234" i="125" s="1"/>
  <c r="C243" i="115"/>
  <c r="E238" i="125" s="1"/>
  <c r="C247" i="115"/>
  <c r="E242" i="125" s="1"/>
  <c r="C244" i="115"/>
  <c r="E239" i="125" s="1"/>
  <c r="C232" i="115"/>
  <c r="E227" i="125" s="1"/>
  <c r="C236" i="115"/>
  <c r="E231" i="125" s="1"/>
  <c r="C240" i="115"/>
  <c r="E235" i="125" s="1"/>
  <c r="C248" i="115"/>
  <c r="E243" i="125" s="1"/>
  <c r="C257" i="115"/>
  <c r="E274" i="125" s="1"/>
  <c r="C261" i="115"/>
  <c r="E278" i="125" s="1"/>
  <c r="C265" i="115"/>
  <c r="E282" i="125" s="1"/>
  <c r="C269" i="115"/>
  <c r="E286" i="125" s="1"/>
  <c r="C273" i="115"/>
  <c r="E290" i="125" s="1"/>
  <c r="C258" i="115"/>
  <c r="E275" i="125" s="1"/>
  <c r="C262" i="115"/>
  <c r="E279" i="125" s="1"/>
  <c r="C266" i="115"/>
  <c r="E283" i="125" s="1"/>
  <c r="C270" i="115"/>
  <c r="E287" i="125" s="1"/>
  <c r="C274" i="115"/>
  <c r="E291" i="125" s="1"/>
  <c r="C259" i="115"/>
  <c r="E276" i="125" s="1"/>
  <c r="C263" i="115"/>
  <c r="E280" i="125" s="1"/>
  <c r="C267" i="115"/>
  <c r="E284" i="125" s="1"/>
  <c r="C271" i="115"/>
  <c r="E288" i="125" s="1"/>
  <c r="C275" i="115"/>
  <c r="E292" i="125" s="1"/>
  <c r="C272" i="115"/>
  <c r="E289" i="125" s="1"/>
  <c r="C264" i="115"/>
  <c r="E281" i="125" s="1"/>
  <c r="C268" i="115"/>
  <c r="E285" i="125" s="1"/>
  <c r="C260" i="115"/>
  <c r="E277" i="125" s="1"/>
  <c r="P113" i="115"/>
  <c r="P121" i="115"/>
  <c r="P108" i="115"/>
  <c r="P116" i="115"/>
  <c r="P124" i="115"/>
  <c r="B223" i="115"/>
  <c r="B219" i="115"/>
  <c r="B215" i="115"/>
  <c r="K186" i="125" s="1"/>
  <c r="B211" i="115"/>
  <c r="B207" i="115"/>
  <c r="H206" i="115"/>
  <c r="M177" i="125" s="1"/>
  <c r="B222" i="115"/>
  <c r="K193" i="125" s="1"/>
  <c r="B218" i="115"/>
  <c r="B214" i="115"/>
  <c r="B210" i="115"/>
  <c r="B206" i="115"/>
  <c r="K177" i="125" s="1"/>
  <c r="B220" i="115"/>
  <c r="B212" i="115"/>
  <c r="K183" i="125" s="1"/>
  <c r="B216" i="115"/>
  <c r="B213" i="115"/>
  <c r="B217" i="115"/>
  <c r="B209" i="115"/>
  <c r="B224" i="115"/>
  <c r="B208" i="115"/>
  <c r="B221" i="115"/>
  <c r="P103" i="115"/>
  <c r="P117" i="115"/>
  <c r="P104" i="115"/>
  <c r="H159" i="115"/>
  <c r="M82" i="125" s="1"/>
  <c r="H163" i="115"/>
  <c r="M86" i="125" s="1"/>
  <c r="H167" i="115"/>
  <c r="M90" i="125" s="1"/>
  <c r="H171" i="115"/>
  <c r="M94" i="125" s="1"/>
  <c r="H175" i="115"/>
  <c r="M98" i="125" s="1"/>
  <c r="H160" i="115"/>
  <c r="M83" i="125" s="1"/>
  <c r="H164" i="115"/>
  <c r="M87" i="125" s="1"/>
  <c r="H168" i="115"/>
  <c r="M91" i="125" s="1"/>
  <c r="H172" i="115"/>
  <c r="M95" i="125" s="1"/>
  <c r="H157" i="115"/>
  <c r="M80" i="125" s="1"/>
  <c r="H161" i="115"/>
  <c r="M84" i="125" s="1"/>
  <c r="H165" i="115"/>
  <c r="M88" i="125" s="1"/>
  <c r="H169" i="115"/>
  <c r="M92" i="125" s="1"/>
  <c r="H173" i="115"/>
  <c r="M96" i="125" s="1"/>
  <c r="H170" i="115"/>
  <c r="M93" i="125" s="1"/>
  <c r="H158" i="115"/>
  <c r="M81" i="125" s="1"/>
  <c r="H174" i="115"/>
  <c r="M97" i="125" s="1"/>
  <c r="H162" i="115"/>
  <c r="M85" i="125" s="1"/>
  <c r="H166" i="115"/>
  <c r="M89" i="125" s="1"/>
  <c r="P109" i="115"/>
  <c r="P110" i="115"/>
  <c r="P114" i="115"/>
  <c r="P118" i="115"/>
  <c r="P122" i="115"/>
  <c r="H130" i="115"/>
  <c r="H134" i="115"/>
  <c r="H138" i="115"/>
  <c r="H142" i="115"/>
  <c r="H146" i="115"/>
  <c r="G131" i="115"/>
  <c r="G135" i="115"/>
  <c r="G139" i="115"/>
  <c r="G143" i="115"/>
  <c r="G147" i="115"/>
  <c r="H133" i="115"/>
  <c r="H145" i="115"/>
  <c r="G142" i="115"/>
  <c r="H131" i="115"/>
  <c r="H135" i="115"/>
  <c r="H139" i="115"/>
  <c r="H143" i="115"/>
  <c r="H147" i="115"/>
  <c r="G132" i="115"/>
  <c r="G136" i="115"/>
  <c r="G140" i="115"/>
  <c r="G144" i="115"/>
  <c r="G148" i="115"/>
  <c r="H137" i="115"/>
  <c r="G134" i="115"/>
  <c r="G146" i="115"/>
  <c r="H132" i="115"/>
  <c r="H136" i="115"/>
  <c r="H140" i="115"/>
  <c r="H144" i="115"/>
  <c r="H148" i="115"/>
  <c r="G133" i="115"/>
  <c r="G137" i="115"/>
  <c r="G141" i="115"/>
  <c r="G145" i="115"/>
  <c r="H141" i="115"/>
  <c r="G130" i="115"/>
  <c r="G138" i="115"/>
  <c r="P105" i="115"/>
  <c r="P112" i="115"/>
  <c r="P115" i="115"/>
  <c r="P119" i="115"/>
  <c r="P123" i="115"/>
  <c r="P106" i="115"/>
  <c r="P125" i="115"/>
  <c r="B258" i="115"/>
  <c r="B130" i="115"/>
  <c r="L182" i="115"/>
  <c r="H262" i="115"/>
  <c r="M279" i="125" s="1"/>
  <c r="B231" i="115"/>
  <c r="B235" i="115"/>
  <c r="L196" i="115"/>
  <c r="L183" i="115"/>
  <c r="L199" i="115"/>
  <c r="L190" i="115"/>
  <c r="L187" i="115"/>
  <c r="L189" i="115"/>
  <c r="L186" i="115"/>
  <c r="H272" i="115"/>
  <c r="M289" i="125" s="1"/>
  <c r="L181" i="115"/>
  <c r="L191" i="115"/>
  <c r="L184" i="115"/>
  <c r="L185" i="115"/>
  <c r="L194" i="115"/>
  <c r="L198" i="115"/>
  <c r="L188" i="115"/>
  <c r="L193" i="115"/>
  <c r="L195" i="115"/>
  <c r="L192" i="115"/>
  <c r="L197" i="115"/>
  <c r="H220" i="115"/>
  <c r="M191" i="125" s="1"/>
  <c r="H271" i="115"/>
  <c r="M288" i="125" s="1"/>
  <c r="B270" i="115"/>
  <c r="B259" i="115"/>
  <c r="H207" i="115"/>
  <c r="M178" i="125" s="1"/>
  <c r="B241" i="115"/>
  <c r="H257" i="115"/>
  <c r="M274" i="125" s="1"/>
  <c r="B257" i="115"/>
  <c r="H265" i="115"/>
  <c r="M282" i="125" s="1"/>
  <c r="B273" i="115"/>
  <c r="B267" i="115"/>
  <c r="H223" i="115"/>
  <c r="M194" i="125" s="1"/>
  <c r="H219" i="115"/>
  <c r="M190" i="125" s="1"/>
  <c r="B240" i="115"/>
  <c r="B234" i="115"/>
  <c r="H269" i="115"/>
  <c r="M286" i="125" s="1"/>
  <c r="H266" i="115"/>
  <c r="M283" i="125" s="1"/>
  <c r="H259" i="115"/>
  <c r="M276" i="125" s="1"/>
  <c r="H275" i="115"/>
  <c r="M292" i="125" s="1"/>
  <c r="B261" i="115"/>
  <c r="H264" i="115"/>
  <c r="M281" i="125" s="1"/>
  <c r="B274" i="115"/>
  <c r="B271" i="115"/>
  <c r="B268" i="115"/>
  <c r="B272" i="115"/>
  <c r="D275" i="115"/>
  <c r="F292" i="125" s="1"/>
  <c r="B264" i="115"/>
  <c r="B132" i="115"/>
  <c r="J132" i="115" s="1"/>
  <c r="B244" i="115"/>
  <c r="B238" i="115"/>
  <c r="H273" i="115"/>
  <c r="M290" i="125" s="1"/>
  <c r="H270" i="115"/>
  <c r="M287" i="125" s="1"/>
  <c r="H263" i="115"/>
  <c r="M280" i="125" s="1"/>
  <c r="B265" i="115"/>
  <c r="B262" i="115"/>
  <c r="H268" i="115"/>
  <c r="M285" i="125" s="1"/>
  <c r="D274" i="115"/>
  <c r="F291" i="125" s="1"/>
  <c r="B275" i="115"/>
  <c r="H260" i="115"/>
  <c r="M277" i="125" s="1"/>
  <c r="B260" i="115"/>
  <c r="C288" i="115"/>
  <c r="E326" i="125" s="1"/>
  <c r="B137" i="115"/>
  <c r="J137" i="115" s="1"/>
  <c r="B237" i="115"/>
  <c r="B239" i="115"/>
  <c r="B247" i="115"/>
  <c r="H261" i="115"/>
  <c r="M278" i="125" s="1"/>
  <c r="H258" i="115"/>
  <c r="M275" i="125" s="1"/>
  <c r="H274" i="115"/>
  <c r="M291" i="125" s="1"/>
  <c r="H267" i="115"/>
  <c r="M284" i="125" s="1"/>
  <c r="B269" i="115"/>
  <c r="B266" i="115"/>
  <c r="B263" i="115"/>
  <c r="H294" i="115"/>
  <c r="C290" i="115"/>
  <c r="E328" i="125" s="1"/>
  <c r="C289" i="115"/>
  <c r="E327" i="125" s="1"/>
  <c r="B248" i="115"/>
  <c r="B245" i="115"/>
  <c r="B242" i="115"/>
  <c r="B243" i="115"/>
  <c r="B236" i="115"/>
  <c r="B233" i="115"/>
  <c r="B249" i="115"/>
  <c r="B246" i="115"/>
  <c r="B232" i="115"/>
  <c r="H233" i="115"/>
  <c r="M228" i="125" s="1"/>
  <c r="H237" i="115"/>
  <c r="M232" i="125" s="1"/>
  <c r="H241" i="115"/>
  <c r="M236" i="125" s="1"/>
  <c r="H245" i="115"/>
  <c r="M240" i="125" s="1"/>
  <c r="H249" i="115"/>
  <c r="M244" i="125" s="1"/>
  <c r="H236" i="115"/>
  <c r="M231" i="125" s="1"/>
  <c r="H234" i="115"/>
  <c r="M229" i="125" s="1"/>
  <c r="H238" i="115"/>
  <c r="M233" i="125" s="1"/>
  <c r="H242" i="115"/>
  <c r="M237" i="125" s="1"/>
  <c r="H246" i="115"/>
  <c r="M241" i="125" s="1"/>
  <c r="H240" i="115"/>
  <c r="M235" i="125" s="1"/>
  <c r="H248" i="115"/>
  <c r="M243" i="125" s="1"/>
  <c r="H231" i="115"/>
  <c r="M226" i="125" s="1"/>
  <c r="H235" i="115"/>
  <c r="M230" i="125" s="1"/>
  <c r="H239" i="115"/>
  <c r="M234" i="125" s="1"/>
  <c r="H243" i="115"/>
  <c r="M238" i="125" s="1"/>
  <c r="H247" i="115"/>
  <c r="M242" i="125" s="1"/>
  <c r="H232" i="115"/>
  <c r="M227" i="125" s="1"/>
  <c r="H244" i="115"/>
  <c r="M239" i="125" s="1"/>
  <c r="H214" i="115"/>
  <c r="M185" i="125" s="1"/>
  <c r="H209" i="115"/>
  <c r="M180" i="125" s="1"/>
  <c r="H222" i="115"/>
  <c r="M193" i="125" s="1"/>
  <c r="H215" i="115"/>
  <c r="M186" i="125" s="1"/>
  <c r="H224" i="115"/>
  <c r="M195" i="125" s="1"/>
  <c r="H217" i="115"/>
  <c r="M188" i="125" s="1"/>
  <c r="H221" i="115"/>
  <c r="M192" i="125" s="1"/>
  <c r="E177" i="125"/>
  <c r="H208" i="115"/>
  <c r="M179" i="125" s="1"/>
  <c r="H213" i="115"/>
  <c r="M184" i="125" s="1"/>
  <c r="E178" i="125"/>
  <c r="H216" i="115"/>
  <c r="M187" i="125" s="1"/>
  <c r="H218" i="115"/>
  <c r="M189" i="125" s="1"/>
  <c r="H211" i="115"/>
  <c r="M182" i="125" s="1"/>
  <c r="H210" i="115"/>
  <c r="M181" i="125" s="1"/>
  <c r="E193" i="125"/>
  <c r="H212" i="115"/>
  <c r="M183" i="125" s="1"/>
  <c r="B139" i="115"/>
  <c r="J139" i="115" s="1"/>
  <c r="B140" i="115"/>
  <c r="J140" i="115" s="1"/>
  <c r="B143" i="115"/>
  <c r="J143" i="115" s="1"/>
  <c r="B131" i="115"/>
  <c r="J131" i="115" s="1"/>
  <c r="B134" i="115"/>
  <c r="J134" i="115" s="1"/>
  <c r="B146" i="115"/>
  <c r="J146" i="115" s="1"/>
  <c r="B142" i="115"/>
  <c r="J142" i="115" s="1"/>
  <c r="B136" i="115"/>
  <c r="J136" i="115" s="1"/>
  <c r="B135" i="115"/>
  <c r="B145" i="115"/>
  <c r="J145" i="115" s="1"/>
  <c r="B147" i="115"/>
  <c r="J147" i="115" s="1"/>
  <c r="B159" i="115"/>
  <c r="B167" i="115"/>
  <c r="B141" i="115"/>
  <c r="J141" i="115" s="1"/>
  <c r="B144" i="115"/>
  <c r="J144" i="115" s="1"/>
  <c r="B157" i="115"/>
  <c r="B138" i="115"/>
  <c r="J138" i="115" s="1"/>
  <c r="B161" i="115"/>
  <c r="B165" i="115"/>
  <c r="B169" i="115"/>
  <c r="B173" i="115"/>
  <c r="B162" i="115"/>
  <c r="B168" i="115"/>
  <c r="B163" i="115"/>
  <c r="B172" i="115"/>
  <c r="B160" i="115"/>
  <c r="B171" i="115"/>
  <c r="B175" i="115"/>
  <c r="B158" i="115"/>
  <c r="B174" i="115"/>
  <c r="B170" i="115"/>
  <c r="B166" i="115"/>
  <c r="B164" i="115"/>
  <c r="B148" i="115"/>
  <c r="J148" i="115" s="1"/>
  <c r="B133" i="115"/>
  <c r="J133" i="115" s="1"/>
  <c r="G209" i="115" l="1"/>
  <c r="L180" i="125" s="1"/>
  <c r="K180" i="125"/>
  <c r="G214" i="115"/>
  <c r="L185" i="125" s="1"/>
  <c r="K185" i="125"/>
  <c r="G207" i="115"/>
  <c r="L178" i="125" s="1"/>
  <c r="K178" i="125"/>
  <c r="G223" i="115"/>
  <c r="L194" i="125" s="1"/>
  <c r="K194" i="125"/>
  <c r="G221" i="115"/>
  <c r="L192" i="125" s="1"/>
  <c r="K192" i="125"/>
  <c r="G217" i="115"/>
  <c r="L188" i="125" s="1"/>
  <c r="K188" i="125"/>
  <c r="G220" i="115"/>
  <c r="L191" i="125" s="1"/>
  <c r="K191" i="125"/>
  <c r="G218" i="115"/>
  <c r="L189" i="125" s="1"/>
  <c r="K189" i="125"/>
  <c r="G211" i="115"/>
  <c r="L182" i="125" s="1"/>
  <c r="K182" i="125"/>
  <c r="G208" i="115"/>
  <c r="L179" i="125" s="1"/>
  <c r="K179" i="125"/>
  <c r="G213" i="115"/>
  <c r="L184" i="125" s="1"/>
  <c r="K184" i="125"/>
  <c r="G224" i="115"/>
  <c r="L195" i="125" s="1"/>
  <c r="K195" i="125"/>
  <c r="G216" i="115"/>
  <c r="L187" i="125" s="1"/>
  <c r="K187" i="125"/>
  <c r="G210" i="115"/>
  <c r="L181" i="125" s="1"/>
  <c r="K181" i="125"/>
  <c r="G219" i="115"/>
  <c r="L190" i="125" s="1"/>
  <c r="K190" i="125"/>
  <c r="J135" i="115"/>
  <c r="D38" i="125"/>
  <c r="D286" i="125"/>
  <c r="I269" i="115"/>
  <c r="N286" i="125" s="1"/>
  <c r="J269" i="115"/>
  <c r="O286" i="125" s="1"/>
  <c r="K286" i="125"/>
  <c r="G275" i="115"/>
  <c r="L292" i="125" s="1"/>
  <c r="K292" i="125"/>
  <c r="I275" i="115"/>
  <c r="N292" i="125" s="1"/>
  <c r="J275" i="115"/>
  <c r="O292" i="125" s="1"/>
  <c r="D292" i="125"/>
  <c r="G274" i="115"/>
  <c r="L291" i="125" s="1"/>
  <c r="J274" i="115"/>
  <c r="O291" i="125" s="1"/>
  <c r="D291" i="125"/>
  <c r="K291" i="125"/>
  <c r="I274" i="115"/>
  <c r="N291" i="125" s="1"/>
  <c r="D284" i="115"/>
  <c r="E322" i="125"/>
  <c r="D282" i="125"/>
  <c r="K282" i="125"/>
  <c r="I265" i="115"/>
  <c r="N282" i="125" s="1"/>
  <c r="J265" i="115"/>
  <c r="O282" i="125" s="1"/>
  <c r="M332" i="125"/>
  <c r="K289" i="125"/>
  <c r="I272" i="115"/>
  <c r="N289" i="125" s="1"/>
  <c r="J272" i="115"/>
  <c r="O289" i="125" s="1"/>
  <c r="P289" i="125" s="1"/>
  <c r="D289" i="125"/>
  <c r="K280" i="125"/>
  <c r="I263" i="115"/>
  <c r="N280" i="125" s="1"/>
  <c r="J263" i="115"/>
  <c r="O280" i="125" s="1"/>
  <c r="D280" i="125"/>
  <c r="K277" i="125"/>
  <c r="I260" i="115"/>
  <c r="N277" i="125" s="1"/>
  <c r="J260" i="115"/>
  <c r="O277" i="125" s="1"/>
  <c r="P277" i="125" s="1"/>
  <c r="D277" i="125"/>
  <c r="K285" i="125"/>
  <c r="I268" i="115"/>
  <c r="N285" i="125" s="1"/>
  <c r="J268" i="115"/>
  <c r="O285" i="125" s="1"/>
  <c r="D285" i="125"/>
  <c r="D278" i="125"/>
  <c r="I261" i="115"/>
  <c r="N278" i="125" s="1"/>
  <c r="K278" i="125"/>
  <c r="J261" i="115"/>
  <c r="O278" i="125" s="1"/>
  <c r="P278" i="125" s="1"/>
  <c r="D274" i="125"/>
  <c r="K274" i="125"/>
  <c r="I257" i="115"/>
  <c r="N274" i="125" s="1"/>
  <c r="J257" i="115"/>
  <c r="O274" i="125" s="1"/>
  <c r="P274" i="125" s="1"/>
  <c r="K276" i="125"/>
  <c r="I259" i="115"/>
  <c r="N276" i="125" s="1"/>
  <c r="J259" i="115"/>
  <c r="O276" i="125" s="1"/>
  <c r="P276" i="125" s="1"/>
  <c r="D276" i="125"/>
  <c r="J258" i="115"/>
  <c r="O275" i="125" s="1"/>
  <c r="P275" i="125" s="1"/>
  <c r="D275" i="125"/>
  <c r="K275" i="125"/>
  <c r="I258" i="115"/>
  <c r="N275" i="125" s="1"/>
  <c r="D290" i="125"/>
  <c r="K290" i="125"/>
  <c r="I273" i="115"/>
  <c r="N290" i="125" s="1"/>
  <c r="J273" i="115"/>
  <c r="O290" i="125" s="1"/>
  <c r="J266" i="115"/>
  <c r="O283" i="125" s="1"/>
  <c r="D283" i="125"/>
  <c r="K283" i="125"/>
  <c r="I266" i="115"/>
  <c r="N283" i="125" s="1"/>
  <c r="K279" i="125"/>
  <c r="J262" i="115"/>
  <c r="O279" i="125" s="1"/>
  <c r="D279" i="125"/>
  <c r="I262" i="115"/>
  <c r="N279" i="125" s="1"/>
  <c r="K281" i="125"/>
  <c r="I264" i="115"/>
  <c r="N281" i="125" s="1"/>
  <c r="J264" i="115"/>
  <c r="O281" i="125" s="1"/>
  <c r="D281" i="125"/>
  <c r="K288" i="125"/>
  <c r="I271" i="115"/>
  <c r="N288" i="125" s="1"/>
  <c r="J271" i="115"/>
  <c r="O288" i="125" s="1"/>
  <c r="D288" i="125"/>
  <c r="K284" i="125"/>
  <c r="I267" i="115"/>
  <c r="N284" i="125" s="1"/>
  <c r="J267" i="115"/>
  <c r="O284" i="125" s="1"/>
  <c r="D284" i="125"/>
  <c r="K287" i="125"/>
  <c r="J270" i="115"/>
  <c r="O287" i="125" s="1"/>
  <c r="D287" i="125"/>
  <c r="I270" i="115"/>
  <c r="N287" i="125" s="1"/>
  <c r="K241" i="125"/>
  <c r="J246" i="115"/>
  <c r="O241" i="125" s="1"/>
  <c r="P241" i="125" s="1"/>
  <c r="I246" i="115"/>
  <c r="N241" i="125" s="1"/>
  <c r="D241" i="125"/>
  <c r="K238" i="125"/>
  <c r="J243" i="115"/>
  <c r="O238" i="125" s="1"/>
  <c r="P238" i="125" s="1"/>
  <c r="I243" i="115"/>
  <c r="N238" i="125" s="1"/>
  <c r="D238" i="125"/>
  <c r="K232" i="125"/>
  <c r="D232" i="125"/>
  <c r="J237" i="115"/>
  <c r="O232" i="125" s="1"/>
  <c r="P232" i="125" s="1"/>
  <c r="I237" i="115"/>
  <c r="N232" i="125" s="1"/>
  <c r="D229" i="125"/>
  <c r="K229" i="125"/>
  <c r="J234" i="115"/>
  <c r="O229" i="125" s="1"/>
  <c r="P229" i="125" s="1"/>
  <c r="I234" i="115"/>
  <c r="N229" i="125" s="1"/>
  <c r="K227" i="125"/>
  <c r="J232" i="115"/>
  <c r="O227" i="125" s="1"/>
  <c r="P227" i="125" s="1"/>
  <c r="I232" i="115"/>
  <c r="N227" i="125" s="1"/>
  <c r="D227" i="125"/>
  <c r="K243" i="125"/>
  <c r="D243" i="125"/>
  <c r="J248" i="115"/>
  <c r="O243" i="125" s="1"/>
  <c r="P243" i="125" s="1"/>
  <c r="I248" i="115"/>
  <c r="N243" i="125" s="1"/>
  <c r="D226" i="125"/>
  <c r="J231" i="115"/>
  <c r="O226" i="125" s="1"/>
  <c r="P226" i="125" s="1"/>
  <c r="I231" i="115"/>
  <c r="N226" i="125" s="1"/>
  <c r="K226" i="125"/>
  <c r="G231" i="115"/>
  <c r="L226" i="125" s="1"/>
  <c r="K244" i="125"/>
  <c r="D244" i="125"/>
  <c r="J249" i="115"/>
  <c r="O244" i="125" s="1"/>
  <c r="P244" i="125" s="1"/>
  <c r="I249" i="115"/>
  <c r="N244" i="125" s="1"/>
  <c r="K237" i="125"/>
  <c r="J242" i="115"/>
  <c r="O237" i="125" s="1"/>
  <c r="P237" i="125" s="1"/>
  <c r="I242" i="115"/>
  <c r="N237" i="125" s="1"/>
  <c r="D237" i="125"/>
  <c r="K233" i="125"/>
  <c r="D233" i="125"/>
  <c r="J238" i="115"/>
  <c r="O233" i="125" s="1"/>
  <c r="P233" i="125" s="1"/>
  <c r="I238" i="115"/>
  <c r="N233" i="125" s="1"/>
  <c r="K235" i="125"/>
  <c r="J240" i="115"/>
  <c r="O235" i="125" s="1"/>
  <c r="P235" i="125" s="1"/>
  <c r="D235" i="125"/>
  <c r="I240" i="115"/>
  <c r="N235" i="125" s="1"/>
  <c r="K236" i="125"/>
  <c r="D236" i="125"/>
  <c r="J241" i="115"/>
  <c r="O236" i="125" s="1"/>
  <c r="P236" i="125" s="1"/>
  <c r="I241" i="115"/>
  <c r="N236" i="125" s="1"/>
  <c r="K231" i="125"/>
  <c r="J236" i="115"/>
  <c r="O231" i="125" s="1"/>
  <c r="P231" i="125" s="1"/>
  <c r="I236" i="115"/>
  <c r="N231" i="125" s="1"/>
  <c r="D231" i="125"/>
  <c r="D234" i="125"/>
  <c r="K234" i="125"/>
  <c r="J239" i="115"/>
  <c r="O234" i="125" s="1"/>
  <c r="P234" i="125" s="1"/>
  <c r="I239" i="115"/>
  <c r="N234" i="125" s="1"/>
  <c r="K228" i="125"/>
  <c r="D228" i="125"/>
  <c r="J233" i="115"/>
  <c r="O228" i="125" s="1"/>
  <c r="P228" i="125" s="1"/>
  <c r="I233" i="115"/>
  <c r="N228" i="125" s="1"/>
  <c r="K240" i="125"/>
  <c r="D240" i="125"/>
  <c r="J245" i="115"/>
  <c r="O240" i="125" s="1"/>
  <c r="P240" i="125" s="1"/>
  <c r="I245" i="115"/>
  <c r="N240" i="125" s="1"/>
  <c r="K242" i="125"/>
  <c r="J247" i="115"/>
  <c r="O242" i="125" s="1"/>
  <c r="P242" i="125" s="1"/>
  <c r="I247" i="115"/>
  <c r="N242" i="125" s="1"/>
  <c r="D242" i="125"/>
  <c r="K239" i="125"/>
  <c r="D239" i="125"/>
  <c r="J244" i="115"/>
  <c r="O239" i="125" s="1"/>
  <c r="P239" i="125" s="1"/>
  <c r="I244" i="115"/>
  <c r="N239" i="125" s="1"/>
  <c r="D230" i="125"/>
  <c r="J235" i="115"/>
  <c r="O230" i="125" s="1"/>
  <c r="P230" i="125" s="1"/>
  <c r="I235" i="115"/>
  <c r="N230" i="125" s="1"/>
  <c r="K230" i="125"/>
  <c r="D262" i="115"/>
  <c r="F279" i="125" s="1"/>
  <c r="G271" i="115"/>
  <c r="L288" i="125" s="1"/>
  <c r="D259" i="115"/>
  <c r="F276" i="125" s="1"/>
  <c r="D191" i="125"/>
  <c r="J220" i="115"/>
  <c r="O191" i="125" s="1"/>
  <c r="P191" i="125" s="1"/>
  <c r="I220" i="115"/>
  <c r="N191" i="125" s="1"/>
  <c r="J215" i="115"/>
  <c r="O186" i="125" s="1"/>
  <c r="P186" i="125" s="1"/>
  <c r="D186" i="125"/>
  <c r="I215" i="115"/>
  <c r="N186" i="125" s="1"/>
  <c r="G215" i="115"/>
  <c r="L186" i="125" s="1"/>
  <c r="D221" i="115"/>
  <c r="F192" i="125" s="1"/>
  <c r="E192" i="125"/>
  <c r="D271" i="115"/>
  <c r="F288" i="125" s="1"/>
  <c r="G266" i="115"/>
  <c r="L283" i="125" s="1"/>
  <c r="D261" i="115"/>
  <c r="F278" i="125" s="1"/>
  <c r="D270" i="115"/>
  <c r="F287" i="125" s="1"/>
  <c r="G261" i="115"/>
  <c r="L278" i="125" s="1"/>
  <c r="G267" i="115"/>
  <c r="L284" i="125" s="1"/>
  <c r="D269" i="115"/>
  <c r="F286" i="125" s="1"/>
  <c r="J221" i="115"/>
  <c r="O192" i="125" s="1"/>
  <c r="P192" i="125" s="1"/>
  <c r="D192" i="125"/>
  <c r="I221" i="115"/>
  <c r="N192" i="125" s="1"/>
  <c r="D187" i="125"/>
  <c r="I216" i="115"/>
  <c r="N187" i="125" s="1"/>
  <c r="J216" i="115"/>
  <c r="O187" i="125" s="1"/>
  <c r="P187" i="125" s="1"/>
  <c r="I214" i="115"/>
  <c r="N185" i="125" s="1"/>
  <c r="J214" i="115"/>
  <c r="O185" i="125" s="1"/>
  <c r="P185" i="125" s="1"/>
  <c r="D185" i="125"/>
  <c r="I219" i="115"/>
  <c r="N190" i="125" s="1"/>
  <c r="D190" i="125"/>
  <c r="J219" i="115"/>
  <c r="O190" i="125" s="1"/>
  <c r="P190" i="125" s="1"/>
  <c r="D217" i="115"/>
  <c r="F188" i="125" s="1"/>
  <c r="E188" i="125"/>
  <c r="D224" i="115"/>
  <c r="F195" i="125" s="1"/>
  <c r="E195" i="125"/>
  <c r="D215" i="115"/>
  <c r="F186" i="125" s="1"/>
  <c r="E186" i="125"/>
  <c r="G263" i="115"/>
  <c r="L280" i="125" s="1"/>
  <c r="G269" i="115"/>
  <c r="L286" i="125" s="1"/>
  <c r="D264" i="115"/>
  <c r="F281" i="125" s="1"/>
  <c r="G268" i="115"/>
  <c r="L285" i="125" s="1"/>
  <c r="D273" i="115"/>
  <c r="F290" i="125" s="1"/>
  <c r="D263" i="115"/>
  <c r="F280" i="125" s="1"/>
  <c r="D272" i="115"/>
  <c r="F289" i="125" s="1"/>
  <c r="G270" i="115"/>
  <c r="L287" i="125" s="1"/>
  <c r="G258" i="115"/>
  <c r="L275" i="125" s="1"/>
  <c r="D179" i="125"/>
  <c r="J208" i="115"/>
  <c r="O179" i="125" s="1"/>
  <c r="I208" i="115"/>
  <c r="N179" i="125" s="1"/>
  <c r="J217" i="115"/>
  <c r="O188" i="125" s="1"/>
  <c r="P188" i="125" s="1"/>
  <c r="D188" i="125"/>
  <c r="I217" i="115"/>
  <c r="N188" i="125" s="1"/>
  <c r="J213" i="115"/>
  <c r="O184" i="125" s="1"/>
  <c r="P184" i="125" s="1"/>
  <c r="D184" i="125"/>
  <c r="I213" i="115"/>
  <c r="N184" i="125" s="1"/>
  <c r="D183" i="125"/>
  <c r="J212" i="115"/>
  <c r="O183" i="125" s="1"/>
  <c r="P183" i="125" s="1"/>
  <c r="I212" i="115"/>
  <c r="N183" i="125" s="1"/>
  <c r="I206" i="115"/>
  <c r="N177" i="125" s="1"/>
  <c r="J206" i="115"/>
  <c r="O177" i="125" s="1"/>
  <c r="P177" i="125" s="1"/>
  <c r="D177" i="125"/>
  <c r="G206" i="115"/>
  <c r="L177" i="125" s="1"/>
  <c r="J222" i="115"/>
  <c r="O193" i="125" s="1"/>
  <c r="P193" i="125" s="1"/>
  <c r="D193" i="125"/>
  <c r="I222" i="115"/>
  <c r="N193" i="125" s="1"/>
  <c r="I211" i="115"/>
  <c r="N182" i="125" s="1"/>
  <c r="D182" i="125"/>
  <c r="J211" i="115"/>
  <c r="O182" i="125" s="1"/>
  <c r="P182" i="125" s="1"/>
  <c r="D216" i="115"/>
  <c r="F187" i="125" s="1"/>
  <c r="E187" i="125"/>
  <c r="D219" i="115"/>
  <c r="F190" i="125" s="1"/>
  <c r="E190" i="125"/>
  <c r="D223" i="115"/>
  <c r="F194" i="125" s="1"/>
  <c r="E194" i="125"/>
  <c r="D268" i="115"/>
  <c r="F285" i="125" s="1"/>
  <c r="D258" i="115"/>
  <c r="F275" i="125" s="1"/>
  <c r="G262" i="115"/>
  <c r="L279" i="125" s="1"/>
  <c r="G264" i="115"/>
  <c r="L281" i="125" s="1"/>
  <c r="G257" i="115"/>
  <c r="L274" i="125" s="1"/>
  <c r="D257" i="115"/>
  <c r="F274" i="125" s="1"/>
  <c r="D195" i="125"/>
  <c r="J224" i="115"/>
  <c r="O195" i="125" s="1"/>
  <c r="P195" i="125" s="1"/>
  <c r="I224" i="115"/>
  <c r="N195" i="125" s="1"/>
  <c r="D181" i="125"/>
  <c r="J210" i="115"/>
  <c r="O181" i="125" s="1"/>
  <c r="P181" i="125" s="1"/>
  <c r="I210" i="115"/>
  <c r="N181" i="125" s="1"/>
  <c r="G212" i="115"/>
  <c r="L183" i="125" s="1"/>
  <c r="G222" i="115"/>
  <c r="L193" i="125" s="1"/>
  <c r="D213" i="115"/>
  <c r="F184" i="125" s="1"/>
  <c r="E184" i="125"/>
  <c r="D212" i="115"/>
  <c r="F183" i="125" s="1"/>
  <c r="E183" i="125"/>
  <c r="D214" i="115"/>
  <c r="F185" i="125" s="1"/>
  <c r="E185" i="125"/>
  <c r="D267" i="115"/>
  <c r="F284" i="125" s="1"/>
  <c r="D265" i="115"/>
  <c r="F282" i="125" s="1"/>
  <c r="G260" i="115"/>
  <c r="L277" i="125" s="1"/>
  <c r="G265" i="115"/>
  <c r="L282" i="125" s="1"/>
  <c r="D210" i="115"/>
  <c r="F181" i="125" s="1"/>
  <c r="E181" i="125"/>
  <c r="G272" i="115"/>
  <c r="L289" i="125" s="1"/>
  <c r="D260" i="115"/>
  <c r="F277" i="125" s="1"/>
  <c r="G273" i="115"/>
  <c r="L290" i="125" s="1"/>
  <c r="D266" i="115"/>
  <c r="F283" i="125" s="1"/>
  <c r="G259" i="115"/>
  <c r="L276" i="125" s="1"/>
  <c r="J209" i="115"/>
  <c r="O180" i="125" s="1"/>
  <c r="P180" i="125" s="1"/>
  <c r="D180" i="125"/>
  <c r="I209" i="115"/>
  <c r="N180" i="125" s="1"/>
  <c r="D189" i="125"/>
  <c r="J218" i="115"/>
  <c r="O189" i="125" s="1"/>
  <c r="P189" i="125" s="1"/>
  <c r="I218" i="115"/>
  <c r="N189" i="125" s="1"/>
  <c r="I207" i="115"/>
  <c r="N178" i="125" s="1"/>
  <c r="J207" i="115"/>
  <c r="O178" i="125" s="1"/>
  <c r="P178" i="125" s="1"/>
  <c r="D178" i="125"/>
  <c r="D194" i="125"/>
  <c r="I223" i="115"/>
  <c r="N194" i="125" s="1"/>
  <c r="J223" i="115"/>
  <c r="O194" i="125" s="1"/>
  <c r="P194" i="125" s="1"/>
  <c r="E96" i="125"/>
  <c r="E86" i="125"/>
  <c r="G246" i="115"/>
  <c r="L241" i="125" s="1"/>
  <c r="E84" i="125"/>
  <c r="E89" i="125"/>
  <c r="E91" i="125"/>
  <c r="E94" i="125"/>
  <c r="E82" i="125"/>
  <c r="G249" i="115"/>
  <c r="L244" i="125" s="1"/>
  <c r="H181" i="115"/>
  <c r="M129" i="125" s="1"/>
  <c r="H185" i="115"/>
  <c r="M133" i="125" s="1"/>
  <c r="H189" i="115"/>
  <c r="M137" i="125" s="1"/>
  <c r="H193" i="115"/>
  <c r="M141" i="125" s="1"/>
  <c r="H197" i="115"/>
  <c r="M145" i="125" s="1"/>
  <c r="H182" i="115"/>
  <c r="M130" i="125" s="1"/>
  <c r="H187" i="115"/>
  <c r="M135" i="125" s="1"/>
  <c r="H192" i="115"/>
  <c r="M140" i="125" s="1"/>
  <c r="H198" i="115"/>
  <c r="M146" i="125" s="1"/>
  <c r="H183" i="115"/>
  <c r="M131" i="125" s="1"/>
  <c r="H194" i="115"/>
  <c r="M142" i="125" s="1"/>
  <c r="H184" i="115"/>
  <c r="M132" i="125" s="1"/>
  <c r="H195" i="115"/>
  <c r="M143" i="125" s="1"/>
  <c r="H191" i="115"/>
  <c r="M139" i="125" s="1"/>
  <c r="H188" i="115"/>
  <c r="M136" i="125" s="1"/>
  <c r="H199" i="115"/>
  <c r="M147" i="125" s="1"/>
  <c r="H190" i="115"/>
  <c r="M138" i="125" s="1"/>
  <c r="H186" i="115"/>
  <c r="M134" i="125" s="1"/>
  <c r="H196" i="115"/>
  <c r="M144" i="125" s="1"/>
  <c r="E93" i="125"/>
  <c r="E88" i="125"/>
  <c r="P179" i="125"/>
  <c r="G245" i="115"/>
  <c r="L240" i="125" s="1"/>
  <c r="E85" i="125"/>
  <c r="E90" i="125"/>
  <c r="E80" i="125"/>
  <c r="E95" i="125"/>
  <c r="E97" i="125"/>
  <c r="E92" i="125"/>
  <c r="E81" i="125"/>
  <c r="E83" i="125"/>
  <c r="E87" i="125"/>
  <c r="E98" i="125"/>
  <c r="G248" i="115"/>
  <c r="L243" i="125" s="1"/>
  <c r="G247" i="115"/>
  <c r="L242" i="125" s="1"/>
  <c r="J173" i="115"/>
  <c r="O96" i="125" s="1"/>
  <c r="D96" i="125"/>
  <c r="K96" i="125"/>
  <c r="I173" i="115"/>
  <c r="N96" i="125" s="1"/>
  <c r="G239" i="115"/>
  <c r="L234" i="125" s="1"/>
  <c r="D93" i="125"/>
  <c r="I170" i="115"/>
  <c r="N93" i="125" s="1"/>
  <c r="J170" i="115"/>
  <c r="O93" i="125" s="1"/>
  <c r="K93" i="125"/>
  <c r="D95" i="125"/>
  <c r="K95" i="125"/>
  <c r="J172" i="115"/>
  <c r="O95" i="125" s="1"/>
  <c r="I172" i="115"/>
  <c r="N95" i="125" s="1"/>
  <c r="D91" i="125"/>
  <c r="K91" i="125"/>
  <c r="J168" i="115"/>
  <c r="O91" i="125" s="1"/>
  <c r="I168" i="115"/>
  <c r="N91" i="125" s="1"/>
  <c r="J169" i="115"/>
  <c r="O92" i="125" s="1"/>
  <c r="D92" i="125"/>
  <c r="K92" i="125"/>
  <c r="I169" i="115"/>
  <c r="N92" i="125" s="1"/>
  <c r="K90" i="125"/>
  <c r="J167" i="115"/>
  <c r="O90" i="125" s="1"/>
  <c r="D90" i="125"/>
  <c r="I167" i="115"/>
  <c r="N90" i="125" s="1"/>
  <c r="G242" i="115"/>
  <c r="L237" i="125" s="1"/>
  <c r="G237" i="115"/>
  <c r="L232" i="125" s="1"/>
  <c r="G238" i="115"/>
  <c r="L233" i="125" s="1"/>
  <c r="J130" i="115"/>
  <c r="I130" i="115"/>
  <c r="D89" i="125"/>
  <c r="J166" i="115"/>
  <c r="O89" i="125" s="1"/>
  <c r="I166" i="115"/>
  <c r="N89" i="125" s="1"/>
  <c r="K89" i="125"/>
  <c r="K98" i="125"/>
  <c r="J175" i="115"/>
  <c r="O98" i="125" s="1"/>
  <c r="D98" i="125"/>
  <c r="I175" i="115"/>
  <c r="N98" i="125" s="1"/>
  <c r="K86" i="125"/>
  <c r="J163" i="115"/>
  <c r="O86" i="125" s="1"/>
  <c r="D86" i="125"/>
  <c r="I163" i="115"/>
  <c r="N86" i="125" s="1"/>
  <c r="D173" i="115"/>
  <c r="F96" i="125" s="1"/>
  <c r="D81" i="125"/>
  <c r="K81" i="125"/>
  <c r="I158" i="115"/>
  <c r="N81" i="125" s="1"/>
  <c r="J158" i="115"/>
  <c r="O81" i="125" s="1"/>
  <c r="D83" i="125"/>
  <c r="K83" i="125"/>
  <c r="J160" i="115"/>
  <c r="O83" i="125" s="1"/>
  <c r="I160" i="115"/>
  <c r="N83" i="125" s="1"/>
  <c r="K82" i="125"/>
  <c r="J159" i="115"/>
  <c r="O82" i="125" s="1"/>
  <c r="D82" i="125"/>
  <c r="I159" i="115"/>
  <c r="N82" i="125" s="1"/>
  <c r="G233" i="115"/>
  <c r="L228" i="125" s="1"/>
  <c r="G244" i="115"/>
  <c r="L239" i="125" s="1"/>
  <c r="G234" i="115"/>
  <c r="L229" i="125" s="1"/>
  <c r="G243" i="115"/>
  <c r="L238" i="125" s="1"/>
  <c r="D97" i="125"/>
  <c r="K97" i="125"/>
  <c r="I174" i="115"/>
  <c r="N97" i="125" s="1"/>
  <c r="J174" i="115"/>
  <c r="O97" i="125" s="1"/>
  <c r="K94" i="125"/>
  <c r="J171" i="115"/>
  <c r="O94" i="125" s="1"/>
  <c r="I171" i="115"/>
  <c r="N94" i="125" s="1"/>
  <c r="D94" i="125"/>
  <c r="D85" i="125"/>
  <c r="K85" i="125"/>
  <c r="J162" i="115"/>
  <c r="O85" i="125" s="1"/>
  <c r="I162" i="115"/>
  <c r="N85" i="125" s="1"/>
  <c r="J165" i="115"/>
  <c r="O88" i="125" s="1"/>
  <c r="D88" i="125"/>
  <c r="K88" i="125"/>
  <c r="I165" i="115"/>
  <c r="N88" i="125" s="1"/>
  <c r="D87" i="125"/>
  <c r="K87" i="125"/>
  <c r="J164" i="115"/>
  <c r="O87" i="125" s="1"/>
  <c r="I164" i="115"/>
  <c r="N87" i="125" s="1"/>
  <c r="J161" i="115"/>
  <c r="O84" i="125" s="1"/>
  <c r="D84" i="125"/>
  <c r="K84" i="125"/>
  <c r="I161" i="115"/>
  <c r="N84" i="125" s="1"/>
  <c r="J157" i="115"/>
  <c r="O80" i="125" s="1"/>
  <c r="G157" i="115"/>
  <c r="L80" i="125" s="1"/>
  <c r="D80" i="125"/>
  <c r="K80" i="125"/>
  <c r="I157" i="115"/>
  <c r="N80" i="125" s="1"/>
  <c r="G232" i="115"/>
  <c r="L227" i="125" s="1"/>
  <c r="G236" i="115"/>
  <c r="L231" i="125" s="1"/>
  <c r="G240" i="115"/>
  <c r="L235" i="125" s="1"/>
  <c r="G241" i="115"/>
  <c r="L236" i="125" s="1"/>
  <c r="G235" i="115"/>
  <c r="L230" i="125" s="1"/>
  <c r="E42" i="125"/>
  <c r="E35" i="125"/>
  <c r="E49" i="125"/>
  <c r="E46" i="125"/>
  <c r="E45" i="125"/>
  <c r="E33" i="125"/>
  <c r="E34" i="125"/>
  <c r="E51" i="125"/>
  <c r="E37" i="125"/>
  <c r="E44" i="125"/>
  <c r="E38" i="125"/>
  <c r="E40" i="125"/>
  <c r="E36" i="125"/>
  <c r="E43" i="125"/>
  <c r="E50" i="125"/>
  <c r="E41" i="125"/>
  <c r="E39" i="125"/>
  <c r="E47" i="125"/>
  <c r="E48" i="125"/>
  <c r="D131" i="115"/>
  <c r="M44" i="125"/>
  <c r="L36" i="125"/>
  <c r="M39" i="125"/>
  <c r="M40" i="125"/>
  <c r="L39" i="125"/>
  <c r="M42" i="125"/>
  <c r="M48" i="125"/>
  <c r="L42" i="125"/>
  <c r="M45" i="125"/>
  <c r="K39" i="125"/>
  <c r="I136" i="115"/>
  <c r="D39" i="125"/>
  <c r="K47" i="125"/>
  <c r="D47" i="125"/>
  <c r="I144" i="115"/>
  <c r="I135" i="115"/>
  <c r="K38" i="125"/>
  <c r="D45" i="125"/>
  <c r="I142" i="115"/>
  <c r="K45" i="125"/>
  <c r="I131" i="115"/>
  <c r="D34" i="125"/>
  <c r="K34" i="125"/>
  <c r="I139" i="115"/>
  <c r="K42" i="125"/>
  <c r="D42" i="125"/>
  <c r="K35" i="125"/>
  <c r="I132" i="115"/>
  <c r="D35" i="125"/>
  <c r="D33" i="125"/>
  <c r="K33" i="125"/>
  <c r="L48" i="125"/>
  <c r="M51" i="125"/>
  <c r="M35" i="125"/>
  <c r="L51" i="125"/>
  <c r="L35" i="125"/>
  <c r="M38" i="125"/>
  <c r="M36" i="125"/>
  <c r="L38" i="125"/>
  <c r="M41" i="125"/>
  <c r="D36" i="125"/>
  <c r="I133" i="115"/>
  <c r="K36" i="125"/>
  <c r="D41" i="125"/>
  <c r="K41" i="125"/>
  <c r="I138" i="115"/>
  <c r="D37" i="125"/>
  <c r="K37" i="125"/>
  <c r="I134" i="115"/>
  <c r="K51" i="125"/>
  <c r="I148" i="115"/>
  <c r="D51" i="125"/>
  <c r="I147" i="115"/>
  <c r="K50" i="125"/>
  <c r="D50" i="125"/>
  <c r="D48" i="125"/>
  <c r="K48" i="125"/>
  <c r="I145" i="115"/>
  <c r="D49" i="125"/>
  <c r="I146" i="115"/>
  <c r="K49" i="125"/>
  <c r="I143" i="115"/>
  <c r="K46" i="125"/>
  <c r="D46" i="125"/>
  <c r="K40" i="125"/>
  <c r="I137" i="115"/>
  <c r="D40" i="125"/>
  <c r="L41" i="125"/>
  <c r="L44" i="125"/>
  <c r="M47" i="125"/>
  <c r="L49" i="125"/>
  <c r="L47" i="125"/>
  <c r="M50" i="125"/>
  <c r="M34" i="125"/>
  <c r="L50" i="125"/>
  <c r="L34" i="125"/>
  <c r="M37" i="125"/>
  <c r="D44" i="125"/>
  <c r="I141" i="115"/>
  <c r="K44" i="125"/>
  <c r="K43" i="125"/>
  <c r="D43" i="125"/>
  <c r="I140" i="115"/>
  <c r="L33" i="125"/>
  <c r="L40" i="125"/>
  <c r="M43" i="125"/>
  <c r="L37" i="125"/>
  <c r="L43" i="125"/>
  <c r="M46" i="125"/>
  <c r="L45" i="125"/>
  <c r="L46" i="125"/>
  <c r="M49" i="125"/>
  <c r="M33" i="125"/>
  <c r="B181" i="115"/>
  <c r="D130" i="115"/>
  <c r="B183" i="115"/>
  <c r="B193" i="115"/>
  <c r="B182" i="115"/>
  <c r="C182" i="115"/>
  <c r="D165" i="115"/>
  <c r="F88" i="125" s="1"/>
  <c r="C181" i="115"/>
  <c r="B197" i="115"/>
  <c r="C183" i="115"/>
  <c r="B196" i="115"/>
  <c r="C197" i="115"/>
  <c r="G174" i="115"/>
  <c r="L97" i="125" s="1"/>
  <c r="G158" i="115"/>
  <c r="L81" i="125" s="1"/>
  <c r="G171" i="115"/>
  <c r="L94" i="125" s="1"/>
  <c r="G160" i="115"/>
  <c r="L83" i="125" s="1"/>
  <c r="G172" i="115"/>
  <c r="L95" i="125" s="1"/>
  <c r="G163" i="115"/>
  <c r="L86" i="125" s="1"/>
  <c r="D164" i="115"/>
  <c r="F87" i="125" s="1"/>
  <c r="G165" i="115"/>
  <c r="L88" i="125" s="1"/>
  <c r="G167" i="115"/>
  <c r="L90" i="125" s="1"/>
  <c r="D132" i="115"/>
  <c r="D159" i="115"/>
  <c r="F82" i="125" s="1"/>
  <c r="D137" i="115"/>
  <c r="G166" i="115"/>
  <c r="L89" i="125" s="1"/>
  <c r="D174" i="115"/>
  <c r="F97" i="125" s="1"/>
  <c r="D169" i="115"/>
  <c r="F92" i="125" s="1"/>
  <c r="D158" i="115"/>
  <c r="F81" i="125" s="1"/>
  <c r="D170" i="115"/>
  <c r="F93" i="125" s="1"/>
  <c r="G173" i="115"/>
  <c r="L96" i="125" s="1"/>
  <c r="G161" i="115"/>
  <c r="L84" i="125" s="1"/>
  <c r="D134" i="115"/>
  <c r="G159" i="115"/>
  <c r="L82" i="125" s="1"/>
  <c r="D140" i="115"/>
  <c r="D141" i="115"/>
  <c r="D145" i="115"/>
  <c r="D135" i="115"/>
  <c r="D148" i="115"/>
  <c r="D147" i="115"/>
  <c r="G175" i="115"/>
  <c r="L98" i="125" s="1"/>
  <c r="G168" i="115"/>
  <c r="L91" i="125" s="1"/>
  <c r="G169" i="115"/>
  <c r="L92" i="125" s="1"/>
  <c r="D163" i="115"/>
  <c r="F86" i="125" s="1"/>
  <c r="D143" i="115"/>
  <c r="D175" i="115"/>
  <c r="F98" i="125" s="1"/>
  <c r="D146" i="115"/>
  <c r="D138" i="115"/>
  <c r="G164" i="115"/>
  <c r="L87" i="125" s="1"/>
  <c r="G170" i="115"/>
  <c r="L93" i="125" s="1"/>
  <c r="D161" i="115"/>
  <c r="F84" i="125" s="1"/>
  <c r="D166" i="115"/>
  <c r="F89" i="125" s="1"/>
  <c r="D168" i="115"/>
  <c r="F91" i="125" s="1"/>
  <c r="D160" i="115"/>
  <c r="F83" i="125" s="1"/>
  <c r="G162" i="115"/>
  <c r="L85" i="125" s="1"/>
  <c r="D171" i="115"/>
  <c r="F94" i="125" s="1"/>
  <c r="D139" i="115"/>
  <c r="D157" i="115"/>
  <c r="F80" i="125" s="1"/>
  <c r="D136" i="115"/>
  <c r="D142" i="115"/>
  <c r="B194" i="115"/>
  <c r="B191" i="115"/>
  <c r="C186" i="115"/>
  <c r="B189" i="115"/>
  <c r="B186" i="115"/>
  <c r="H286" i="115"/>
  <c r="B295" i="115"/>
  <c r="C287" i="115"/>
  <c r="E325" i="125" s="1"/>
  <c r="B289" i="115"/>
  <c r="H288" i="115"/>
  <c r="C293" i="115"/>
  <c r="E331" i="125" s="1"/>
  <c r="B294" i="115"/>
  <c r="B296" i="115"/>
  <c r="C198" i="115"/>
  <c r="B185" i="115"/>
  <c r="B199" i="115"/>
  <c r="C184" i="115"/>
  <c r="C196" i="115"/>
  <c r="C195" i="115"/>
  <c r="B192" i="115"/>
  <c r="C295" i="115"/>
  <c r="E333" i="125" s="1"/>
  <c r="H297" i="115"/>
  <c r="C188" i="115"/>
  <c r="C299" i="115"/>
  <c r="C191" i="115"/>
  <c r="B184" i="115"/>
  <c r="C193" i="115"/>
  <c r="C189" i="115"/>
  <c r="C190" i="115"/>
  <c r="B195" i="115"/>
  <c r="C192" i="115"/>
  <c r="D220" i="115"/>
  <c r="F191" i="125" s="1"/>
  <c r="C297" i="115"/>
  <c r="E335" i="125" s="1"/>
  <c r="C292" i="115"/>
  <c r="E330" i="125" s="1"/>
  <c r="H298" i="115"/>
  <c r="M336" i="125" s="1"/>
  <c r="H292" i="115"/>
  <c r="B298" i="115"/>
  <c r="B293" i="115"/>
  <c r="H289" i="115"/>
  <c r="H301" i="115"/>
  <c r="M339" i="125" s="1"/>
  <c r="C302" i="115"/>
  <c r="H296" i="115"/>
  <c r="B288" i="115"/>
  <c r="H287" i="115"/>
  <c r="H290" i="115"/>
  <c r="C185" i="115"/>
  <c r="B198" i="115"/>
  <c r="C194" i="115"/>
  <c r="C187" i="115"/>
  <c r="B188" i="115"/>
  <c r="C199" i="115"/>
  <c r="B190" i="115"/>
  <c r="H300" i="115"/>
  <c r="M338" i="125" s="1"/>
  <c r="H295" i="115"/>
  <c r="B302" i="115"/>
  <c r="B297" i="115"/>
  <c r="C301" i="115"/>
  <c r="C296" i="115"/>
  <c r="E334" i="125" s="1"/>
  <c r="C298" i="115"/>
  <c r="B299" i="115"/>
  <c r="H293" i="115"/>
  <c r="C286" i="115"/>
  <c r="E324" i="125" s="1"/>
  <c r="B301" i="115"/>
  <c r="B300" i="115"/>
  <c r="H302" i="115"/>
  <c r="M340" i="125" s="1"/>
  <c r="B291" i="115"/>
  <c r="B187" i="115"/>
  <c r="H284" i="115"/>
  <c r="B292" i="115"/>
  <c r="B286" i="115"/>
  <c r="C300" i="115"/>
  <c r="C285" i="115"/>
  <c r="E323" i="125" s="1"/>
  <c r="H299" i="115"/>
  <c r="M337" i="125" s="1"/>
  <c r="C294" i="115"/>
  <c r="E332" i="125" s="1"/>
  <c r="B287" i="115"/>
  <c r="H285" i="115"/>
  <c r="B290" i="115"/>
  <c r="B285" i="115"/>
  <c r="B284" i="115"/>
  <c r="H291" i="115"/>
  <c r="C291" i="115"/>
  <c r="E329" i="125" s="1"/>
  <c r="D289" i="115"/>
  <c r="F327" i="125" s="1"/>
  <c r="D290" i="115"/>
  <c r="F328" i="125" s="1"/>
  <c r="D288" i="115"/>
  <c r="F326" i="125" s="1"/>
  <c r="D237" i="115"/>
  <c r="F232" i="125" s="1"/>
  <c r="D249" i="115"/>
  <c r="F244" i="125" s="1"/>
  <c r="D233" i="115"/>
  <c r="F228" i="125" s="1"/>
  <c r="D236" i="115"/>
  <c r="F231" i="125" s="1"/>
  <c r="D235" i="115"/>
  <c r="F230" i="125" s="1"/>
  <c r="D238" i="115"/>
  <c r="F233" i="125" s="1"/>
  <c r="D245" i="115"/>
  <c r="F240" i="125" s="1"/>
  <c r="D248" i="115"/>
  <c r="F243" i="125" s="1"/>
  <c r="D232" i="115"/>
  <c r="F227" i="125" s="1"/>
  <c r="D247" i="115"/>
  <c r="F242" i="125" s="1"/>
  <c r="D231" i="115"/>
  <c r="F226" i="125" s="1"/>
  <c r="D241" i="115"/>
  <c r="F236" i="125" s="1"/>
  <c r="D242" i="115"/>
  <c r="F237" i="125" s="1"/>
  <c r="D244" i="115"/>
  <c r="F239" i="125" s="1"/>
  <c r="D246" i="115"/>
  <c r="F241" i="125" s="1"/>
  <c r="D243" i="115"/>
  <c r="F238" i="125" s="1"/>
  <c r="D240" i="115"/>
  <c r="F235" i="125" s="1"/>
  <c r="D234" i="115"/>
  <c r="F229" i="125" s="1"/>
  <c r="D239" i="115"/>
  <c r="F234" i="125" s="1"/>
  <c r="D218" i="115"/>
  <c r="F189" i="125" s="1"/>
  <c r="D222" i="115"/>
  <c r="F193" i="125" s="1"/>
  <c r="D207" i="115"/>
  <c r="F178" i="125" s="1"/>
  <c r="D208" i="115"/>
  <c r="F179" i="125" s="1"/>
  <c r="D211" i="115"/>
  <c r="F182" i="125" s="1"/>
  <c r="D209" i="115"/>
  <c r="F180" i="125" s="1"/>
  <c r="D206" i="115"/>
  <c r="F177" i="125" s="1"/>
  <c r="D144" i="115"/>
  <c r="D172" i="115"/>
  <c r="F95" i="125" s="1"/>
  <c r="D162" i="115"/>
  <c r="F85" i="125" s="1"/>
  <c r="D167" i="115"/>
  <c r="F90" i="125" s="1"/>
  <c r="D133" i="115"/>
  <c r="I284" i="115" l="1"/>
  <c r="N322" i="125" s="1"/>
  <c r="J284" i="115"/>
  <c r="O322" i="125" s="1"/>
  <c r="J302" i="115"/>
  <c r="O340" i="125" s="1"/>
  <c r="I302" i="115"/>
  <c r="N340" i="125" s="1"/>
  <c r="I295" i="115"/>
  <c r="N333" i="125" s="1"/>
  <c r="J295" i="115"/>
  <c r="O333" i="125" s="1"/>
  <c r="I285" i="115"/>
  <c r="N323" i="125" s="1"/>
  <c r="J285" i="115"/>
  <c r="O323" i="125" s="1"/>
  <c r="J286" i="115"/>
  <c r="O324" i="125" s="1"/>
  <c r="I286" i="115"/>
  <c r="N324" i="125" s="1"/>
  <c r="I291" i="115"/>
  <c r="N329" i="125" s="1"/>
  <c r="J291" i="115"/>
  <c r="O329" i="125" s="1"/>
  <c r="J293" i="115"/>
  <c r="O331" i="125" s="1"/>
  <c r="I293" i="115"/>
  <c r="N331" i="125" s="1"/>
  <c r="I287" i="115"/>
  <c r="N325" i="125" s="1"/>
  <c r="J287" i="115"/>
  <c r="O325" i="125" s="1"/>
  <c r="I288" i="115"/>
  <c r="N326" i="125" s="1"/>
  <c r="J288" i="115"/>
  <c r="O326" i="125" s="1"/>
  <c r="J290" i="115"/>
  <c r="O328" i="125" s="1"/>
  <c r="I290" i="115"/>
  <c r="N328" i="125" s="1"/>
  <c r="I292" i="115"/>
  <c r="N330" i="125" s="1"/>
  <c r="J292" i="115"/>
  <c r="O330" i="125" s="1"/>
  <c r="P340" i="125"/>
  <c r="J298" i="115"/>
  <c r="O336" i="125" s="1"/>
  <c r="P336" i="125" s="1"/>
  <c r="I298" i="115"/>
  <c r="N336" i="125" s="1"/>
  <c r="I296" i="115"/>
  <c r="N334" i="125" s="1"/>
  <c r="J296" i="115"/>
  <c r="O334" i="125" s="1"/>
  <c r="J289" i="115"/>
  <c r="O327" i="125" s="1"/>
  <c r="I289" i="115"/>
  <c r="N327" i="125" s="1"/>
  <c r="J301" i="115"/>
  <c r="O339" i="125" s="1"/>
  <c r="P339" i="125" s="1"/>
  <c r="I301" i="115"/>
  <c r="N339" i="125" s="1"/>
  <c r="I300" i="115"/>
  <c r="N338" i="125" s="1"/>
  <c r="J300" i="115"/>
  <c r="O338" i="125" s="1"/>
  <c r="P338" i="125" s="1"/>
  <c r="I299" i="115"/>
  <c r="N337" i="125" s="1"/>
  <c r="J299" i="115"/>
  <c r="O337" i="125" s="1"/>
  <c r="P337" i="125" s="1"/>
  <c r="I297" i="115"/>
  <c r="N335" i="125" s="1"/>
  <c r="J297" i="115"/>
  <c r="O335" i="125" s="1"/>
  <c r="J294" i="115"/>
  <c r="O332" i="125" s="1"/>
  <c r="P332" i="125" s="1"/>
  <c r="I294" i="115"/>
  <c r="N332" i="125" s="1"/>
  <c r="D325" i="125"/>
  <c r="K325" i="125"/>
  <c r="G301" i="115"/>
  <c r="L339" i="125" s="1"/>
  <c r="K339" i="125"/>
  <c r="D339" i="125"/>
  <c r="D326" i="125"/>
  <c r="K326" i="125"/>
  <c r="P284" i="125"/>
  <c r="M327" i="125"/>
  <c r="K323" i="125"/>
  <c r="D323" i="125"/>
  <c r="K324" i="125"/>
  <c r="D324" i="125"/>
  <c r="D329" i="125"/>
  <c r="K329" i="125"/>
  <c r="P290" i="125"/>
  <c r="M333" i="125"/>
  <c r="P291" i="125"/>
  <c r="M334" i="125"/>
  <c r="K331" i="125"/>
  <c r="D331" i="125"/>
  <c r="P292" i="125"/>
  <c r="M335" i="125"/>
  <c r="P283" i="125"/>
  <c r="M326" i="125"/>
  <c r="P281" i="125"/>
  <c r="M324" i="125"/>
  <c r="D334" i="125"/>
  <c r="K334" i="125"/>
  <c r="D322" i="125"/>
  <c r="K322" i="125"/>
  <c r="D300" i="115"/>
  <c r="F338" i="125" s="1"/>
  <c r="E338" i="125"/>
  <c r="D298" i="115"/>
  <c r="F336" i="125" s="1"/>
  <c r="E336" i="125"/>
  <c r="G302" i="115"/>
  <c r="L340" i="125" s="1"/>
  <c r="K340" i="125"/>
  <c r="D340" i="125"/>
  <c r="D333" i="125"/>
  <c r="K333" i="125"/>
  <c r="K328" i="125"/>
  <c r="D328" i="125"/>
  <c r="D330" i="125"/>
  <c r="K330" i="125"/>
  <c r="P288" i="125"/>
  <c r="M331" i="125"/>
  <c r="D301" i="115"/>
  <c r="F339" i="125" s="1"/>
  <c r="E339" i="125"/>
  <c r="P285" i="125"/>
  <c r="M328" i="125"/>
  <c r="D302" i="115"/>
  <c r="F340" i="125" s="1"/>
  <c r="E340" i="125"/>
  <c r="K336" i="125"/>
  <c r="D336" i="125"/>
  <c r="D327" i="125"/>
  <c r="K327" i="125"/>
  <c r="P286" i="125"/>
  <c r="M329" i="125"/>
  <c r="P280" i="125"/>
  <c r="M323" i="125"/>
  <c r="P279" i="125"/>
  <c r="M322" i="125"/>
  <c r="G300" i="115"/>
  <c r="L338" i="125" s="1"/>
  <c r="D338" i="125"/>
  <c r="K338" i="125"/>
  <c r="G299" i="115"/>
  <c r="L337" i="125" s="1"/>
  <c r="D337" i="125"/>
  <c r="K337" i="125"/>
  <c r="K335" i="125"/>
  <c r="D335" i="125"/>
  <c r="P282" i="125"/>
  <c r="M325" i="125"/>
  <c r="P287" i="125"/>
  <c r="M330" i="125"/>
  <c r="P330" i="125" s="1"/>
  <c r="D299" i="115"/>
  <c r="F337" i="125" s="1"/>
  <c r="E337" i="125"/>
  <c r="K332" i="125"/>
  <c r="D332" i="125"/>
  <c r="D287" i="115"/>
  <c r="F325" i="125" s="1"/>
  <c r="D293" i="115"/>
  <c r="F331" i="125" s="1"/>
  <c r="D294" i="115"/>
  <c r="F332" i="125" s="1"/>
  <c r="D286" i="115"/>
  <c r="F324" i="125" s="1"/>
  <c r="D296" i="115"/>
  <c r="F334" i="125" s="1"/>
  <c r="D292" i="115"/>
  <c r="F330" i="125" s="1"/>
  <c r="F322" i="125"/>
  <c r="D285" i="115"/>
  <c r="F323" i="125" s="1"/>
  <c r="D291" i="115"/>
  <c r="F329" i="125" s="1"/>
  <c r="D297" i="115"/>
  <c r="F335" i="125" s="1"/>
  <c r="D295" i="115"/>
  <c r="F333" i="125" s="1"/>
  <c r="G297" i="115"/>
  <c r="L335" i="125" s="1"/>
  <c r="G284" i="115"/>
  <c r="L322" i="125" s="1"/>
  <c r="G294" i="115"/>
  <c r="L332" i="125" s="1"/>
  <c r="G287" i="115"/>
  <c r="L325" i="125" s="1"/>
  <c r="G288" i="115"/>
  <c r="L326" i="125" s="1"/>
  <c r="G295" i="115"/>
  <c r="L333" i="125" s="1"/>
  <c r="G285" i="115"/>
  <c r="L323" i="125" s="1"/>
  <c r="G286" i="115"/>
  <c r="L324" i="125" s="1"/>
  <c r="G291" i="115"/>
  <c r="L329" i="125" s="1"/>
  <c r="G293" i="115"/>
  <c r="L331" i="125" s="1"/>
  <c r="G290" i="115"/>
  <c r="L328" i="125" s="1"/>
  <c r="G292" i="115"/>
  <c r="L330" i="125" s="1"/>
  <c r="G298" i="115"/>
  <c r="L336" i="125" s="1"/>
  <c r="G296" i="115"/>
  <c r="L334" i="125" s="1"/>
  <c r="G289" i="115"/>
  <c r="L327" i="125" s="1"/>
  <c r="D194" i="115"/>
  <c r="F142" i="125" s="1"/>
  <c r="E142" i="125"/>
  <c r="G199" i="115"/>
  <c r="L147" i="125" s="1"/>
  <c r="I199" i="115"/>
  <c r="N147" i="125" s="1"/>
  <c r="J199" i="115"/>
  <c r="O147" i="125" s="1"/>
  <c r="P147" i="125" s="1"/>
  <c r="K147" i="125"/>
  <c r="D147" i="125"/>
  <c r="G194" i="115"/>
  <c r="L142" i="125" s="1"/>
  <c r="K142" i="125"/>
  <c r="I194" i="115"/>
  <c r="N142" i="125" s="1"/>
  <c r="J194" i="115"/>
  <c r="O142" i="125" s="1"/>
  <c r="P142" i="125" s="1"/>
  <c r="D142" i="125"/>
  <c r="D181" i="115"/>
  <c r="F129" i="125" s="1"/>
  <c r="E129" i="125"/>
  <c r="D199" i="115"/>
  <c r="F147" i="125" s="1"/>
  <c r="E147" i="125"/>
  <c r="G198" i="115"/>
  <c r="L146" i="125" s="1"/>
  <c r="K146" i="125"/>
  <c r="J198" i="115"/>
  <c r="O146" i="125" s="1"/>
  <c r="P146" i="125" s="1"/>
  <c r="D146" i="125"/>
  <c r="I198" i="115"/>
  <c r="N146" i="125" s="1"/>
  <c r="D192" i="115"/>
  <c r="F140" i="125" s="1"/>
  <c r="E140" i="125"/>
  <c r="D193" i="115"/>
  <c r="F141" i="125" s="1"/>
  <c r="E141" i="125"/>
  <c r="D188" i="115"/>
  <c r="F136" i="125" s="1"/>
  <c r="E136" i="125"/>
  <c r="D195" i="115"/>
  <c r="F143" i="125" s="1"/>
  <c r="E143" i="125"/>
  <c r="G185" i="115"/>
  <c r="L133" i="125" s="1"/>
  <c r="D133" i="125"/>
  <c r="K133" i="125"/>
  <c r="I185" i="115"/>
  <c r="N133" i="125" s="1"/>
  <c r="J185" i="115"/>
  <c r="O133" i="125" s="1"/>
  <c r="G189" i="115"/>
  <c r="L137" i="125" s="1"/>
  <c r="D137" i="125"/>
  <c r="I189" i="115"/>
  <c r="N137" i="125" s="1"/>
  <c r="K137" i="125"/>
  <c r="J189" i="115"/>
  <c r="O137" i="125" s="1"/>
  <c r="P137" i="125" s="1"/>
  <c r="G196" i="115"/>
  <c r="L144" i="125" s="1"/>
  <c r="K144" i="125"/>
  <c r="D144" i="125"/>
  <c r="J196" i="115"/>
  <c r="O144" i="125" s="1"/>
  <c r="P144" i="125" s="1"/>
  <c r="I196" i="115"/>
  <c r="N144" i="125" s="1"/>
  <c r="G183" i="115"/>
  <c r="L131" i="125" s="1"/>
  <c r="I183" i="115"/>
  <c r="N131" i="125" s="1"/>
  <c r="K131" i="125"/>
  <c r="D131" i="125"/>
  <c r="J183" i="115"/>
  <c r="O131" i="125" s="1"/>
  <c r="P131" i="125" s="1"/>
  <c r="G188" i="115"/>
  <c r="L136" i="125" s="1"/>
  <c r="J188" i="115"/>
  <c r="O136" i="125" s="1"/>
  <c r="P136" i="125" s="1"/>
  <c r="I188" i="115"/>
  <c r="N136" i="125" s="1"/>
  <c r="K136" i="125"/>
  <c r="D136" i="125"/>
  <c r="D185" i="115"/>
  <c r="F133" i="125" s="1"/>
  <c r="E133" i="125"/>
  <c r="G195" i="115"/>
  <c r="L143" i="125" s="1"/>
  <c r="I195" i="115"/>
  <c r="N143" i="125" s="1"/>
  <c r="J195" i="115"/>
  <c r="O143" i="125" s="1"/>
  <c r="P143" i="125" s="1"/>
  <c r="K143" i="125"/>
  <c r="D143" i="125"/>
  <c r="G184" i="115"/>
  <c r="L132" i="125" s="1"/>
  <c r="K132" i="125"/>
  <c r="D132" i="125"/>
  <c r="J184" i="115"/>
  <c r="O132" i="125" s="1"/>
  <c r="P132" i="125" s="1"/>
  <c r="I184" i="115"/>
  <c r="N132" i="125" s="1"/>
  <c r="D196" i="115"/>
  <c r="F144" i="125" s="1"/>
  <c r="E144" i="125"/>
  <c r="D198" i="115"/>
  <c r="F146" i="125" s="1"/>
  <c r="E146" i="125"/>
  <c r="D186" i="115"/>
  <c r="F134" i="125" s="1"/>
  <c r="E134" i="125"/>
  <c r="D183" i="115"/>
  <c r="F131" i="125" s="1"/>
  <c r="E131" i="125"/>
  <c r="D182" i="115"/>
  <c r="F130" i="125" s="1"/>
  <c r="E130" i="125"/>
  <c r="G190" i="115"/>
  <c r="L138" i="125" s="1"/>
  <c r="K138" i="125"/>
  <c r="D138" i="125"/>
  <c r="I190" i="115"/>
  <c r="N138" i="125" s="1"/>
  <c r="J190" i="115"/>
  <c r="O138" i="125" s="1"/>
  <c r="P138" i="125" s="1"/>
  <c r="D189" i="115"/>
  <c r="F137" i="125" s="1"/>
  <c r="E137" i="125"/>
  <c r="G192" i="115"/>
  <c r="L140" i="125" s="1"/>
  <c r="D140" i="125"/>
  <c r="I192" i="115"/>
  <c r="N140" i="125" s="1"/>
  <c r="K140" i="125"/>
  <c r="J192" i="115"/>
  <c r="O140" i="125" s="1"/>
  <c r="P140" i="125" s="1"/>
  <c r="G186" i="115"/>
  <c r="L134" i="125" s="1"/>
  <c r="K134" i="125"/>
  <c r="I186" i="115"/>
  <c r="N134" i="125" s="1"/>
  <c r="D134" i="125"/>
  <c r="J186" i="115"/>
  <c r="O134" i="125" s="1"/>
  <c r="P134" i="125" s="1"/>
  <c r="D197" i="115"/>
  <c r="F145" i="125" s="1"/>
  <c r="E145" i="125"/>
  <c r="G193" i="115"/>
  <c r="L141" i="125" s="1"/>
  <c r="D141" i="125"/>
  <c r="I193" i="115"/>
  <c r="N141" i="125" s="1"/>
  <c r="J193" i="115"/>
  <c r="O141" i="125" s="1"/>
  <c r="P141" i="125" s="1"/>
  <c r="K141" i="125"/>
  <c r="G187" i="115"/>
  <c r="L135" i="125" s="1"/>
  <c r="D135" i="125"/>
  <c r="I187" i="115"/>
  <c r="N135" i="125" s="1"/>
  <c r="K135" i="125"/>
  <c r="J187" i="115"/>
  <c r="O135" i="125" s="1"/>
  <c r="P135" i="125" s="1"/>
  <c r="D187" i="115"/>
  <c r="F135" i="125" s="1"/>
  <c r="E135" i="125"/>
  <c r="D190" i="115"/>
  <c r="F138" i="125" s="1"/>
  <c r="E138" i="125"/>
  <c r="D191" i="115"/>
  <c r="F139" i="125" s="1"/>
  <c r="E139" i="125"/>
  <c r="D184" i="115"/>
  <c r="F132" i="125" s="1"/>
  <c r="E132" i="125"/>
  <c r="G191" i="115"/>
  <c r="L139" i="125" s="1"/>
  <c r="K139" i="125"/>
  <c r="I191" i="115"/>
  <c r="N139" i="125" s="1"/>
  <c r="J191" i="115"/>
  <c r="O139" i="125" s="1"/>
  <c r="P139" i="125" s="1"/>
  <c r="D139" i="125"/>
  <c r="G197" i="115"/>
  <c r="L145" i="125" s="1"/>
  <c r="D145" i="125"/>
  <c r="I197" i="115"/>
  <c r="N145" i="125" s="1"/>
  <c r="K145" i="125"/>
  <c r="J197" i="115"/>
  <c r="O145" i="125" s="1"/>
  <c r="P145" i="125" s="1"/>
  <c r="G182" i="115"/>
  <c r="L130" i="125" s="1"/>
  <c r="K130" i="125"/>
  <c r="D130" i="125"/>
  <c r="J182" i="115"/>
  <c r="O130" i="125" s="1"/>
  <c r="P130" i="125" s="1"/>
  <c r="I182" i="115"/>
  <c r="N130" i="125" s="1"/>
  <c r="G181" i="115"/>
  <c r="L129" i="125" s="1"/>
  <c r="D129" i="125"/>
  <c r="I181" i="115"/>
  <c r="N129" i="125" s="1"/>
  <c r="K129" i="125"/>
  <c r="J181" i="115"/>
  <c r="O129" i="125" s="1"/>
  <c r="P129" i="125" s="1"/>
  <c r="P133" i="125"/>
  <c r="F47" i="125"/>
  <c r="F41" i="125"/>
  <c r="F48" i="125"/>
  <c r="F40" i="125"/>
  <c r="F42" i="125"/>
  <c r="F49" i="125"/>
  <c r="F44" i="125"/>
  <c r="F33" i="125"/>
  <c r="F39" i="125"/>
  <c r="F51" i="125"/>
  <c r="F43" i="125"/>
  <c r="F36" i="125"/>
  <c r="F46" i="125"/>
  <c r="F45" i="125"/>
  <c r="F50" i="125"/>
  <c r="F37" i="125"/>
  <c r="F38" i="125"/>
  <c r="F35" i="125"/>
  <c r="F34" i="125"/>
  <c r="N43" i="125"/>
  <c r="N48" i="125"/>
  <c r="N37" i="125"/>
  <c r="N35" i="125"/>
  <c r="N42" i="125"/>
  <c r="N34" i="125"/>
  <c r="N38" i="125"/>
  <c r="N44" i="125"/>
  <c r="N49" i="125"/>
  <c r="N41" i="125"/>
  <c r="N40" i="125"/>
  <c r="N46" i="125"/>
  <c r="N50" i="125"/>
  <c r="N51" i="125"/>
  <c r="N36" i="125"/>
  <c r="N47" i="125"/>
  <c r="N33" i="125"/>
  <c r="N45" i="125"/>
  <c r="N39" i="125"/>
  <c r="L90" i="121"/>
  <c r="DS71" i="135"/>
  <c r="K94" i="115" s="1"/>
  <c r="DT71" i="135"/>
  <c r="K95" i="115" s="1"/>
  <c r="DU71" i="135"/>
  <c r="K96" i="115" s="1"/>
  <c r="QI71" i="135"/>
  <c r="L94" i="115" s="1"/>
  <c r="QJ71" i="135"/>
  <c r="L95" i="115" s="1"/>
  <c r="QK71" i="135"/>
  <c r="L96" i="115" s="1"/>
  <c r="P322" i="125" l="1"/>
  <c r="P334" i="125"/>
  <c r="P325" i="125"/>
  <c r="P331" i="125"/>
  <c r="P324" i="125"/>
  <c r="P335" i="125"/>
  <c r="P333" i="125"/>
  <c r="P329" i="125"/>
  <c r="P328" i="125"/>
  <c r="P323" i="125"/>
  <c r="P326" i="125"/>
  <c r="P327" i="125"/>
  <c r="PB71" i="135"/>
  <c r="L56" i="115" s="1"/>
  <c r="PC71" i="135"/>
  <c r="L57" i="115" s="1"/>
  <c r="PD71" i="135"/>
  <c r="L58" i="115" s="1"/>
  <c r="CL71" i="135"/>
  <c r="K56" i="115" s="1"/>
  <c r="CM71" i="135"/>
  <c r="K57" i="115" s="1"/>
  <c r="CN71" i="135"/>
  <c r="K58" i="115" s="1"/>
  <c r="G25" i="137" l="1"/>
  <c r="N36" i="137" l="1"/>
  <c r="N35" i="137"/>
  <c r="L30" i="137"/>
  <c r="L28" i="137"/>
  <c r="L26" i="137"/>
  <c r="G26" i="137"/>
  <c r="G27" i="137" s="1"/>
  <c r="L25" i="137"/>
  <c r="L24" i="137"/>
  <c r="G24" i="137"/>
  <c r="A2" i="137"/>
  <c r="L27" i="137" l="1"/>
  <c r="L29" i="137"/>
  <c r="L31" i="137"/>
  <c r="HB71" i="135" l="1"/>
  <c r="K102" i="115" s="1"/>
  <c r="HC71" i="135"/>
  <c r="K103" i="115" s="1"/>
  <c r="HD71" i="135"/>
  <c r="K104" i="115" s="1"/>
  <c r="HE71" i="135"/>
  <c r="K105" i="115" s="1"/>
  <c r="HF71" i="135"/>
  <c r="K106" i="115" s="1"/>
  <c r="HG71" i="135"/>
  <c r="K107" i="115" s="1"/>
  <c r="HH71" i="135"/>
  <c r="K108" i="115" s="1"/>
  <c r="HI71" i="135"/>
  <c r="K109" i="115" s="1"/>
  <c r="HJ71" i="135"/>
  <c r="K110" i="115" s="1"/>
  <c r="HK71" i="135"/>
  <c r="K111" i="115" s="1"/>
  <c r="HL71" i="135"/>
  <c r="K112" i="115" s="1"/>
  <c r="HM71" i="135"/>
  <c r="K113" i="115" s="1"/>
  <c r="HN71" i="135"/>
  <c r="K114" i="115" s="1"/>
  <c r="HO71" i="135"/>
  <c r="K115" i="115" s="1"/>
  <c r="HP71" i="135"/>
  <c r="K116" i="115" s="1"/>
  <c r="HQ71" i="135"/>
  <c r="K117" i="115" s="1"/>
  <c r="HR71" i="135"/>
  <c r="K118" i="115" s="1"/>
  <c r="HS71" i="135"/>
  <c r="K119" i="115" s="1"/>
  <c r="HT71" i="135"/>
  <c r="K120" i="115" s="1"/>
  <c r="HU71" i="135"/>
  <c r="K121" i="115" s="1"/>
  <c r="HV71" i="135"/>
  <c r="K122" i="115" s="1"/>
  <c r="HW71" i="135"/>
  <c r="K123" i="115" s="1"/>
  <c r="HX71" i="135"/>
  <c r="K124" i="115" s="1"/>
  <c r="HY71" i="135"/>
  <c r="K125" i="115" s="1"/>
  <c r="I125" i="115" l="1"/>
  <c r="I121" i="115"/>
  <c r="I117" i="115"/>
  <c r="I113" i="115"/>
  <c r="I109" i="115"/>
  <c r="I105" i="115"/>
  <c r="I124" i="115"/>
  <c r="I120" i="115"/>
  <c r="I116" i="115"/>
  <c r="I112" i="115"/>
  <c r="I108" i="115"/>
  <c r="I104" i="115"/>
  <c r="I123" i="115"/>
  <c r="I119" i="115"/>
  <c r="I115" i="115"/>
  <c r="I111" i="115"/>
  <c r="I107" i="115"/>
  <c r="I103" i="115"/>
  <c r="I122" i="115"/>
  <c r="I118" i="115"/>
  <c r="I114" i="115"/>
  <c r="I110" i="115"/>
  <c r="I106" i="115"/>
  <c r="I102" i="115"/>
  <c r="K101" i="115"/>
  <c r="L102" i="115" s="1"/>
  <c r="L110" i="115" l="1"/>
  <c r="L103" i="115"/>
  <c r="L104" i="115"/>
  <c r="L105" i="115"/>
  <c r="L106" i="115"/>
  <c r="L107" i="115"/>
  <c r="L108" i="115"/>
  <c r="L109" i="115"/>
  <c r="G104" i="115"/>
  <c r="B113" i="115"/>
  <c r="I48" i="137" s="1"/>
  <c r="C117" i="115"/>
  <c r="J52" i="137" s="1"/>
  <c r="C119" i="115"/>
  <c r="J54" i="137" s="1"/>
  <c r="C121" i="115"/>
  <c r="C123" i="115"/>
  <c r="J58" i="137" s="1"/>
  <c r="C110" i="115"/>
  <c r="J45" i="137" s="1"/>
  <c r="B117" i="115"/>
  <c r="I52" i="137" s="1"/>
  <c r="B121" i="115"/>
  <c r="I56" i="137" s="1"/>
  <c r="C125" i="115"/>
  <c r="G124" i="115"/>
  <c r="N59" i="137" s="1"/>
  <c r="G115" i="115"/>
  <c r="N50" i="137" s="1"/>
  <c r="B112" i="115"/>
  <c r="I47" i="137" s="1"/>
  <c r="B107" i="115"/>
  <c r="I42" i="137" s="1"/>
  <c r="B103" i="115"/>
  <c r="I38" i="137" s="1"/>
  <c r="B102" i="115"/>
  <c r="I37" i="137" s="1"/>
  <c r="H110" i="115"/>
  <c r="O45" i="137" s="1"/>
  <c r="G118" i="115"/>
  <c r="N53" i="137" s="1"/>
  <c r="B125" i="115"/>
  <c r="I60" i="137" s="1"/>
  <c r="G112" i="115"/>
  <c r="N47" i="137" s="1"/>
  <c r="G107" i="115"/>
  <c r="N42" i="137" s="1"/>
  <c r="H104" i="115"/>
  <c r="O39" i="137" s="1"/>
  <c r="C105" i="115"/>
  <c r="J40" i="137" s="1"/>
  <c r="G117" i="115"/>
  <c r="N52" i="137" s="1"/>
  <c r="G119" i="115"/>
  <c r="N54" i="137" s="1"/>
  <c r="G121" i="115"/>
  <c r="N56" i="137" s="1"/>
  <c r="G123" i="115"/>
  <c r="N58" i="137" s="1"/>
  <c r="C113" i="115"/>
  <c r="J48" i="137" s="1"/>
  <c r="C108" i="115"/>
  <c r="J43" i="137" s="1"/>
  <c r="H125" i="115"/>
  <c r="O60" i="137" s="1"/>
  <c r="G110" i="115"/>
  <c r="N45" i="137" s="1"/>
  <c r="B118" i="115"/>
  <c r="I53" i="137" s="1"/>
  <c r="B122" i="115"/>
  <c r="I57" i="137" s="1"/>
  <c r="G125" i="115"/>
  <c r="N60" i="137" s="1"/>
  <c r="B115" i="115"/>
  <c r="I50" i="137" s="1"/>
  <c r="B114" i="115"/>
  <c r="I49" i="137" s="1"/>
  <c r="B111" i="115"/>
  <c r="I46" i="137" s="1"/>
  <c r="B109" i="115"/>
  <c r="I44" i="137" s="1"/>
  <c r="B106" i="115"/>
  <c r="I41" i="137" s="1"/>
  <c r="C103" i="115"/>
  <c r="J38" i="137" s="1"/>
  <c r="C102" i="115"/>
  <c r="J37" i="137" s="1"/>
  <c r="H117" i="115"/>
  <c r="O52" i="137" s="1"/>
  <c r="H113" i="115"/>
  <c r="O48" i="137" s="1"/>
  <c r="C104" i="115"/>
  <c r="J39" i="137" s="1"/>
  <c r="G116" i="115"/>
  <c r="N51" i="137" s="1"/>
  <c r="G122" i="115"/>
  <c r="N57" i="137" s="1"/>
  <c r="B116" i="115"/>
  <c r="I51" i="137" s="1"/>
  <c r="C124" i="115"/>
  <c r="G114" i="115"/>
  <c r="N49" i="137" s="1"/>
  <c r="G109" i="115"/>
  <c r="N44" i="137" s="1"/>
  <c r="G105" i="115"/>
  <c r="N40" i="137" s="1"/>
  <c r="C116" i="115"/>
  <c r="J51" i="137" s="1"/>
  <c r="C118" i="115"/>
  <c r="J53" i="137" s="1"/>
  <c r="C120" i="115"/>
  <c r="J55" i="137" s="1"/>
  <c r="C122" i="115"/>
  <c r="J57" i="137" s="1"/>
  <c r="H105" i="115"/>
  <c r="O40" i="137" s="1"/>
  <c r="G113" i="115"/>
  <c r="N48" i="137" s="1"/>
  <c r="G108" i="115"/>
  <c r="N43" i="137" s="1"/>
  <c r="B104" i="115"/>
  <c r="I39" i="137" s="1"/>
  <c r="B119" i="115"/>
  <c r="I54" i="137" s="1"/>
  <c r="B123" i="115"/>
  <c r="I58" i="137" s="1"/>
  <c r="B124" i="115"/>
  <c r="I59" i="137" s="1"/>
  <c r="C114" i="115"/>
  <c r="J49" i="137" s="1"/>
  <c r="C112" i="115"/>
  <c r="J47" i="137" s="1"/>
  <c r="C111" i="115"/>
  <c r="J46" i="137" s="1"/>
  <c r="C109" i="115"/>
  <c r="J44" i="137" s="1"/>
  <c r="C107" i="115"/>
  <c r="J42" i="137" s="1"/>
  <c r="C106" i="115"/>
  <c r="J41" i="137" s="1"/>
  <c r="G103" i="115"/>
  <c r="N38" i="137" s="1"/>
  <c r="G102" i="115"/>
  <c r="N37" i="137" s="1"/>
  <c r="H103" i="115"/>
  <c r="O38" i="137" s="1"/>
  <c r="H116" i="115"/>
  <c r="O51" i="137" s="1"/>
  <c r="G120" i="115"/>
  <c r="N55" i="137" s="1"/>
  <c r="B108" i="115"/>
  <c r="I43" i="137" s="1"/>
  <c r="B110" i="115"/>
  <c r="I45" i="137" s="1"/>
  <c r="B105" i="115"/>
  <c r="I40" i="137" s="1"/>
  <c r="B120" i="115"/>
  <c r="I55" i="137" s="1"/>
  <c r="C115" i="115"/>
  <c r="J50" i="137" s="1"/>
  <c r="G111" i="115"/>
  <c r="N46" i="137" s="1"/>
  <c r="G106" i="115"/>
  <c r="N41" i="137" s="1"/>
  <c r="H108" i="115"/>
  <c r="O43" i="137" s="1"/>
  <c r="H107" i="115"/>
  <c r="O42" i="137" s="1"/>
  <c r="H121" i="115"/>
  <c r="O56" i="137" s="1"/>
  <c r="H106" i="115"/>
  <c r="O41" i="137" s="1"/>
  <c r="H114" i="115"/>
  <c r="O49" i="137" s="1"/>
  <c r="H120" i="115"/>
  <c r="O55" i="137" s="1"/>
  <c r="H124" i="115"/>
  <c r="O59" i="137" s="1"/>
  <c r="H112" i="115"/>
  <c r="O47" i="137" s="1"/>
  <c r="H109" i="115"/>
  <c r="O44" i="137" s="1"/>
  <c r="H102" i="115"/>
  <c r="O37" i="137" s="1"/>
  <c r="H111" i="115"/>
  <c r="O46" i="137" s="1"/>
  <c r="H118" i="115"/>
  <c r="O53" i="137" s="1"/>
  <c r="H119" i="115"/>
  <c r="O54" i="137" s="1"/>
  <c r="H122" i="115"/>
  <c r="O57" i="137" s="1"/>
  <c r="H115" i="115"/>
  <c r="O50" i="137" s="1"/>
  <c r="H123" i="115"/>
  <c r="O58" i="137" s="1"/>
  <c r="L121" i="115"/>
  <c r="L115" i="115"/>
  <c r="L117" i="115"/>
  <c r="L116" i="115"/>
  <c r="L113" i="115"/>
  <c r="L118" i="115"/>
  <c r="D102" i="115" s="1"/>
  <c r="L123" i="115"/>
  <c r="L124" i="115"/>
  <c r="J56" i="137"/>
  <c r="N39" i="137"/>
  <c r="L114" i="115"/>
  <c r="L122" i="115"/>
  <c r="L111" i="115"/>
  <c r="L119" i="115"/>
  <c r="L112" i="115"/>
  <c r="L120" i="115"/>
  <c r="L125" i="115"/>
  <c r="D125" i="115" s="1"/>
  <c r="J36" i="137"/>
  <c r="G113" i="127"/>
  <c r="L111" i="127"/>
  <c r="G111" i="127"/>
  <c r="L109" i="127"/>
  <c r="G109" i="127"/>
  <c r="L108" i="127"/>
  <c r="G108" i="127"/>
  <c r="L87" i="127"/>
  <c r="L86" i="127"/>
  <c r="G86" i="127"/>
  <c r="L29" i="127"/>
  <c r="L27" i="127"/>
  <c r="G27" i="127"/>
  <c r="L25" i="127"/>
  <c r="G25" i="127"/>
  <c r="G24" i="127"/>
  <c r="L24" i="127" s="1"/>
  <c r="J68" i="123"/>
  <c r="J69" i="123" s="1"/>
  <c r="J66" i="123"/>
  <c r="J67" i="123" s="1"/>
  <c r="N46" i="123"/>
  <c r="O46" i="123" s="1"/>
  <c r="L46" i="123"/>
  <c r="M46" i="123" s="1"/>
  <c r="J46" i="123"/>
  <c r="K46" i="123" s="1"/>
  <c r="H46" i="123"/>
  <c r="I46" i="123" s="1"/>
  <c r="F46" i="123"/>
  <c r="G46" i="123" s="1"/>
  <c r="D46" i="123"/>
  <c r="E46" i="123" s="1"/>
  <c r="N25" i="123"/>
  <c r="O25" i="123" s="1"/>
  <c r="L25" i="123"/>
  <c r="M25" i="123" s="1"/>
  <c r="J25" i="123"/>
  <c r="K25" i="123" s="1"/>
  <c r="H25" i="123"/>
  <c r="I25" i="123" s="1"/>
  <c r="F25" i="123"/>
  <c r="G25" i="123" s="1"/>
  <c r="D25" i="123"/>
  <c r="E25" i="123" s="1"/>
  <c r="K143" i="124"/>
  <c r="F143" i="124"/>
  <c r="K142" i="124"/>
  <c r="F142" i="124"/>
  <c r="K141" i="124"/>
  <c r="F141" i="124"/>
  <c r="K140" i="124"/>
  <c r="F140" i="124"/>
  <c r="F136" i="124"/>
  <c r="F135" i="124"/>
  <c r="K134" i="124"/>
  <c r="F134" i="124"/>
  <c r="K133" i="124"/>
  <c r="F133" i="124"/>
  <c r="K132" i="124"/>
  <c r="F132" i="124"/>
  <c r="K131" i="124"/>
  <c r="F131" i="124"/>
  <c r="K130" i="124"/>
  <c r="F130" i="124"/>
  <c r="K129" i="124"/>
  <c r="F129" i="124"/>
  <c r="K128" i="124"/>
  <c r="F128" i="124"/>
  <c r="K127" i="124"/>
  <c r="F127" i="124"/>
  <c r="K126" i="124"/>
  <c r="F126" i="124"/>
  <c r="K125" i="124"/>
  <c r="F125" i="124"/>
  <c r="K124" i="124"/>
  <c r="F124" i="124"/>
  <c r="K123" i="124"/>
  <c r="F123" i="124"/>
  <c r="K88" i="124"/>
  <c r="F88" i="124"/>
  <c r="K87" i="124"/>
  <c r="F87" i="124"/>
  <c r="K86" i="124"/>
  <c r="F86" i="124"/>
  <c r="K85" i="124"/>
  <c r="F85" i="124"/>
  <c r="K84" i="124"/>
  <c r="F84" i="124"/>
  <c r="K83" i="124"/>
  <c r="F83" i="124"/>
  <c r="K82" i="124"/>
  <c r="F82" i="124"/>
  <c r="K81" i="124"/>
  <c r="F81" i="124"/>
  <c r="K80" i="124"/>
  <c r="F80" i="124"/>
  <c r="K79" i="124"/>
  <c r="F79" i="124"/>
  <c r="K78" i="124"/>
  <c r="F78" i="124"/>
  <c r="K77" i="124"/>
  <c r="F77" i="124"/>
  <c r="K76" i="124"/>
  <c r="F76" i="124"/>
  <c r="K75" i="124"/>
  <c r="F75" i="124"/>
  <c r="K74" i="124"/>
  <c r="F74" i="124"/>
  <c r="K73" i="124"/>
  <c r="F73" i="124"/>
  <c r="K72" i="124"/>
  <c r="F72" i="124"/>
  <c r="K71" i="124"/>
  <c r="F71" i="124"/>
  <c r="K70" i="124"/>
  <c r="F70" i="124"/>
  <c r="K69" i="124"/>
  <c r="F69" i="124"/>
  <c r="K68" i="124"/>
  <c r="F68" i="124"/>
  <c r="K67" i="124"/>
  <c r="F67" i="124"/>
  <c r="K66" i="124"/>
  <c r="F66" i="124"/>
  <c r="K65" i="124"/>
  <c r="F65" i="124"/>
  <c r="K64" i="124"/>
  <c r="K63" i="124"/>
  <c r="F63" i="124"/>
  <c r="G69" i="121"/>
  <c r="G70" i="121" s="1"/>
  <c r="D124" i="115" l="1"/>
  <c r="K59" i="137" s="1"/>
  <c r="D114" i="115"/>
  <c r="K49" i="137" s="1"/>
  <c r="D121" i="115"/>
  <c r="K56" i="137" s="1"/>
  <c r="D109" i="115"/>
  <c r="K44" i="137" s="1"/>
  <c r="D111" i="115"/>
  <c r="K46" i="137" s="1"/>
  <c r="D123" i="115"/>
  <c r="K58" i="137" s="1"/>
  <c r="D110" i="115"/>
  <c r="K45" i="137" s="1"/>
  <c r="D108" i="115"/>
  <c r="K43" i="137" s="1"/>
  <c r="D112" i="115"/>
  <c r="K47" i="137" s="1"/>
  <c r="D105" i="115"/>
  <c r="K40" i="137" s="1"/>
  <c r="D104" i="115"/>
  <c r="K39" i="137" s="1"/>
  <c r="D113" i="115"/>
  <c r="K48" i="137" s="1"/>
  <c r="D103" i="115"/>
  <c r="K38" i="137" s="1"/>
  <c r="D116" i="115"/>
  <c r="K51" i="137" s="1"/>
  <c r="D120" i="115"/>
  <c r="K55" i="137" s="1"/>
  <c r="D122" i="115"/>
  <c r="K57" i="137" s="1"/>
  <c r="D107" i="115"/>
  <c r="K42" i="137" s="1"/>
  <c r="D119" i="115"/>
  <c r="K54" i="137" s="1"/>
  <c r="D115" i="115"/>
  <c r="K50" i="137" s="1"/>
  <c r="D118" i="115"/>
  <c r="K53" i="137" s="1"/>
  <c r="D106" i="115"/>
  <c r="K41" i="137" s="1"/>
  <c r="D117" i="115"/>
  <c r="K52" i="137" s="1"/>
  <c r="K60" i="137"/>
  <c r="K37" i="137"/>
  <c r="J59" i="137"/>
  <c r="J60" i="137"/>
  <c r="L88" i="127"/>
  <c r="L110" i="127"/>
  <c r="G110" i="127"/>
  <c r="G26" i="127"/>
  <c r="G112" i="127"/>
  <c r="L26" i="127"/>
  <c r="L112" i="127"/>
  <c r="G114" i="127"/>
  <c r="L30" i="127"/>
  <c r="L28" i="127"/>
  <c r="G28" i="127"/>
  <c r="A72" i="135"/>
  <c r="M71" i="135"/>
  <c r="N71" i="135"/>
  <c r="O71" i="135"/>
  <c r="P71" i="135"/>
  <c r="Q71" i="135"/>
  <c r="R71" i="135"/>
  <c r="S71" i="135"/>
  <c r="T71" i="135"/>
  <c r="U71" i="135"/>
  <c r="V71" i="135"/>
  <c r="W71" i="135"/>
  <c r="X71" i="135"/>
  <c r="Y71" i="135"/>
  <c r="Z71" i="135"/>
  <c r="E25" i="127" s="1"/>
  <c r="AA71" i="135"/>
  <c r="J25" i="127" s="1"/>
  <c r="AB71" i="135"/>
  <c r="E27" i="127" s="1"/>
  <c r="AC71" i="135"/>
  <c r="J27" i="127" s="1"/>
  <c r="AD71" i="135"/>
  <c r="J29" i="127" s="1"/>
  <c r="AE71" i="135"/>
  <c r="E91" i="121" s="1"/>
  <c r="AF71" i="135"/>
  <c r="AG71" i="135"/>
  <c r="E93" i="121" s="1"/>
  <c r="AH71" i="135"/>
  <c r="AI71" i="135"/>
  <c r="E95" i="121" s="1"/>
  <c r="AJ71" i="135"/>
  <c r="J95" i="121" s="1"/>
  <c r="AK71" i="135"/>
  <c r="E97" i="121" s="1"/>
  <c r="AL71" i="135"/>
  <c r="J97" i="121" s="1"/>
  <c r="AM71" i="135"/>
  <c r="AN71" i="135"/>
  <c r="AO71" i="135"/>
  <c r="AP71" i="135"/>
  <c r="AQ71" i="135"/>
  <c r="AR71" i="135"/>
  <c r="AS71" i="135"/>
  <c r="AT71" i="135"/>
  <c r="AU71" i="135"/>
  <c r="AV71" i="135"/>
  <c r="AW71" i="135"/>
  <c r="AX71" i="135"/>
  <c r="AY71" i="135"/>
  <c r="AZ71" i="135"/>
  <c r="BA71" i="135"/>
  <c r="BB71" i="135"/>
  <c r="BC71" i="135"/>
  <c r="K17" i="115" s="1"/>
  <c r="BD71" i="135"/>
  <c r="K18" i="115" s="1"/>
  <c r="BE71" i="135"/>
  <c r="BF71" i="135"/>
  <c r="BG71" i="135"/>
  <c r="BH71" i="135"/>
  <c r="K26" i="115" s="1"/>
  <c r="BI71" i="135"/>
  <c r="K27" i="115" s="1"/>
  <c r="BJ71" i="135"/>
  <c r="K28" i="115" s="1"/>
  <c r="BK71" i="135"/>
  <c r="K29" i="115" s="1"/>
  <c r="BL71" i="135"/>
  <c r="K30" i="115" s="1"/>
  <c r="BM71" i="135"/>
  <c r="K31" i="115" s="1"/>
  <c r="BN71" i="135"/>
  <c r="K32" i="115" s="1"/>
  <c r="BO71" i="135"/>
  <c r="K33" i="115" s="1"/>
  <c r="BP71" i="135"/>
  <c r="K34" i="115" s="1"/>
  <c r="BQ71" i="135"/>
  <c r="K35" i="115" s="1"/>
  <c r="BR71" i="135"/>
  <c r="K36" i="115" s="1"/>
  <c r="BS71" i="135"/>
  <c r="K37" i="115" s="1"/>
  <c r="BT71" i="135"/>
  <c r="K38" i="115" s="1"/>
  <c r="BU71" i="135"/>
  <c r="K39" i="115" s="1"/>
  <c r="BV71" i="135"/>
  <c r="K40" i="115" s="1"/>
  <c r="BW71" i="135"/>
  <c r="K41" i="115" s="1"/>
  <c r="BX71" i="135"/>
  <c r="K42" i="115" s="1"/>
  <c r="BY71" i="135"/>
  <c r="K43" i="115" s="1"/>
  <c r="BZ71" i="135"/>
  <c r="K44" i="115" s="1"/>
  <c r="CA71" i="135"/>
  <c r="K45" i="115" s="1"/>
  <c r="CB71" i="135"/>
  <c r="K46" i="115" s="1"/>
  <c r="CC71" i="135"/>
  <c r="K47" i="115" s="1"/>
  <c r="CD71" i="135"/>
  <c r="K48" i="115" s="1"/>
  <c r="CE71" i="135"/>
  <c r="K49" i="115" s="1"/>
  <c r="CF71" i="135"/>
  <c r="K50" i="115" s="1"/>
  <c r="CG71" i="135"/>
  <c r="K51" i="115" s="1"/>
  <c r="CH71" i="135"/>
  <c r="K52" i="115" s="1"/>
  <c r="CI71" i="135"/>
  <c r="K53" i="115" s="1"/>
  <c r="CJ71" i="135"/>
  <c r="K54" i="115" s="1"/>
  <c r="CK71" i="135"/>
  <c r="K55" i="115" s="1"/>
  <c r="CO71" i="135"/>
  <c r="K64" i="115" s="1"/>
  <c r="CP71" i="135"/>
  <c r="K65" i="115" s="1"/>
  <c r="CQ71" i="135"/>
  <c r="K66" i="115" s="1"/>
  <c r="CR71" i="135"/>
  <c r="K67" i="115" s="1"/>
  <c r="CS71" i="135"/>
  <c r="K68" i="115" s="1"/>
  <c r="CT71" i="135"/>
  <c r="K69" i="115" s="1"/>
  <c r="CU71" i="135"/>
  <c r="K70" i="115" s="1"/>
  <c r="CV71" i="135"/>
  <c r="K71" i="115" s="1"/>
  <c r="CW71" i="135"/>
  <c r="K72" i="115" s="1"/>
  <c r="CX71" i="135"/>
  <c r="K73" i="115" s="1"/>
  <c r="CY71" i="135"/>
  <c r="K74" i="115" s="1"/>
  <c r="CZ71" i="135"/>
  <c r="K75" i="115" s="1"/>
  <c r="DA71" i="135"/>
  <c r="K76" i="115" s="1"/>
  <c r="DB71" i="135"/>
  <c r="K77" i="115" s="1"/>
  <c r="DC71" i="135"/>
  <c r="K78" i="115" s="1"/>
  <c r="DD71" i="135"/>
  <c r="K79" i="115" s="1"/>
  <c r="DE71" i="135"/>
  <c r="K80" i="115" s="1"/>
  <c r="DF71" i="135"/>
  <c r="K81" i="115" s="1"/>
  <c r="DG71" i="135"/>
  <c r="K82" i="115" s="1"/>
  <c r="DH71" i="135"/>
  <c r="K83" i="115" s="1"/>
  <c r="DI71" i="135"/>
  <c r="K84" i="115" s="1"/>
  <c r="DJ71" i="135"/>
  <c r="K85" i="115" s="1"/>
  <c r="DK71" i="135"/>
  <c r="K86" i="115" s="1"/>
  <c r="DL71" i="135"/>
  <c r="K87" i="115" s="1"/>
  <c r="DM71" i="135"/>
  <c r="K88" i="115" s="1"/>
  <c r="DN71" i="135"/>
  <c r="K89" i="115" s="1"/>
  <c r="DO71" i="135"/>
  <c r="K90" i="115" s="1"/>
  <c r="DP71" i="135"/>
  <c r="K91" i="115" s="1"/>
  <c r="DQ71" i="135"/>
  <c r="K92" i="115" s="1"/>
  <c r="DR71" i="135"/>
  <c r="K93" i="115" s="1"/>
  <c r="DV71" i="135"/>
  <c r="DW71" i="135"/>
  <c r="D44" i="123" s="1"/>
  <c r="DX71" i="135"/>
  <c r="DY71" i="135"/>
  <c r="F44" i="123" s="1"/>
  <c r="DZ71" i="135"/>
  <c r="EA71" i="135"/>
  <c r="H44" i="123" s="1"/>
  <c r="EB71" i="135"/>
  <c r="EC71" i="135"/>
  <c r="J44" i="123" s="1"/>
  <c r="ED71" i="135"/>
  <c r="EE71" i="135"/>
  <c r="L44" i="123" s="1"/>
  <c r="EF71" i="135"/>
  <c r="EG71" i="135"/>
  <c r="N44" i="123" s="1"/>
  <c r="EH71" i="135"/>
  <c r="EI71" i="135"/>
  <c r="EJ71" i="135"/>
  <c r="EK71" i="135"/>
  <c r="EL71" i="135"/>
  <c r="EM71" i="135"/>
  <c r="EN71" i="135"/>
  <c r="EO71" i="135"/>
  <c r="EP71" i="135"/>
  <c r="EQ71" i="135"/>
  <c r="ER71" i="135"/>
  <c r="ES71" i="135"/>
  <c r="ET71" i="135"/>
  <c r="EU71" i="135"/>
  <c r="D63" i="124" s="1"/>
  <c r="EV71" i="135"/>
  <c r="EW71" i="135"/>
  <c r="EX71" i="135"/>
  <c r="EY71" i="135"/>
  <c r="EZ71" i="135"/>
  <c r="FA71" i="135"/>
  <c r="FB71" i="135"/>
  <c r="FC71" i="135"/>
  <c r="FD71" i="135"/>
  <c r="FE71" i="135"/>
  <c r="FF71" i="135"/>
  <c r="FG71" i="135"/>
  <c r="FH71" i="135"/>
  <c r="FI71" i="135"/>
  <c r="FJ71" i="135"/>
  <c r="FK71" i="135"/>
  <c r="FL71" i="135"/>
  <c r="FM71" i="135"/>
  <c r="FN71" i="135"/>
  <c r="FO71" i="135"/>
  <c r="FP71" i="135"/>
  <c r="FQ71" i="135"/>
  <c r="FR71" i="135"/>
  <c r="FS71" i="135"/>
  <c r="FT71" i="135"/>
  <c r="FU71" i="135"/>
  <c r="FV71" i="135"/>
  <c r="I140" i="124" s="1"/>
  <c r="FW71" i="135"/>
  <c r="FX71" i="135"/>
  <c r="I141" i="124" s="1"/>
  <c r="FY71" i="135"/>
  <c r="FZ71" i="135"/>
  <c r="I142" i="124" s="1"/>
  <c r="GA71" i="135"/>
  <c r="GB71" i="135"/>
  <c r="I143" i="124" s="1"/>
  <c r="GC71" i="135"/>
  <c r="GD71" i="135"/>
  <c r="GE71" i="135"/>
  <c r="GF71" i="135"/>
  <c r="GG71" i="135"/>
  <c r="GH71" i="135"/>
  <c r="GI71" i="135"/>
  <c r="GJ71" i="135"/>
  <c r="GK71" i="135"/>
  <c r="GL71" i="135"/>
  <c r="GM71" i="135"/>
  <c r="GN71" i="135"/>
  <c r="GO71" i="135"/>
  <c r="GP71" i="135"/>
  <c r="GQ71" i="135"/>
  <c r="GR71" i="135"/>
  <c r="GS71" i="135"/>
  <c r="GT71" i="135"/>
  <c r="J87" i="127" s="1"/>
  <c r="GU71" i="135"/>
  <c r="E109" i="127" s="1"/>
  <c r="GV71" i="135"/>
  <c r="E111" i="127" s="1"/>
  <c r="GW71" i="135"/>
  <c r="E113" i="127" s="1"/>
  <c r="GX71" i="135"/>
  <c r="E108" i="127" s="1"/>
  <c r="GY71" i="135"/>
  <c r="J109" i="127" s="1"/>
  <c r="GZ71" i="135"/>
  <c r="J111" i="127" s="1"/>
  <c r="HA71" i="135"/>
  <c r="J108" i="127" s="1"/>
  <c r="NC71" i="135"/>
  <c r="ND71" i="135"/>
  <c r="NE71" i="135"/>
  <c r="NF71" i="135"/>
  <c r="NG71" i="135"/>
  <c r="NH71" i="135"/>
  <c r="NI71" i="135"/>
  <c r="NJ71" i="135"/>
  <c r="NK71" i="135"/>
  <c r="NL71" i="135"/>
  <c r="NM71" i="135"/>
  <c r="NN71" i="135"/>
  <c r="NO71" i="135"/>
  <c r="NP71" i="135"/>
  <c r="NQ71" i="135"/>
  <c r="NR71" i="135"/>
  <c r="NS71" i="135"/>
  <c r="NT71" i="135"/>
  <c r="NU71" i="135"/>
  <c r="NV71" i="135"/>
  <c r="NW71" i="135"/>
  <c r="NX71" i="135"/>
  <c r="L26" i="115" s="1"/>
  <c r="NY71" i="135"/>
  <c r="L27" i="115" s="1"/>
  <c r="NZ71" i="135"/>
  <c r="L28" i="115" s="1"/>
  <c r="OA71" i="135"/>
  <c r="L29" i="115" s="1"/>
  <c r="OB71" i="135"/>
  <c r="L30" i="115" s="1"/>
  <c r="OC71" i="135"/>
  <c r="L31" i="115" s="1"/>
  <c r="OD71" i="135"/>
  <c r="L32" i="115" s="1"/>
  <c r="OE71" i="135"/>
  <c r="L33" i="115" s="1"/>
  <c r="OF71" i="135"/>
  <c r="N9" i="115" s="1"/>
  <c r="OG71" i="135"/>
  <c r="L35" i="115" s="1"/>
  <c r="OH71" i="135"/>
  <c r="L36" i="115" s="1"/>
  <c r="OI71" i="135"/>
  <c r="L37" i="115" s="1"/>
  <c r="OJ71" i="135"/>
  <c r="L38" i="115" s="1"/>
  <c r="OK71" i="135"/>
  <c r="L39" i="115" s="1"/>
  <c r="OL71" i="135"/>
  <c r="L40" i="115" s="1"/>
  <c r="OM71" i="135"/>
  <c r="L41" i="115" s="1"/>
  <c r="ON71" i="135"/>
  <c r="L42" i="115" s="1"/>
  <c r="OO71" i="135"/>
  <c r="L43" i="115" s="1"/>
  <c r="OP71" i="135"/>
  <c r="L44" i="115" s="1"/>
  <c r="OQ71" i="135"/>
  <c r="L45" i="115" s="1"/>
  <c r="OR71" i="135"/>
  <c r="L46" i="115" s="1"/>
  <c r="OS71" i="135"/>
  <c r="L47" i="115" s="1"/>
  <c r="OT71" i="135"/>
  <c r="L48" i="115" s="1"/>
  <c r="OU71" i="135"/>
  <c r="L49" i="115" s="1"/>
  <c r="OV71" i="135"/>
  <c r="L50" i="115" s="1"/>
  <c r="OW71" i="135"/>
  <c r="L51" i="115" s="1"/>
  <c r="OX71" i="135"/>
  <c r="L52" i="115" s="1"/>
  <c r="OY71" i="135"/>
  <c r="L53" i="115" s="1"/>
  <c r="OZ71" i="135"/>
  <c r="L54" i="115" s="1"/>
  <c r="PA71" i="135"/>
  <c r="L55" i="115" s="1"/>
  <c r="PE71" i="135"/>
  <c r="L64" i="115" s="1"/>
  <c r="PF71" i="135"/>
  <c r="L65" i="115" s="1"/>
  <c r="PG71" i="135"/>
  <c r="L66" i="115" s="1"/>
  <c r="PH71" i="135"/>
  <c r="L67" i="115" s="1"/>
  <c r="PI71" i="135"/>
  <c r="L68" i="115" s="1"/>
  <c r="PJ71" i="135"/>
  <c r="L69" i="115" s="1"/>
  <c r="PK71" i="135"/>
  <c r="L70" i="115" s="1"/>
  <c r="PL71" i="135"/>
  <c r="L71" i="115" s="1"/>
  <c r="PM71" i="135"/>
  <c r="PN71" i="135"/>
  <c r="L73" i="115" s="1"/>
  <c r="PO71" i="135"/>
  <c r="L74" i="115" s="1"/>
  <c r="PP71" i="135"/>
  <c r="L75" i="115" s="1"/>
  <c r="PQ71" i="135"/>
  <c r="L76" i="115" s="1"/>
  <c r="PR71" i="135"/>
  <c r="L77" i="115" s="1"/>
  <c r="PS71" i="135"/>
  <c r="L78" i="115" s="1"/>
  <c r="PT71" i="135"/>
  <c r="L79" i="115" s="1"/>
  <c r="PU71" i="135"/>
  <c r="L80" i="115" s="1"/>
  <c r="PV71" i="135"/>
  <c r="L81" i="115" s="1"/>
  <c r="PW71" i="135"/>
  <c r="L82" i="115" s="1"/>
  <c r="PX71" i="135"/>
  <c r="L83" i="115" s="1"/>
  <c r="PY71" i="135"/>
  <c r="L84" i="115" s="1"/>
  <c r="PZ71" i="135"/>
  <c r="L85" i="115" s="1"/>
  <c r="QA71" i="135"/>
  <c r="L86" i="115" s="1"/>
  <c r="QB71" i="135"/>
  <c r="L87" i="115" s="1"/>
  <c r="QC71" i="135"/>
  <c r="L88" i="115" s="1"/>
  <c r="QD71" i="135"/>
  <c r="L89" i="115" s="1"/>
  <c r="QE71" i="135"/>
  <c r="L90" i="115" s="1"/>
  <c r="QF71" i="135"/>
  <c r="L91" i="115" s="1"/>
  <c r="QG71" i="135"/>
  <c r="L92" i="115" s="1"/>
  <c r="QH71" i="135"/>
  <c r="L93" i="115" s="1"/>
  <c r="F71" i="135"/>
  <c r="G71" i="135"/>
  <c r="H71" i="135"/>
  <c r="I71" i="135"/>
  <c r="J71" i="135"/>
  <c r="K71" i="135"/>
  <c r="L71" i="135"/>
  <c r="E71" i="135"/>
  <c r="D71" i="135"/>
  <c r="E25" i="137" s="1"/>
  <c r="C71" i="135"/>
  <c r="E86" i="127" s="1"/>
  <c r="B71" i="135"/>
  <c r="B72" i="135"/>
  <c r="A71" i="135"/>
  <c r="F90" i="121" l="1"/>
  <c r="K90" i="121" s="1"/>
  <c r="IC72" i="135"/>
  <c r="IS72" i="135"/>
  <c r="P157" i="115" s="1"/>
  <c r="IG72" i="135"/>
  <c r="IK72" i="135"/>
  <c r="IO72" i="135"/>
  <c r="E90" i="121"/>
  <c r="J98" i="121" s="1"/>
  <c r="G225" i="125"/>
  <c r="G32" i="125"/>
  <c r="G128" i="125"/>
  <c r="G79" i="125"/>
  <c r="G176" i="125"/>
  <c r="G321" i="125"/>
  <c r="G273" i="125"/>
  <c r="E98" i="121"/>
  <c r="E94" i="121"/>
  <c r="J91" i="121"/>
  <c r="J92" i="121"/>
  <c r="J96" i="121"/>
  <c r="E96" i="121"/>
  <c r="E92" i="121"/>
  <c r="J93" i="121"/>
  <c r="J94" i="121"/>
  <c r="E321" i="125"/>
  <c r="E79" i="125"/>
  <c r="E176" i="125"/>
  <c r="E273" i="125"/>
  <c r="E225" i="125"/>
  <c r="E32" i="125"/>
  <c r="E255" i="115"/>
  <c r="E282" i="115"/>
  <c r="E128" i="125"/>
  <c r="E229" i="115"/>
  <c r="E155" i="115"/>
  <c r="E204" i="115"/>
  <c r="E179" i="115"/>
  <c r="AA146" i="115"/>
  <c r="L20" i="115"/>
  <c r="AA138" i="115"/>
  <c r="L12" i="115"/>
  <c r="Z146" i="115"/>
  <c r="K20" i="115"/>
  <c r="S126" i="115"/>
  <c r="W147" i="115"/>
  <c r="Z142" i="115"/>
  <c r="O126" i="115"/>
  <c r="K16" i="115"/>
  <c r="W143" i="115"/>
  <c r="Z138" i="115"/>
  <c r="K12" i="115"/>
  <c r="K126" i="115"/>
  <c r="W139" i="115"/>
  <c r="Z134" i="115"/>
  <c r="G126" i="115"/>
  <c r="K8" i="115"/>
  <c r="W135" i="115"/>
  <c r="Z130" i="115"/>
  <c r="C126" i="115"/>
  <c r="K4" i="115"/>
  <c r="W131" i="115"/>
  <c r="L8" i="115"/>
  <c r="AA134" i="115"/>
  <c r="T126" i="115"/>
  <c r="W148" i="115"/>
  <c r="K21" i="115"/>
  <c r="Z147" i="115"/>
  <c r="L126" i="115"/>
  <c r="W140" i="115"/>
  <c r="K13" i="115"/>
  <c r="Z139" i="115"/>
  <c r="K5" i="115"/>
  <c r="D126" i="115"/>
  <c r="W132" i="115"/>
  <c r="Z131" i="115"/>
  <c r="L19" i="115"/>
  <c r="AA145" i="115"/>
  <c r="L11" i="115"/>
  <c r="AA137" i="115"/>
  <c r="L3" i="115"/>
  <c r="AA128" i="115"/>
  <c r="AA144" i="115"/>
  <c r="L18" i="115"/>
  <c r="AA140" i="115"/>
  <c r="L14" i="115"/>
  <c r="AA136" i="115"/>
  <c r="L10" i="115"/>
  <c r="AA132" i="115"/>
  <c r="L6" i="115"/>
  <c r="Z145" i="115"/>
  <c r="K19" i="115"/>
  <c r="E146" i="115" s="1"/>
  <c r="R126" i="115"/>
  <c r="W146" i="115"/>
  <c r="Z141" i="115"/>
  <c r="K15" i="115"/>
  <c r="W142" i="115"/>
  <c r="N126" i="115"/>
  <c r="Z137" i="115"/>
  <c r="K11" i="115"/>
  <c r="J126" i="115"/>
  <c r="W138" i="115"/>
  <c r="K7" i="115"/>
  <c r="W134" i="115"/>
  <c r="F126" i="115"/>
  <c r="Z133" i="115"/>
  <c r="K3" i="115"/>
  <c r="B126" i="115"/>
  <c r="W130" i="115"/>
  <c r="Z128" i="115"/>
  <c r="AA142" i="115"/>
  <c r="L16" i="115"/>
  <c r="L4" i="115"/>
  <c r="AA130" i="115"/>
  <c r="P126" i="115"/>
  <c r="W144" i="115"/>
  <c r="Z143" i="115"/>
  <c r="K9" i="115"/>
  <c r="H126" i="115"/>
  <c r="W136" i="115"/>
  <c r="Z135" i="115"/>
  <c r="L15" i="115"/>
  <c r="AA141" i="115"/>
  <c r="L7" i="115"/>
  <c r="AA133" i="115"/>
  <c r="E128" i="115"/>
  <c r="L21" i="115"/>
  <c r="AA147" i="115"/>
  <c r="AA143" i="115"/>
  <c r="L17" i="115"/>
  <c r="AA139" i="115"/>
  <c r="L13" i="115"/>
  <c r="AA135" i="115"/>
  <c r="L9" i="115"/>
  <c r="AA131" i="115"/>
  <c r="L5" i="115"/>
  <c r="W145" i="115"/>
  <c r="Z144" i="115"/>
  <c r="Q126" i="115"/>
  <c r="W141" i="115"/>
  <c r="Z140" i="115"/>
  <c r="K14" i="115"/>
  <c r="M126" i="115"/>
  <c r="W137" i="115"/>
  <c r="K10" i="115"/>
  <c r="Z136" i="115"/>
  <c r="I126" i="115"/>
  <c r="W133" i="115"/>
  <c r="Z132" i="115"/>
  <c r="E126" i="115"/>
  <c r="K6" i="115"/>
  <c r="I92" i="115"/>
  <c r="I52" i="115"/>
  <c r="I88" i="115"/>
  <c r="I84" i="115"/>
  <c r="I80" i="115"/>
  <c r="I76" i="115"/>
  <c r="I86" i="115"/>
  <c r="I72" i="115"/>
  <c r="I68" i="115"/>
  <c r="I96" i="115"/>
  <c r="I64" i="115"/>
  <c r="I94" i="115"/>
  <c r="I95" i="115"/>
  <c r="I48" i="115"/>
  <c r="I44" i="115"/>
  <c r="I40" i="115"/>
  <c r="I36" i="115"/>
  <c r="I32" i="115"/>
  <c r="I57" i="115"/>
  <c r="I28" i="115"/>
  <c r="I91" i="115"/>
  <c r="I87" i="115"/>
  <c r="I83" i="115"/>
  <c r="I79" i="115"/>
  <c r="I75" i="115"/>
  <c r="I71" i="115"/>
  <c r="I67" i="115"/>
  <c r="I55" i="115"/>
  <c r="I51" i="115"/>
  <c r="I47" i="115"/>
  <c r="I43" i="115"/>
  <c r="I39" i="115"/>
  <c r="I35" i="115"/>
  <c r="I31" i="115"/>
  <c r="I27" i="115"/>
  <c r="I90" i="115"/>
  <c r="I82" i="115"/>
  <c r="I78" i="115"/>
  <c r="I74" i="115"/>
  <c r="I70" i="115"/>
  <c r="I66" i="115"/>
  <c r="I50" i="115"/>
  <c r="I46" i="115"/>
  <c r="I42" i="115"/>
  <c r="I38" i="115"/>
  <c r="I34" i="115"/>
  <c r="I54" i="115"/>
  <c r="I30" i="115"/>
  <c r="I58" i="115"/>
  <c r="I26" i="115"/>
  <c r="I56" i="115"/>
  <c r="P282" i="115"/>
  <c r="E100" i="115"/>
  <c r="M100" i="115"/>
  <c r="M63" i="115"/>
  <c r="E25" i="115"/>
  <c r="M2" i="115"/>
  <c r="P255" i="115"/>
  <c r="E2" i="115"/>
  <c r="P204" i="115"/>
  <c r="E63" i="115"/>
  <c r="M25" i="115"/>
  <c r="P229" i="115"/>
  <c r="I93" i="115"/>
  <c r="I89" i="115"/>
  <c r="I85" i="115"/>
  <c r="I81" i="115"/>
  <c r="I77" i="115"/>
  <c r="I73" i="115"/>
  <c r="I69" i="115"/>
  <c r="I65" i="115"/>
  <c r="I53" i="115"/>
  <c r="I49" i="115"/>
  <c r="I45" i="115"/>
  <c r="I41" i="115"/>
  <c r="I37" i="115"/>
  <c r="I33" i="115"/>
  <c r="I29" i="115"/>
  <c r="P179" i="115"/>
  <c r="P155" i="115"/>
  <c r="P128" i="115"/>
  <c r="IW72" i="135"/>
  <c r="P161" i="115" s="1"/>
  <c r="JA72" i="135"/>
  <c r="P165" i="115" s="1"/>
  <c r="JE72" i="135"/>
  <c r="P169" i="115" s="1"/>
  <c r="JI72" i="135"/>
  <c r="P173" i="115" s="1"/>
  <c r="JM72" i="135"/>
  <c r="JQ72" i="135"/>
  <c r="JU72" i="135"/>
  <c r="JY72" i="135"/>
  <c r="KC72" i="135"/>
  <c r="KG72" i="135"/>
  <c r="P208" i="115" s="1"/>
  <c r="KK72" i="135"/>
  <c r="P212" i="115" s="1"/>
  <c r="KO72" i="135"/>
  <c r="P216" i="115" s="1"/>
  <c r="KS72" i="135"/>
  <c r="P220" i="115" s="1"/>
  <c r="KW72" i="135"/>
  <c r="P224" i="115" s="1"/>
  <c r="LA72" i="135"/>
  <c r="P234" i="115" s="1"/>
  <c r="LE72" i="135"/>
  <c r="P238" i="115" s="1"/>
  <c r="LI72" i="135"/>
  <c r="P242" i="115" s="1"/>
  <c r="LM72" i="135"/>
  <c r="P246" i="115" s="1"/>
  <c r="LQ72" i="135"/>
  <c r="P257" i="115" s="1"/>
  <c r="LU72" i="135"/>
  <c r="P261" i="115" s="1"/>
  <c r="LY72" i="135"/>
  <c r="P265" i="115" s="1"/>
  <c r="MC72" i="135"/>
  <c r="P269" i="115" s="1"/>
  <c r="MG72" i="135"/>
  <c r="P273" i="115" s="1"/>
  <c r="MK72" i="135"/>
  <c r="P285" i="115" s="1"/>
  <c r="MO72" i="135"/>
  <c r="P289" i="115" s="1"/>
  <c r="MS72" i="135"/>
  <c r="P293" i="115" s="1"/>
  <c r="MW72" i="135"/>
  <c r="P297" i="115" s="1"/>
  <c r="NA72" i="135"/>
  <c r="P301" i="115" s="1"/>
  <c r="ID72" i="135"/>
  <c r="IH72" i="135"/>
  <c r="IL72" i="135"/>
  <c r="IP72" i="135"/>
  <c r="IT72" i="135"/>
  <c r="P158" i="115" s="1"/>
  <c r="IX72" i="135"/>
  <c r="P162" i="115" s="1"/>
  <c r="JB72" i="135"/>
  <c r="P166" i="115" s="1"/>
  <c r="JF72" i="135"/>
  <c r="P170" i="115" s="1"/>
  <c r="JJ72" i="135"/>
  <c r="P174" i="115" s="1"/>
  <c r="JN72" i="135"/>
  <c r="JR72" i="135"/>
  <c r="JV72" i="135"/>
  <c r="JZ72" i="135"/>
  <c r="KD72" i="135"/>
  <c r="KH72" i="135"/>
  <c r="P209" i="115" s="1"/>
  <c r="KL72" i="135"/>
  <c r="P213" i="115" s="1"/>
  <c r="KP72" i="135"/>
  <c r="P217" i="115" s="1"/>
  <c r="KT72" i="135"/>
  <c r="P221" i="115" s="1"/>
  <c r="KX72" i="135"/>
  <c r="P231" i="115" s="1"/>
  <c r="LB72" i="135"/>
  <c r="P235" i="115" s="1"/>
  <c r="LF72" i="135"/>
  <c r="P239" i="115" s="1"/>
  <c r="LJ72" i="135"/>
  <c r="P243" i="115" s="1"/>
  <c r="LN72" i="135"/>
  <c r="P247" i="115" s="1"/>
  <c r="LR72" i="135"/>
  <c r="P258" i="115" s="1"/>
  <c r="LV72" i="135"/>
  <c r="P262" i="115" s="1"/>
  <c r="LZ72" i="135"/>
  <c r="P266" i="115" s="1"/>
  <c r="MD72" i="135"/>
  <c r="P270" i="115" s="1"/>
  <c r="MH72" i="135"/>
  <c r="P274" i="115" s="1"/>
  <c r="ML72" i="135"/>
  <c r="P286" i="115" s="1"/>
  <c r="MP72" i="135"/>
  <c r="P290" i="115" s="1"/>
  <c r="MT72" i="135"/>
  <c r="P294" i="115" s="1"/>
  <c r="MX72" i="135"/>
  <c r="P298" i="115" s="1"/>
  <c r="NB72" i="135"/>
  <c r="P302" i="115" s="1"/>
  <c r="IA72" i="135"/>
  <c r="IE72" i="135"/>
  <c r="II72" i="135"/>
  <c r="IM72" i="135"/>
  <c r="IQ72" i="135"/>
  <c r="IU72" i="135"/>
  <c r="P159" i="115" s="1"/>
  <c r="IY72" i="135"/>
  <c r="P163" i="115" s="1"/>
  <c r="JC72" i="135"/>
  <c r="P167" i="115" s="1"/>
  <c r="JG72" i="135"/>
  <c r="P171" i="115" s="1"/>
  <c r="JK72" i="135"/>
  <c r="P175" i="115" s="1"/>
  <c r="JO72" i="135"/>
  <c r="JS72" i="135"/>
  <c r="JW72" i="135"/>
  <c r="KA72" i="135"/>
  <c r="KE72" i="135"/>
  <c r="P206" i="115" s="1"/>
  <c r="KI72" i="135"/>
  <c r="P210" i="115" s="1"/>
  <c r="KM72" i="135"/>
  <c r="P214" i="115" s="1"/>
  <c r="KQ72" i="135"/>
  <c r="P218" i="115" s="1"/>
  <c r="KU72" i="135"/>
  <c r="P222" i="115" s="1"/>
  <c r="KY72" i="135"/>
  <c r="P232" i="115" s="1"/>
  <c r="LC72" i="135"/>
  <c r="P236" i="115" s="1"/>
  <c r="LG72" i="135"/>
  <c r="P240" i="115" s="1"/>
  <c r="LK72" i="135"/>
  <c r="P244" i="115" s="1"/>
  <c r="LO72" i="135"/>
  <c r="P248" i="115" s="1"/>
  <c r="LS72" i="135"/>
  <c r="P259" i="115" s="1"/>
  <c r="LW72" i="135"/>
  <c r="P263" i="115" s="1"/>
  <c r="MA72" i="135"/>
  <c r="P267" i="115" s="1"/>
  <c r="ME72" i="135"/>
  <c r="P271" i="115" s="1"/>
  <c r="MI72" i="135"/>
  <c r="P275" i="115" s="1"/>
  <c r="MM72" i="135"/>
  <c r="P287" i="115" s="1"/>
  <c r="MQ72" i="135"/>
  <c r="P291" i="115" s="1"/>
  <c r="MU72" i="135"/>
  <c r="P295" i="115" s="1"/>
  <c r="MY72" i="135"/>
  <c r="P299" i="115" s="1"/>
  <c r="IB72" i="135"/>
  <c r="IF72" i="135"/>
  <c r="IJ72" i="135"/>
  <c r="IN72" i="135"/>
  <c r="IR72" i="135"/>
  <c r="IV72" i="135"/>
  <c r="P160" i="115" s="1"/>
  <c r="IZ72" i="135"/>
  <c r="P164" i="115" s="1"/>
  <c r="JD72" i="135"/>
  <c r="P168" i="115" s="1"/>
  <c r="JH72" i="135"/>
  <c r="P172" i="115" s="1"/>
  <c r="JL72" i="135"/>
  <c r="JP72" i="135"/>
  <c r="JT72" i="135"/>
  <c r="JX72" i="135"/>
  <c r="KB72" i="135"/>
  <c r="KF72" i="135"/>
  <c r="P207" i="115" s="1"/>
  <c r="KJ72" i="135"/>
  <c r="P211" i="115" s="1"/>
  <c r="KN72" i="135"/>
  <c r="P215" i="115" s="1"/>
  <c r="KR72" i="135"/>
  <c r="P219" i="115" s="1"/>
  <c r="KV72" i="135"/>
  <c r="P223" i="115" s="1"/>
  <c r="KZ72" i="135"/>
  <c r="P233" i="115" s="1"/>
  <c r="LD72" i="135"/>
  <c r="P237" i="115" s="1"/>
  <c r="LH72" i="135"/>
  <c r="P241" i="115" s="1"/>
  <c r="LL72" i="135"/>
  <c r="P245" i="115" s="1"/>
  <c r="LP72" i="135"/>
  <c r="P249" i="115" s="1"/>
  <c r="LT72" i="135"/>
  <c r="P260" i="115" s="1"/>
  <c r="LX72" i="135"/>
  <c r="P264" i="115" s="1"/>
  <c r="MB72" i="135"/>
  <c r="P268" i="115" s="1"/>
  <c r="MF72" i="135"/>
  <c r="P272" i="115" s="1"/>
  <c r="MJ72" i="135"/>
  <c r="P284" i="115" s="1"/>
  <c r="MN72" i="135"/>
  <c r="P288" i="115" s="1"/>
  <c r="MR72" i="135"/>
  <c r="P292" i="115" s="1"/>
  <c r="MV72" i="135"/>
  <c r="P296" i="115" s="1"/>
  <c r="MZ72" i="135"/>
  <c r="P300" i="115" s="1"/>
  <c r="HZ72" i="135"/>
  <c r="QN72" i="135"/>
  <c r="QR72" i="135"/>
  <c r="QV72" i="135"/>
  <c r="QZ72" i="135"/>
  <c r="RD72" i="135"/>
  <c r="RH72" i="135"/>
  <c r="Q160" i="115" s="1"/>
  <c r="RL72" i="135"/>
  <c r="Q164" i="115" s="1"/>
  <c r="RP72" i="135"/>
  <c r="Q168" i="115" s="1"/>
  <c r="RT72" i="135"/>
  <c r="Q172" i="115" s="1"/>
  <c r="RX72" i="135"/>
  <c r="Q181" i="115" s="1"/>
  <c r="SB72" i="135"/>
  <c r="Q185" i="115" s="1"/>
  <c r="SF72" i="135"/>
  <c r="Q189" i="115" s="1"/>
  <c r="SJ72" i="135"/>
  <c r="Q193" i="115" s="1"/>
  <c r="SN72" i="135"/>
  <c r="Q197" i="115" s="1"/>
  <c r="SR72" i="135"/>
  <c r="Q207" i="115" s="1"/>
  <c r="SV72" i="135"/>
  <c r="Q211" i="115" s="1"/>
  <c r="SZ72" i="135"/>
  <c r="Q215" i="115" s="1"/>
  <c r="TD72" i="135"/>
  <c r="Q219" i="115" s="1"/>
  <c r="TH72" i="135"/>
  <c r="Q223" i="115" s="1"/>
  <c r="TL72" i="135"/>
  <c r="Q233" i="115" s="1"/>
  <c r="TP72" i="135"/>
  <c r="Q237" i="115" s="1"/>
  <c r="TT72" i="135"/>
  <c r="Q241" i="115" s="1"/>
  <c r="TX72" i="135"/>
  <c r="Q245" i="115" s="1"/>
  <c r="UB72" i="135"/>
  <c r="Q249" i="115" s="1"/>
  <c r="UF72" i="135"/>
  <c r="UJ72" i="135"/>
  <c r="UN72" i="135"/>
  <c r="UR72" i="135"/>
  <c r="UV72" i="135"/>
  <c r="Q284" i="115" s="1"/>
  <c r="UZ72" i="135"/>
  <c r="Q288" i="115" s="1"/>
  <c r="VD72" i="135"/>
  <c r="Q292" i="115" s="1"/>
  <c r="VH72" i="135"/>
  <c r="Q296" i="115" s="1"/>
  <c r="VL72" i="135"/>
  <c r="Q300" i="115" s="1"/>
  <c r="QO72" i="135"/>
  <c r="QS72" i="135"/>
  <c r="QW72" i="135"/>
  <c r="RA72" i="135"/>
  <c r="RE72" i="135"/>
  <c r="Q157" i="115" s="1"/>
  <c r="RI72" i="135"/>
  <c r="Q161" i="115" s="1"/>
  <c r="RM72" i="135"/>
  <c r="Q165" i="115" s="1"/>
  <c r="RQ72" i="135"/>
  <c r="Q169" i="115" s="1"/>
  <c r="RU72" i="135"/>
  <c r="Q173" i="115" s="1"/>
  <c r="RY72" i="135"/>
  <c r="Q182" i="115" s="1"/>
  <c r="SC72" i="135"/>
  <c r="Q186" i="115" s="1"/>
  <c r="SG72" i="135"/>
  <c r="Q190" i="115" s="1"/>
  <c r="SK72" i="135"/>
  <c r="Q194" i="115" s="1"/>
  <c r="SO72" i="135"/>
  <c r="Q198" i="115" s="1"/>
  <c r="SS72" i="135"/>
  <c r="Q208" i="115" s="1"/>
  <c r="SW72" i="135"/>
  <c r="Q212" i="115" s="1"/>
  <c r="TA72" i="135"/>
  <c r="Q216" i="115" s="1"/>
  <c r="TE72" i="135"/>
  <c r="Q220" i="115" s="1"/>
  <c r="TI72" i="135"/>
  <c r="Q224" i="115" s="1"/>
  <c r="TM72" i="135"/>
  <c r="Q234" i="115" s="1"/>
  <c r="TQ72" i="135"/>
  <c r="Q238" i="115" s="1"/>
  <c r="TU72" i="135"/>
  <c r="Q242" i="115" s="1"/>
  <c r="TY72" i="135"/>
  <c r="Q246" i="115" s="1"/>
  <c r="UC72" i="135"/>
  <c r="UG72" i="135"/>
  <c r="UK72" i="135"/>
  <c r="UO72" i="135"/>
  <c r="US72" i="135"/>
  <c r="UW72" i="135"/>
  <c r="Q285" i="115" s="1"/>
  <c r="VA72" i="135"/>
  <c r="Q289" i="115" s="1"/>
  <c r="VE72" i="135"/>
  <c r="Q293" i="115" s="1"/>
  <c r="VI72" i="135"/>
  <c r="Q297" i="115" s="1"/>
  <c r="VM72" i="135"/>
  <c r="QM72" i="135"/>
  <c r="QQ72" i="135"/>
  <c r="QU72" i="135"/>
  <c r="QY72" i="135"/>
  <c r="RC72" i="135"/>
  <c r="RG72" i="135"/>
  <c r="Q159" i="115" s="1"/>
  <c r="RK72" i="135"/>
  <c r="Q163" i="115" s="1"/>
  <c r="RO72" i="135"/>
  <c r="Q167" i="115" s="1"/>
  <c r="RS72" i="135"/>
  <c r="Q171" i="115" s="1"/>
  <c r="RW72" i="135"/>
  <c r="Q175" i="115" s="1"/>
  <c r="SA72" i="135"/>
  <c r="Q184" i="115" s="1"/>
  <c r="SE72" i="135"/>
  <c r="Q188" i="115" s="1"/>
  <c r="SI72" i="135"/>
  <c r="Q192" i="115" s="1"/>
  <c r="SM72" i="135"/>
  <c r="Q196" i="115" s="1"/>
  <c r="SQ72" i="135"/>
  <c r="Q206" i="115" s="1"/>
  <c r="SU72" i="135"/>
  <c r="Q210" i="115" s="1"/>
  <c r="SY72" i="135"/>
  <c r="Q214" i="115" s="1"/>
  <c r="TC72" i="135"/>
  <c r="Q218" i="115" s="1"/>
  <c r="TG72" i="135"/>
  <c r="Q222" i="115" s="1"/>
  <c r="TK72" i="135"/>
  <c r="Q232" i="115" s="1"/>
  <c r="TO72" i="135"/>
  <c r="Q236" i="115" s="1"/>
  <c r="TS72" i="135"/>
  <c r="Q240" i="115" s="1"/>
  <c r="TW72" i="135"/>
  <c r="Q244" i="115" s="1"/>
  <c r="UA72" i="135"/>
  <c r="Q248" i="115" s="1"/>
  <c r="UE72" i="135"/>
  <c r="UI72" i="135"/>
  <c r="UM72" i="135"/>
  <c r="UQ72" i="135"/>
  <c r="UU72" i="135"/>
  <c r="QL72" i="135"/>
  <c r="QP72" i="135"/>
  <c r="QT72" i="135"/>
  <c r="QX72" i="135"/>
  <c r="RB72" i="135"/>
  <c r="RF72" i="135"/>
  <c r="Q158" i="115" s="1"/>
  <c r="RJ72" i="135"/>
  <c r="Q162" i="115" s="1"/>
  <c r="RN72" i="135"/>
  <c r="Q166" i="115" s="1"/>
  <c r="RR72" i="135"/>
  <c r="Q170" i="115" s="1"/>
  <c r="RV72" i="135"/>
  <c r="Q174" i="115" s="1"/>
  <c r="RZ72" i="135"/>
  <c r="Q183" i="115" s="1"/>
  <c r="SD72" i="135"/>
  <c r="Q187" i="115" s="1"/>
  <c r="SH72" i="135"/>
  <c r="Q191" i="115" s="1"/>
  <c r="SL72" i="135"/>
  <c r="Q195" i="115" s="1"/>
  <c r="SP72" i="135"/>
  <c r="Q199" i="115" s="1"/>
  <c r="ST72" i="135"/>
  <c r="Q209" i="115" s="1"/>
  <c r="SX72" i="135"/>
  <c r="Q213" i="115" s="1"/>
  <c r="TB72" i="135"/>
  <c r="Q217" i="115" s="1"/>
  <c r="TF72" i="135"/>
  <c r="Q221" i="115" s="1"/>
  <c r="TJ72" i="135"/>
  <c r="Q231" i="115" s="1"/>
  <c r="TN72" i="135"/>
  <c r="Q235" i="115" s="1"/>
  <c r="TR72" i="135"/>
  <c r="Q239" i="115" s="1"/>
  <c r="TV72" i="135"/>
  <c r="Q243" i="115" s="1"/>
  <c r="TZ72" i="135"/>
  <c r="Q247" i="115" s="1"/>
  <c r="UD72" i="135"/>
  <c r="UH72" i="135"/>
  <c r="UL72" i="135"/>
  <c r="UP72" i="135"/>
  <c r="UT72" i="135"/>
  <c r="UX72" i="135"/>
  <c r="Q286" i="115" s="1"/>
  <c r="VB72" i="135"/>
  <c r="Q290" i="115" s="1"/>
  <c r="VF72" i="135"/>
  <c r="Q294" i="115" s="1"/>
  <c r="VJ72" i="135"/>
  <c r="Q298" i="115" s="1"/>
  <c r="VN72" i="135"/>
  <c r="UY72" i="135"/>
  <c r="Q287" i="115" s="1"/>
  <c r="VC72" i="135"/>
  <c r="Q291" i="115" s="1"/>
  <c r="VG72" i="135"/>
  <c r="Q295" i="115" s="1"/>
  <c r="VK72" i="135"/>
  <c r="Q299" i="115" s="1"/>
  <c r="DT72" i="135"/>
  <c r="DU72" i="135"/>
  <c r="DS72" i="135"/>
  <c r="QI72" i="135"/>
  <c r="N94" i="115" s="1"/>
  <c r="QJ72" i="135"/>
  <c r="N95" i="115" s="1"/>
  <c r="QK72" i="135"/>
  <c r="N96" i="115" s="1"/>
  <c r="C72" i="135"/>
  <c r="F86" i="127" s="1"/>
  <c r="PC72" i="135"/>
  <c r="N57" i="115" s="1"/>
  <c r="CN72" i="135"/>
  <c r="PD72" i="135"/>
  <c r="N58" i="115" s="1"/>
  <c r="CM72" i="135"/>
  <c r="PB72" i="135"/>
  <c r="N56" i="115" s="1"/>
  <c r="CL72" i="135"/>
  <c r="I88" i="124"/>
  <c r="J28" i="137"/>
  <c r="J26" i="137"/>
  <c r="K24" i="137"/>
  <c r="F24" i="137"/>
  <c r="L35" i="137"/>
  <c r="J30" i="137"/>
  <c r="J24" i="137"/>
  <c r="E24" i="137"/>
  <c r="J35" i="137"/>
  <c r="J25" i="137"/>
  <c r="E26" i="137"/>
  <c r="E27" i="137" s="1"/>
  <c r="J107" i="127"/>
  <c r="HB72" i="135"/>
  <c r="M102" i="115" s="1"/>
  <c r="HF72" i="135"/>
  <c r="M106" i="115" s="1"/>
  <c r="HJ72" i="135"/>
  <c r="M110" i="115" s="1"/>
  <c r="HN72" i="135"/>
  <c r="M114" i="115" s="1"/>
  <c r="HR72" i="135"/>
  <c r="M118" i="115" s="1"/>
  <c r="HV72" i="135"/>
  <c r="M122" i="115" s="1"/>
  <c r="HE72" i="135"/>
  <c r="M105" i="115" s="1"/>
  <c r="HM72" i="135"/>
  <c r="M113" i="115" s="1"/>
  <c r="HU72" i="135"/>
  <c r="M121" i="115" s="1"/>
  <c r="HC72" i="135"/>
  <c r="M103" i="115" s="1"/>
  <c r="HG72" i="135"/>
  <c r="M107" i="115" s="1"/>
  <c r="HK72" i="135"/>
  <c r="M111" i="115" s="1"/>
  <c r="HO72" i="135"/>
  <c r="M115" i="115" s="1"/>
  <c r="HS72" i="135"/>
  <c r="M119" i="115" s="1"/>
  <c r="HW72" i="135"/>
  <c r="M123" i="115" s="1"/>
  <c r="HD72" i="135"/>
  <c r="M104" i="115" s="1"/>
  <c r="HH72" i="135"/>
  <c r="M108" i="115" s="1"/>
  <c r="HL72" i="135"/>
  <c r="M112" i="115" s="1"/>
  <c r="HP72" i="135"/>
  <c r="M116" i="115" s="1"/>
  <c r="HT72" i="135"/>
  <c r="M120" i="115" s="1"/>
  <c r="HX72" i="135"/>
  <c r="M124" i="115" s="1"/>
  <c r="E124" i="115" s="1"/>
  <c r="HI72" i="135"/>
  <c r="M109" i="115" s="1"/>
  <c r="HQ72" i="135"/>
  <c r="M117" i="115" s="1"/>
  <c r="HY72" i="135"/>
  <c r="M125" i="115" s="1"/>
  <c r="E125" i="115" s="1"/>
  <c r="J110" i="127"/>
  <c r="E110" i="127"/>
  <c r="J112" i="127"/>
  <c r="E114" i="127"/>
  <c r="E112" i="127"/>
  <c r="E23" i="127"/>
  <c r="J85" i="127"/>
  <c r="E107" i="127"/>
  <c r="N23" i="123"/>
  <c r="O23" i="123" s="1"/>
  <c r="O44" i="123"/>
  <c r="J23" i="123"/>
  <c r="K23" i="123" s="1"/>
  <c r="K44" i="123"/>
  <c r="F23" i="123"/>
  <c r="G23" i="123" s="1"/>
  <c r="G44" i="123"/>
  <c r="E85" i="127"/>
  <c r="D139" i="124"/>
  <c r="D62" i="124"/>
  <c r="I62" i="124"/>
  <c r="J23" i="127"/>
  <c r="I122" i="124"/>
  <c r="D122" i="124"/>
  <c r="I139" i="124"/>
  <c r="L23" i="123"/>
  <c r="M23" i="123" s="1"/>
  <c r="M44" i="123"/>
  <c r="H23" i="123"/>
  <c r="I23" i="123" s="1"/>
  <c r="I44" i="123"/>
  <c r="D23" i="123"/>
  <c r="E44" i="123"/>
  <c r="P72" i="135"/>
  <c r="F85" i="127"/>
  <c r="E69" i="121"/>
  <c r="E70" i="121" s="1"/>
  <c r="D141" i="124"/>
  <c r="D79" i="124"/>
  <c r="D80" i="124"/>
  <c r="D68" i="124"/>
  <c r="D67" i="124"/>
  <c r="I128" i="124"/>
  <c r="I127" i="124"/>
  <c r="I86" i="124"/>
  <c r="I85" i="124"/>
  <c r="I82" i="124"/>
  <c r="I81" i="124"/>
  <c r="I78" i="124"/>
  <c r="I77" i="124"/>
  <c r="I74" i="124"/>
  <c r="I73" i="124"/>
  <c r="I70" i="124"/>
  <c r="I69" i="124"/>
  <c r="I66" i="124"/>
  <c r="I65" i="124"/>
  <c r="D135" i="124"/>
  <c r="D136" i="124"/>
  <c r="D131" i="124"/>
  <c r="D132" i="124"/>
  <c r="D127" i="124"/>
  <c r="D128" i="124"/>
  <c r="D123" i="124"/>
  <c r="D124" i="124"/>
  <c r="D87" i="124"/>
  <c r="D88" i="124"/>
  <c r="D75" i="124"/>
  <c r="D76" i="124"/>
  <c r="D142" i="124"/>
  <c r="D140" i="124"/>
  <c r="D85" i="124"/>
  <c r="D86" i="124"/>
  <c r="D81" i="124"/>
  <c r="D82" i="124"/>
  <c r="D77" i="124"/>
  <c r="D78" i="124"/>
  <c r="D73" i="124"/>
  <c r="D74" i="124"/>
  <c r="D69" i="124"/>
  <c r="D70" i="124"/>
  <c r="D65" i="124"/>
  <c r="D66" i="124"/>
  <c r="I134" i="124"/>
  <c r="I133" i="124"/>
  <c r="I130" i="124"/>
  <c r="I129" i="124"/>
  <c r="I126" i="124"/>
  <c r="I125" i="124"/>
  <c r="D143" i="124"/>
  <c r="D83" i="124"/>
  <c r="D84" i="124"/>
  <c r="D72" i="124"/>
  <c r="D71" i="124"/>
  <c r="I132" i="124"/>
  <c r="I131" i="124"/>
  <c r="I124" i="124"/>
  <c r="I123" i="124"/>
  <c r="E24" i="127"/>
  <c r="J24" i="127" s="1"/>
  <c r="J26" i="127" s="1"/>
  <c r="J86" i="127"/>
  <c r="J88" i="127" s="1"/>
  <c r="I87" i="124"/>
  <c r="I84" i="124"/>
  <c r="I83" i="124"/>
  <c r="I80" i="124"/>
  <c r="I79" i="124"/>
  <c r="I76" i="124"/>
  <c r="I75" i="124"/>
  <c r="I72" i="124"/>
  <c r="I71" i="124"/>
  <c r="I68" i="124"/>
  <c r="I67" i="124"/>
  <c r="I64" i="124"/>
  <c r="I63" i="124"/>
  <c r="D133" i="124"/>
  <c r="D134" i="124"/>
  <c r="D129" i="124"/>
  <c r="D130" i="124"/>
  <c r="D125" i="124"/>
  <c r="D126" i="124"/>
  <c r="ET72" i="135"/>
  <c r="CB72" i="135"/>
  <c r="QH72" i="135"/>
  <c r="N93" i="115" s="1"/>
  <c r="OY72" i="135"/>
  <c r="N53" i="115" s="1"/>
  <c r="NS72" i="135"/>
  <c r="N17" i="115" s="1"/>
  <c r="GL72" i="135"/>
  <c r="QA72" i="135"/>
  <c r="N86" i="115" s="1"/>
  <c r="OR72" i="135"/>
  <c r="N46" i="115" s="1"/>
  <c r="NL72" i="135"/>
  <c r="N10" i="115" s="1"/>
  <c r="GE72" i="135"/>
  <c r="EE72" i="135"/>
  <c r="L45" i="123" s="1"/>
  <c r="BM72" i="135"/>
  <c r="PR72" i="135"/>
  <c r="N77" i="115" s="1"/>
  <c r="OI72" i="135"/>
  <c r="N37" i="115" s="1"/>
  <c r="NC72" i="135"/>
  <c r="FV72" i="135"/>
  <c r="J140" i="124" s="1"/>
  <c r="DK72" i="135"/>
  <c r="AF72" i="135"/>
  <c r="K91" i="121" s="1"/>
  <c r="PK72" i="135"/>
  <c r="N70" i="115" s="1"/>
  <c r="OB72" i="135"/>
  <c r="N30" i="115" s="1"/>
  <c r="GU72" i="135"/>
  <c r="F109" i="127" s="1"/>
  <c r="FK72" i="135"/>
  <c r="CV72" i="135"/>
  <c r="PZ72" i="135"/>
  <c r="N85" i="115" s="1"/>
  <c r="PJ72" i="135"/>
  <c r="N69" i="115" s="1"/>
  <c r="OQ72" i="135"/>
  <c r="N45" i="115" s="1"/>
  <c r="OA72" i="135"/>
  <c r="N29" i="115" s="1"/>
  <c r="NK72" i="135"/>
  <c r="GT72" i="135"/>
  <c r="K87" i="127" s="1"/>
  <c r="GD72" i="135"/>
  <c r="FJ72" i="135"/>
  <c r="ED72" i="135"/>
  <c r="CU72" i="135"/>
  <c r="BL72" i="135"/>
  <c r="D72" i="135"/>
  <c r="F25" i="137" s="1"/>
  <c r="PS72" i="135"/>
  <c r="N78" i="115" s="1"/>
  <c r="OZ72" i="135"/>
  <c r="N54" i="115" s="1"/>
  <c r="OJ72" i="135"/>
  <c r="N38" i="115" s="1"/>
  <c r="NT72" i="135"/>
  <c r="N18" i="115" s="1"/>
  <c r="ND72" i="135"/>
  <c r="GM72" i="135"/>
  <c r="FW72" i="135"/>
  <c r="EU72" i="135"/>
  <c r="E63" i="124" s="1"/>
  <c r="DL72" i="135"/>
  <c r="CC72" i="135"/>
  <c r="AJ72" i="135"/>
  <c r="K95" i="121" s="1"/>
  <c r="QE72" i="135"/>
  <c r="N90" i="115" s="1"/>
  <c r="PW72" i="135"/>
  <c r="N82" i="115" s="1"/>
  <c r="PO72" i="135"/>
  <c r="N74" i="115" s="1"/>
  <c r="PG72" i="135"/>
  <c r="N66" i="115" s="1"/>
  <c r="OV72" i="135"/>
  <c r="N50" i="115" s="1"/>
  <c r="ON72" i="135"/>
  <c r="N42" i="115" s="1"/>
  <c r="OF72" i="135"/>
  <c r="NX72" i="135"/>
  <c r="N26" i="115" s="1"/>
  <c r="NP72" i="135"/>
  <c r="N14" i="115" s="1"/>
  <c r="NH72" i="135"/>
  <c r="N6" i="115" s="1"/>
  <c r="GY72" i="135"/>
  <c r="K109" i="127" s="1"/>
  <c r="GQ72" i="135"/>
  <c r="GI72" i="135"/>
  <c r="GA72" i="135"/>
  <c r="FS72" i="135"/>
  <c r="FC72" i="135"/>
  <c r="EM72" i="135"/>
  <c r="DW72" i="135"/>
  <c r="D45" i="123" s="1"/>
  <c r="DD72" i="135"/>
  <c r="CK72" i="135"/>
  <c r="BU72" i="135"/>
  <c r="AZ72" i="135"/>
  <c r="T72" i="135"/>
  <c r="QD72" i="135"/>
  <c r="N89" i="115" s="1"/>
  <c r="PV72" i="135"/>
  <c r="N81" i="115" s="1"/>
  <c r="PN72" i="135"/>
  <c r="N73" i="115" s="1"/>
  <c r="PF72" i="135"/>
  <c r="N65" i="115" s="1"/>
  <c r="OU72" i="135"/>
  <c r="N49" i="115" s="1"/>
  <c r="OM72" i="135"/>
  <c r="N41" i="115" s="1"/>
  <c r="OE72" i="135"/>
  <c r="N33" i="115" s="1"/>
  <c r="NW72" i="135"/>
  <c r="N21" i="115" s="1"/>
  <c r="NO72" i="135"/>
  <c r="N13" i="115" s="1"/>
  <c r="NG72" i="135"/>
  <c r="N5" i="115" s="1"/>
  <c r="GX72" i="135"/>
  <c r="F108" i="127" s="1"/>
  <c r="GP72" i="135"/>
  <c r="GH72" i="135"/>
  <c r="FZ72" i="135"/>
  <c r="J142" i="124" s="1"/>
  <c r="FR72" i="135"/>
  <c r="FB72" i="135"/>
  <c r="EL72" i="135"/>
  <c r="DV72" i="135"/>
  <c r="DC72" i="135"/>
  <c r="CJ72" i="135"/>
  <c r="BT72" i="135"/>
  <c r="AV72" i="135"/>
  <c r="E72" i="135"/>
  <c r="I72" i="135"/>
  <c r="M72" i="135"/>
  <c r="Q72" i="135"/>
  <c r="U72" i="135"/>
  <c r="Y72" i="135"/>
  <c r="AC72" i="135"/>
  <c r="K27" i="127" s="1"/>
  <c r="AG72" i="135"/>
  <c r="F93" i="121" s="1"/>
  <c r="AK72" i="135"/>
  <c r="F97" i="121" s="1"/>
  <c r="AO72" i="135"/>
  <c r="AS72" i="135"/>
  <c r="AW72" i="135"/>
  <c r="BA72" i="135"/>
  <c r="BE72" i="135"/>
  <c r="BI72" i="135"/>
  <c r="F72" i="135"/>
  <c r="J72" i="135"/>
  <c r="N72" i="135"/>
  <c r="R72" i="135"/>
  <c r="V72" i="135"/>
  <c r="Z72" i="135"/>
  <c r="F25" i="127" s="1"/>
  <c r="AD72" i="135"/>
  <c r="K29" i="127" s="1"/>
  <c r="AH72" i="135"/>
  <c r="K93" i="121" s="1"/>
  <c r="AL72" i="135"/>
  <c r="K97" i="121" s="1"/>
  <c r="AP72" i="135"/>
  <c r="AT72" i="135"/>
  <c r="AX72" i="135"/>
  <c r="BB72" i="135"/>
  <c r="BF72" i="135"/>
  <c r="BJ72" i="135"/>
  <c r="BN72" i="135"/>
  <c r="BR72" i="135"/>
  <c r="BV72" i="135"/>
  <c r="BZ72" i="135"/>
  <c r="CD72" i="135"/>
  <c r="CH72" i="135"/>
  <c r="CO72" i="135"/>
  <c r="CS72" i="135"/>
  <c r="CW72" i="135"/>
  <c r="DA72" i="135"/>
  <c r="DE72" i="135"/>
  <c r="DI72" i="135"/>
  <c r="DM72" i="135"/>
  <c r="DQ72" i="135"/>
  <c r="DX72" i="135"/>
  <c r="EB72" i="135"/>
  <c r="EF72" i="135"/>
  <c r="EJ72" i="135"/>
  <c r="EN72" i="135"/>
  <c r="ER72" i="135"/>
  <c r="EV72" i="135"/>
  <c r="EZ72" i="135"/>
  <c r="FD72" i="135"/>
  <c r="FH72" i="135"/>
  <c r="FL72" i="135"/>
  <c r="FP72" i="135"/>
  <c r="G72" i="135"/>
  <c r="K72" i="135"/>
  <c r="O72" i="135"/>
  <c r="S72" i="135"/>
  <c r="W72" i="135"/>
  <c r="AA72" i="135"/>
  <c r="K25" i="127" s="1"/>
  <c r="AE72" i="135"/>
  <c r="F91" i="121" s="1"/>
  <c r="AI72" i="135"/>
  <c r="F95" i="121" s="1"/>
  <c r="F96" i="121" s="1"/>
  <c r="AM72" i="135"/>
  <c r="AQ72" i="135"/>
  <c r="AU72" i="135"/>
  <c r="AY72" i="135"/>
  <c r="BC72" i="135"/>
  <c r="BG72" i="135"/>
  <c r="BK72" i="135"/>
  <c r="BO72" i="135"/>
  <c r="BS72" i="135"/>
  <c r="BW72" i="135"/>
  <c r="CA72" i="135"/>
  <c r="CE72" i="135"/>
  <c r="CI72" i="135"/>
  <c r="CP72" i="135"/>
  <c r="CT72" i="135"/>
  <c r="CX72" i="135"/>
  <c r="DB72" i="135"/>
  <c r="DF72" i="135"/>
  <c r="DJ72" i="135"/>
  <c r="DN72" i="135"/>
  <c r="DR72" i="135"/>
  <c r="DY72" i="135"/>
  <c r="F45" i="123" s="1"/>
  <c r="EC72" i="135"/>
  <c r="J45" i="123" s="1"/>
  <c r="EG72" i="135"/>
  <c r="N45" i="123" s="1"/>
  <c r="EK72" i="135"/>
  <c r="EO72" i="135"/>
  <c r="ES72" i="135"/>
  <c r="EW72" i="135"/>
  <c r="FA72" i="135"/>
  <c r="FE72" i="135"/>
  <c r="FI72" i="135"/>
  <c r="FM72" i="135"/>
  <c r="FQ72" i="135"/>
  <c r="QG72" i="135"/>
  <c r="N92" i="115" s="1"/>
  <c r="QC72" i="135"/>
  <c r="N88" i="115" s="1"/>
  <c r="PY72" i="135"/>
  <c r="N84" i="115" s="1"/>
  <c r="PU72" i="135"/>
  <c r="N80" i="115" s="1"/>
  <c r="PQ72" i="135"/>
  <c r="N76" i="115" s="1"/>
  <c r="PM72" i="135"/>
  <c r="PI72" i="135"/>
  <c r="N68" i="115" s="1"/>
  <c r="PE72" i="135"/>
  <c r="N64" i="115" s="1"/>
  <c r="OX72" i="135"/>
  <c r="N52" i="115" s="1"/>
  <c r="OT72" i="135"/>
  <c r="N48" i="115" s="1"/>
  <c r="OP72" i="135"/>
  <c r="N44" i="115" s="1"/>
  <c r="OL72" i="135"/>
  <c r="N40" i="115" s="1"/>
  <c r="OH72" i="135"/>
  <c r="N36" i="115" s="1"/>
  <c r="OD72" i="135"/>
  <c r="N32" i="115" s="1"/>
  <c r="NZ72" i="135"/>
  <c r="N28" i="115" s="1"/>
  <c r="NV72" i="135"/>
  <c r="N20" i="115" s="1"/>
  <c r="NR72" i="135"/>
  <c r="N16" i="115" s="1"/>
  <c r="NN72" i="135"/>
  <c r="N12" i="115" s="1"/>
  <c r="NJ72" i="135"/>
  <c r="N8" i="115" s="1"/>
  <c r="NF72" i="135"/>
  <c r="N4" i="115" s="1"/>
  <c r="HA72" i="135"/>
  <c r="K108" i="127" s="1"/>
  <c r="GW72" i="135"/>
  <c r="F113" i="127" s="1"/>
  <c r="GS72" i="135"/>
  <c r="GO72" i="135"/>
  <c r="GK72" i="135"/>
  <c r="GG72" i="135"/>
  <c r="GC72" i="135"/>
  <c r="FY72" i="135"/>
  <c r="FU72" i="135"/>
  <c r="FO72" i="135"/>
  <c r="FG72" i="135"/>
  <c r="EY72" i="135"/>
  <c r="EQ72" i="135"/>
  <c r="EI72" i="135"/>
  <c r="EA72" i="135"/>
  <c r="H45" i="123" s="1"/>
  <c r="DP72" i="135"/>
  <c r="DH72" i="135"/>
  <c r="CZ72" i="135"/>
  <c r="CR72" i="135"/>
  <c r="CG72" i="135"/>
  <c r="BY72" i="135"/>
  <c r="BQ72" i="135"/>
  <c r="BH72" i="135"/>
  <c r="AR72" i="135"/>
  <c r="AB72" i="135"/>
  <c r="F27" i="127" s="1"/>
  <c r="L72" i="135"/>
  <c r="QF72" i="135"/>
  <c r="N91" i="115" s="1"/>
  <c r="QB72" i="135"/>
  <c r="N87" i="115" s="1"/>
  <c r="PX72" i="135"/>
  <c r="N83" i="115" s="1"/>
  <c r="PT72" i="135"/>
  <c r="N79" i="115" s="1"/>
  <c r="PP72" i="135"/>
  <c r="N75" i="115" s="1"/>
  <c r="PL72" i="135"/>
  <c r="N71" i="115" s="1"/>
  <c r="PH72" i="135"/>
  <c r="N67" i="115" s="1"/>
  <c r="PA72" i="135"/>
  <c r="N55" i="115" s="1"/>
  <c r="OW72" i="135"/>
  <c r="N51" i="115" s="1"/>
  <c r="OS72" i="135"/>
  <c r="N47" i="115" s="1"/>
  <c r="OO72" i="135"/>
  <c r="N43" i="115" s="1"/>
  <c r="OK72" i="135"/>
  <c r="N39" i="115" s="1"/>
  <c r="OG72" i="135"/>
  <c r="N35" i="115" s="1"/>
  <c r="OC72" i="135"/>
  <c r="N31" i="115" s="1"/>
  <c r="NY72" i="135"/>
  <c r="N27" i="115" s="1"/>
  <c r="NU72" i="135"/>
  <c r="N19" i="115" s="1"/>
  <c r="NQ72" i="135"/>
  <c r="N15" i="115" s="1"/>
  <c r="NM72" i="135"/>
  <c r="N11" i="115" s="1"/>
  <c r="NI72" i="135"/>
  <c r="N7" i="115" s="1"/>
  <c r="NE72" i="135"/>
  <c r="N3" i="115" s="1"/>
  <c r="GZ72" i="135"/>
  <c r="K111" i="127" s="1"/>
  <c r="GV72" i="135"/>
  <c r="F111" i="127" s="1"/>
  <c r="F112" i="127" s="1"/>
  <c r="GR72" i="135"/>
  <c r="GN72" i="135"/>
  <c r="GJ72" i="135"/>
  <c r="GF72" i="135"/>
  <c r="GB72" i="135"/>
  <c r="J143" i="124" s="1"/>
  <c r="FX72" i="135"/>
  <c r="J141" i="124" s="1"/>
  <c r="FT72" i="135"/>
  <c r="FN72" i="135"/>
  <c r="FF72" i="135"/>
  <c r="EX72" i="135"/>
  <c r="EP72" i="135"/>
  <c r="EH72" i="135"/>
  <c r="DZ72" i="135"/>
  <c r="DO72" i="135"/>
  <c r="DG72" i="135"/>
  <c r="CY72" i="135"/>
  <c r="CQ72" i="135"/>
  <c r="CF72" i="135"/>
  <c r="BX72" i="135"/>
  <c r="BP72" i="135"/>
  <c r="BD72" i="135"/>
  <c r="AN72" i="135"/>
  <c r="X72" i="135"/>
  <c r="H72" i="135"/>
  <c r="E172" i="115" l="1"/>
  <c r="J90" i="121"/>
  <c r="E102" i="115"/>
  <c r="L37" i="137" s="1"/>
  <c r="F98" i="121"/>
  <c r="K94" i="121"/>
  <c r="F94" i="121"/>
  <c r="K96" i="121"/>
  <c r="K92" i="121"/>
  <c r="F92" i="121"/>
  <c r="K98" i="121"/>
  <c r="E198" i="115"/>
  <c r="F198" i="115" s="1"/>
  <c r="E145" i="115"/>
  <c r="E222" i="115"/>
  <c r="E247" i="115"/>
  <c r="G242" i="125" s="1"/>
  <c r="E299" i="115"/>
  <c r="F299" i="115" s="1"/>
  <c r="E197" i="115"/>
  <c r="F197" i="115" s="1"/>
  <c r="E300" i="115"/>
  <c r="E273" i="115"/>
  <c r="F273" i="115" s="1"/>
  <c r="H290" i="125" s="1"/>
  <c r="E292" i="115"/>
  <c r="F292" i="115" s="1"/>
  <c r="E259" i="115"/>
  <c r="G276" i="125" s="1"/>
  <c r="E287" i="115"/>
  <c r="F287" i="115" s="1"/>
  <c r="E260" i="115"/>
  <c r="F260" i="115" s="1"/>
  <c r="H277" i="125" s="1"/>
  <c r="I277" i="125" s="1"/>
  <c r="E284" i="115"/>
  <c r="F284" i="115" s="1"/>
  <c r="E262" i="115"/>
  <c r="G279" i="125" s="1"/>
  <c r="E288" i="115"/>
  <c r="F288" i="115" s="1"/>
  <c r="E269" i="115"/>
  <c r="F269" i="115" s="1"/>
  <c r="H286" i="125" s="1"/>
  <c r="E298" i="115"/>
  <c r="F298" i="115" s="1"/>
  <c r="E171" i="115"/>
  <c r="F171" i="115" s="1"/>
  <c r="F300" i="115"/>
  <c r="E257" i="115"/>
  <c r="G274" i="125" s="1"/>
  <c r="E293" i="115"/>
  <c r="F293" i="115" s="1"/>
  <c r="E268" i="115"/>
  <c r="G285" i="125" s="1"/>
  <c r="E297" i="115"/>
  <c r="F297" i="115" s="1"/>
  <c r="E272" i="115"/>
  <c r="G289" i="125" s="1"/>
  <c r="E301" i="115"/>
  <c r="F301" i="115" s="1"/>
  <c r="E248" i="115"/>
  <c r="G243" i="125" s="1"/>
  <c r="E274" i="115"/>
  <c r="G291" i="125" s="1"/>
  <c r="E223" i="115"/>
  <c r="E270" i="115"/>
  <c r="G287" i="125" s="1"/>
  <c r="E294" i="115"/>
  <c r="F294" i="115" s="1"/>
  <c r="E263" i="115"/>
  <c r="G280" i="125" s="1"/>
  <c r="E302" i="115"/>
  <c r="F302" i="115" s="1"/>
  <c r="E275" i="115"/>
  <c r="G292" i="125" s="1"/>
  <c r="E261" i="115"/>
  <c r="G278" i="125" s="1"/>
  <c r="E289" i="115"/>
  <c r="F289" i="115" s="1"/>
  <c r="E258" i="115"/>
  <c r="G275" i="125" s="1"/>
  <c r="E285" i="115"/>
  <c r="F285" i="115" s="1"/>
  <c r="E267" i="115"/>
  <c r="G284" i="125" s="1"/>
  <c r="E291" i="115"/>
  <c r="F291" i="115" s="1"/>
  <c r="E271" i="115"/>
  <c r="G288" i="125" s="1"/>
  <c r="E295" i="115"/>
  <c r="F295" i="115" s="1"/>
  <c r="E264" i="115"/>
  <c r="G281" i="125" s="1"/>
  <c r="E286" i="115"/>
  <c r="F286" i="115" s="1"/>
  <c r="E265" i="115"/>
  <c r="F265" i="115" s="1"/>
  <c r="H282" i="125" s="1"/>
  <c r="E296" i="115"/>
  <c r="F296" i="115" s="1"/>
  <c r="E266" i="115"/>
  <c r="F266" i="115" s="1"/>
  <c r="H283" i="125" s="1"/>
  <c r="E290" i="115"/>
  <c r="F290" i="115" s="1"/>
  <c r="F272" i="115"/>
  <c r="H289" i="125" s="1"/>
  <c r="E166" i="115"/>
  <c r="F166" i="115" s="1"/>
  <c r="E244" i="115"/>
  <c r="E140" i="115"/>
  <c r="E217" i="115"/>
  <c r="E194" i="115"/>
  <c r="F194" i="115" s="1"/>
  <c r="E213" i="115"/>
  <c r="E237" i="115"/>
  <c r="E148" i="115"/>
  <c r="E174" i="115"/>
  <c r="F174" i="115" s="1"/>
  <c r="E188" i="115"/>
  <c r="F188" i="115" s="1"/>
  <c r="E211" i="115"/>
  <c r="E236" i="115"/>
  <c r="E133" i="115"/>
  <c r="E160" i="115"/>
  <c r="F160" i="115" s="1"/>
  <c r="E186" i="115"/>
  <c r="F186" i="115" s="1"/>
  <c r="E131" i="115"/>
  <c r="E207" i="115"/>
  <c r="E157" i="115"/>
  <c r="F157" i="115" s="1"/>
  <c r="E232" i="115"/>
  <c r="E182" i="115"/>
  <c r="F182" i="115" s="1"/>
  <c r="E137" i="115"/>
  <c r="E215" i="115"/>
  <c r="E241" i="115"/>
  <c r="E161" i="115"/>
  <c r="F161" i="115" s="1"/>
  <c r="E193" i="115"/>
  <c r="F193" i="115" s="1"/>
  <c r="E218" i="115"/>
  <c r="E141" i="115"/>
  <c r="E167" i="115"/>
  <c r="F167" i="115" s="1"/>
  <c r="E245" i="115"/>
  <c r="E195" i="115"/>
  <c r="F195" i="115" s="1"/>
  <c r="E212" i="115"/>
  <c r="E175" i="115"/>
  <c r="F175" i="115" s="1"/>
  <c r="E135" i="115"/>
  <c r="E238" i="115"/>
  <c r="E187" i="115"/>
  <c r="F187" i="115" s="1"/>
  <c r="E206" i="115"/>
  <c r="E231" i="115"/>
  <c r="E130" i="115"/>
  <c r="F130" i="115" s="1"/>
  <c r="E165" i="115"/>
  <c r="F165" i="115" s="1"/>
  <c r="E181" i="115"/>
  <c r="F181" i="115" s="1"/>
  <c r="E169" i="115"/>
  <c r="F169" i="115" s="1"/>
  <c r="E240" i="115"/>
  <c r="E143" i="115"/>
  <c r="E220" i="115"/>
  <c r="E191" i="115"/>
  <c r="F191" i="115" s="1"/>
  <c r="E147" i="115"/>
  <c r="E249" i="115"/>
  <c r="E173" i="115"/>
  <c r="F173" i="115" s="1"/>
  <c r="E224" i="115"/>
  <c r="F224" i="115" s="1"/>
  <c r="E196" i="115"/>
  <c r="F196" i="115" s="1"/>
  <c r="E142" i="115"/>
  <c r="E239" i="115"/>
  <c r="E168" i="115"/>
  <c r="F168" i="115" s="1"/>
  <c r="E219" i="115"/>
  <c r="E189" i="115"/>
  <c r="F189" i="115" s="1"/>
  <c r="E138" i="115"/>
  <c r="E242" i="115"/>
  <c r="E163" i="115"/>
  <c r="F163" i="115" s="1"/>
  <c r="E214" i="115"/>
  <c r="E190" i="115"/>
  <c r="F190" i="115" s="1"/>
  <c r="E216" i="115"/>
  <c r="E164" i="115"/>
  <c r="F164" i="115" s="1"/>
  <c r="E139" i="115"/>
  <c r="E243" i="115"/>
  <c r="E199" i="115"/>
  <c r="F199" i="115" s="1"/>
  <c r="E209" i="115"/>
  <c r="E132" i="115"/>
  <c r="E233" i="115"/>
  <c r="E158" i="115"/>
  <c r="F158" i="115" s="1"/>
  <c r="E183" i="115"/>
  <c r="F183" i="115" s="1"/>
  <c r="E208" i="115"/>
  <c r="E159" i="115"/>
  <c r="F159" i="115" s="1"/>
  <c r="E134" i="115"/>
  <c r="E234" i="115"/>
  <c r="E184" i="115"/>
  <c r="F184" i="115" s="1"/>
  <c r="E235" i="115"/>
  <c r="E162" i="115"/>
  <c r="F162" i="115" s="1"/>
  <c r="E210" i="115"/>
  <c r="E136" i="115"/>
  <c r="E185" i="115"/>
  <c r="F185" i="115" s="1"/>
  <c r="E221" i="115"/>
  <c r="E144" i="115"/>
  <c r="E170" i="115"/>
  <c r="F170" i="115" s="1"/>
  <c r="E246" i="115"/>
  <c r="E192" i="115"/>
  <c r="F192" i="115" s="1"/>
  <c r="I3" i="115"/>
  <c r="F172" i="115"/>
  <c r="I18" i="115"/>
  <c r="E118" i="115"/>
  <c r="L53" i="137" s="1"/>
  <c r="I16" i="115"/>
  <c r="I7" i="115"/>
  <c r="I9" i="115"/>
  <c r="I15" i="115"/>
  <c r="I8" i="115"/>
  <c r="I6" i="115"/>
  <c r="I17" i="115"/>
  <c r="I10" i="115"/>
  <c r="I4" i="115"/>
  <c r="I19" i="115"/>
  <c r="I13" i="115"/>
  <c r="I14" i="115"/>
  <c r="I11" i="115"/>
  <c r="I12" i="115"/>
  <c r="I20" i="115"/>
  <c r="I5" i="115"/>
  <c r="I21" i="115"/>
  <c r="E114" i="115"/>
  <c r="L49" i="137" s="1"/>
  <c r="E120" i="115"/>
  <c r="L55" i="137" s="1"/>
  <c r="E117" i="115"/>
  <c r="L52" i="137" s="1"/>
  <c r="E123" i="115"/>
  <c r="L58" i="137" s="1"/>
  <c r="E106" i="115"/>
  <c r="L41" i="137" s="1"/>
  <c r="E121" i="115"/>
  <c r="L56" i="137" s="1"/>
  <c r="E115" i="115"/>
  <c r="L50" i="137" s="1"/>
  <c r="E116" i="115"/>
  <c r="L51" i="137" s="1"/>
  <c r="E107" i="115"/>
  <c r="L42" i="137" s="1"/>
  <c r="Q301" i="115"/>
  <c r="Q302" i="115"/>
  <c r="E119" i="115"/>
  <c r="L54" i="137" s="1"/>
  <c r="E122" i="115"/>
  <c r="L57" i="137" s="1"/>
  <c r="Q275" i="115"/>
  <c r="S275" i="115"/>
  <c r="S268" i="115"/>
  <c r="Q268" i="115"/>
  <c r="E104" i="115"/>
  <c r="L39" i="137" s="1"/>
  <c r="E110" i="115"/>
  <c r="L45" i="137" s="1"/>
  <c r="E113" i="115"/>
  <c r="L48" i="137" s="1"/>
  <c r="Q266" i="115"/>
  <c r="S266" i="115"/>
  <c r="Q271" i="115"/>
  <c r="S271" i="115"/>
  <c r="Q261" i="115"/>
  <c r="S261" i="115"/>
  <c r="S264" i="115"/>
  <c r="Q264" i="115"/>
  <c r="M95" i="115"/>
  <c r="M93" i="115"/>
  <c r="M91" i="115"/>
  <c r="M89" i="115"/>
  <c r="M87" i="115"/>
  <c r="M85" i="115"/>
  <c r="M83" i="115"/>
  <c r="M81" i="115"/>
  <c r="M79" i="115"/>
  <c r="M77" i="115"/>
  <c r="M75" i="115"/>
  <c r="M73" i="115"/>
  <c r="M71" i="115"/>
  <c r="M96" i="115"/>
  <c r="M94" i="115"/>
  <c r="M92" i="115"/>
  <c r="M90" i="115"/>
  <c r="M88" i="115"/>
  <c r="M86" i="115"/>
  <c r="M84" i="115"/>
  <c r="M82" i="115"/>
  <c r="M69" i="115"/>
  <c r="M67" i="115"/>
  <c r="M65" i="115"/>
  <c r="M68" i="115"/>
  <c r="M66" i="115"/>
  <c r="M64" i="115"/>
  <c r="M78" i="115"/>
  <c r="M74" i="115"/>
  <c r="M70" i="115"/>
  <c r="M76" i="115"/>
  <c r="M80" i="115"/>
  <c r="M72" i="115"/>
  <c r="E109" i="115"/>
  <c r="L44" i="137" s="1"/>
  <c r="Q270" i="115"/>
  <c r="S270" i="115"/>
  <c r="Q259" i="115"/>
  <c r="S259" i="115"/>
  <c r="Q265" i="115"/>
  <c r="S265" i="115"/>
  <c r="N72" i="115"/>
  <c r="L72" i="115"/>
  <c r="E112" i="115"/>
  <c r="L47" i="137" s="1"/>
  <c r="E103" i="115"/>
  <c r="L38" i="137" s="1"/>
  <c r="E111" i="115"/>
  <c r="L46" i="137" s="1"/>
  <c r="Q262" i="115"/>
  <c r="S262" i="115"/>
  <c r="Q267" i="115"/>
  <c r="S267" i="115"/>
  <c r="Q273" i="115"/>
  <c r="S273" i="115"/>
  <c r="Q257" i="115"/>
  <c r="S257" i="115"/>
  <c r="S260" i="115"/>
  <c r="Q260" i="115"/>
  <c r="L34" i="115"/>
  <c r="N34" i="115"/>
  <c r="E105" i="115"/>
  <c r="L40" i="137" s="1"/>
  <c r="M101" i="115"/>
  <c r="N102" i="115" s="1"/>
  <c r="E108" i="115"/>
  <c r="L43" i="137" s="1"/>
  <c r="Q274" i="115"/>
  <c r="S274" i="115"/>
  <c r="Q258" i="115"/>
  <c r="S258" i="115"/>
  <c r="Q263" i="115"/>
  <c r="S263" i="115"/>
  <c r="Q269" i="115"/>
  <c r="S269" i="115"/>
  <c r="S272" i="115"/>
  <c r="Q272" i="115"/>
  <c r="M19" i="115"/>
  <c r="M57" i="115"/>
  <c r="M55" i="115"/>
  <c r="M53" i="115"/>
  <c r="M51" i="115"/>
  <c r="M49" i="115"/>
  <c r="M47" i="115"/>
  <c r="M58" i="115"/>
  <c r="M56" i="115"/>
  <c r="M54" i="115"/>
  <c r="M52" i="115"/>
  <c r="M50" i="115"/>
  <c r="M48" i="115"/>
  <c r="M46" i="115"/>
  <c r="M21" i="115"/>
  <c r="M18" i="115"/>
  <c r="M14" i="115"/>
  <c r="M10" i="115"/>
  <c r="M44" i="115"/>
  <c r="M43" i="115"/>
  <c r="M40" i="115"/>
  <c r="M39" i="115"/>
  <c r="M36" i="115"/>
  <c r="M35" i="115"/>
  <c r="M32" i="115"/>
  <c r="M31" i="115"/>
  <c r="M28" i="115"/>
  <c r="M27" i="115"/>
  <c r="M15" i="115"/>
  <c r="M11" i="115"/>
  <c r="M8" i="115"/>
  <c r="M6" i="115"/>
  <c r="M4" i="115"/>
  <c r="M16" i="115"/>
  <c r="M12" i="115"/>
  <c r="M41" i="115"/>
  <c r="M38" i="115"/>
  <c r="M7" i="115"/>
  <c r="M3" i="115"/>
  <c r="M34" i="115"/>
  <c r="M45" i="115"/>
  <c r="M42" i="115"/>
  <c r="M29" i="115"/>
  <c r="M26" i="115"/>
  <c r="M33" i="115"/>
  <c r="M30" i="115"/>
  <c r="M20" i="115"/>
  <c r="M17" i="115"/>
  <c r="M13" i="115"/>
  <c r="M9" i="115"/>
  <c r="M5" i="115"/>
  <c r="M37" i="115"/>
  <c r="G34" i="115"/>
  <c r="H41" i="115"/>
  <c r="C47" i="115"/>
  <c r="D47" i="115" s="1"/>
  <c r="B52" i="115"/>
  <c r="H34" i="115"/>
  <c r="B41" i="115"/>
  <c r="G47" i="115"/>
  <c r="G51" i="115"/>
  <c r="G55" i="115"/>
  <c r="B38" i="115"/>
  <c r="G44" i="115"/>
  <c r="B50" i="115"/>
  <c r="B54" i="115"/>
  <c r="C38" i="115"/>
  <c r="D38" i="115" s="1"/>
  <c r="C42" i="115"/>
  <c r="B47" i="115"/>
  <c r="H52" i="115"/>
  <c r="G49" i="115"/>
  <c r="C45" i="115"/>
  <c r="D45" i="115" s="1"/>
  <c r="G43" i="115"/>
  <c r="C39" i="115"/>
  <c r="D39" i="115" s="1"/>
  <c r="H35" i="115"/>
  <c r="B35" i="115"/>
  <c r="C33" i="115"/>
  <c r="D33" i="115" s="1"/>
  <c r="B32" i="115"/>
  <c r="C31" i="115"/>
  <c r="D31" i="115" s="1"/>
  <c r="G30" i="115"/>
  <c r="H26" i="115"/>
  <c r="B26" i="115"/>
  <c r="G46" i="115"/>
  <c r="C40" i="115"/>
  <c r="D40" i="115" s="1"/>
  <c r="B34" i="115"/>
  <c r="C53" i="115"/>
  <c r="D53" i="115" s="1"/>
  <c r="C46" i="115"/>
  <c r="D46" i="115" s="1"/>
  <c r="C49" i="115"/>
  <c r="D49" i="115" s="1"/>
  <c r="B39" i="115"/>
  <c r="B33" i="115"/>
  <c r="C30" i="115"/>
  <c r="D30" i="115" s="1"/>
  <c r="B55" i="115"/>
  <c r="H36" i="115"/>
  <c r="G42" i="115"/>
  <c r="B48" i="115"/>
  <c r="H53" i="115"/>
  <c r="H37" i="115"/>
  <c r="H42" i="115"/>
  <c r="C48" i="115"/>
  <c r="D48" i="115" s="1"/>
  <c r="C52" i="115"/>
  <c r="D52" i="115" s="1"/>
  <c r="C29" i="115"/>
  <c r="G40" i="115"/>
  <c r="B46" i="115"/>
  <c r="H51" i="115"/>
  <c r="H55" i="115"/>
  <c r="H39" i="115"/>
  <c r="H43" i="115"/>
  <c r="H48" i="115"/>
  <c r="G53" i="115"/>
  <c r="G45" i="115"/>
  <c r="G39" i="115"/>
  <c r="B36" i="115"/>
  <c r="H33" i="115"/>
  <c r="G33" i="115"/>
  <c r="C32" i="115"/>
  <c r="D32" i="115" s="1"/>
  <c r="G31" i="115"/>
  <c r="B28" i="115"/>
  <c r="B27" i="115"/>
  <c r="C26" i="115"/>
  <c r="D26" i="115" s="1"/>
  <c r="H29" i="115"/>
  <c r="C51" i="115"/>
  <c r="D51" i="115" s="1"/>
  <c r="H46" i="115"/>
  <c r="H50" i="115"/>
  <c r="B42" i="115"/>
  <c r="C34" i="115"/>
  <c r="D34" i="115" s="1"/>
  <c r="G58" i="115"/>
  <c r="C43" i="115"/>
  <c r="D43" i="115" s="1"/>
  <c r="G36" i="115"/>
  <c r="B31" i="115"/>
  <c r="G28" i="115"/>
  <c r="H27" i="115"/>
  <c r="B29" i="115"/>
  <c r="G38" i="115"/>
  <c r="B44" i="115"/>
  <c r="G50" i="115"/>
  <c r="G54" i="115"/>
  <c r="H38" i="115"/>
  <c r="C44" i="115"/>
  <c r="H49" i="115"/>
  <c r="B53" i="115"/>
  <c r="H30" i="115"/>
  <c r="C41" i="115"/>
  <c r="D41" i="115" s="1"/>
  <c r="H47" i="115"/>
  <c r="G52" i="115"/>
  <c r="G29" i="115"/>
  <c r="H40" i="115"/>
  <c r="H44" i="115"/>
  <c r="C50" i="115"/>
  <c r="D50" i="115" s="1"/>
  <c r="C54" i="115"/>
  <c r="D54" i="115" s="1"/>
  <c r="B49" i="115"/>
  <c r="H45" i="115"/>
  <c r="B43" i="115"/>
  <c r="C37" i="115"/>
  <c r="B37" i="115"/>
  <c r="C36" i="115"/>
  <c r="D36" i="115" s="1"/>
  <c r="H32" i="115"/>
  <c r="H28" i="115"/>
  <c r="G32" i="115"/>
  <c r="B30" i="115"/>
  <c r="C28" i="115"/>
  <c r="D28" i="115" s="1"/>
  <c r="C27" i="115"/>
  <c r="D27" i="115" s="1"/>
  <c r="G26" i="115"/>
  <c r="B40" i="115"/>
  <c r="C55" i="115"/>
  <c r="D55" i="115" s="1"/>
  <c r="H54" i="115"/>
  <c r="G48" i="115"/>
  <c r="G41" i="115"/>
  <c r="B51" i="115"/>
  <c r="B45" i="115"/>
  <c r="G37" i="115"/>
  <c r="H31" i="115"/>
  <c r="G27" i="115"/>
  <c r="G57" i="115"/>
  <c r="C35" i="115"/>
  <c r="D35" i="115" s="1"/>
  <c r="C57" i="115"/>
  <c r="H58" i="115"/>
  <c r="C58" i="115"/>
  <c r="D58" i="115" s="1"/>
  <c r="B58" i="115"/>
  <c r="G56" i="115"/>
  <c r="C56" i="115"/>
  <c r="D56" i="115" s="1"/>
  <c r="H56" i="115"/>
  <c r="H57" i="115"/>
  <c r="B56" i="115"/>
  <c r="G35" i="115"/>
  <c r="B57" i="115"/>
  <c r="G93" i="115"/>
  <c r="H65" i="115"/>
  <c r="G74" i="115"/>
  <c r="B80" i="115"/>
  <c r="G86" i="115"/>
  <c r="G90" i="115"/>
  <c r="B77" i="115"/>
  <c r="C84" i="115"/>
  <c r="D84" i="115" s="1"/>
  <c r="C88" i="115"/>
  <c r="D88" i="115" s="1"/>
  <c r="C92" i="115"/>
  <c r="D92" i="115" s="1"/>
  <c r="B74" i="115"/>
  <c r="C81" i="115"/>
  <c r="D81" i="115" s="1"/>
  <c r="H87" i="115"/>
  <c r="H91" i="115"/>
  <c r="H75" i="115"/>
  <c r="G81" i="115"/>
  <c r="C86" i="115"/>
  <c r="D86" i="115" s="1"/>
  <c r="C90" i="115"/>
  <c r="D90" i="115" s="1"/>
  <c r="B76" i="115"/>
  <c r="C75" i="115"/>
  <c r="D75" i="115" s="1"/>
  <c r="G72" i="115"/>
  <c r="C70" i="115"/>
  <c r="D70" i="115" s="1"/>
  <c r="C68" i="115"/>
  <c r="D68" i="115" s="1"/>
  <c r="G66" i="115"/>
  <c r="G65" i="115"/>
  <c r="G78" i="115"/>
  <c r="H93" i="115"/>
  <c r="G87" i="115"/>
  <c r="G80" i="115"/>
  <c r="C74" i="115"/>
  <c r="D74" i="115" s="1"/>
  <c r="G89" i="115"/>
  <c r="C72" i="115"/>
  <c r="C66" i="115"/>
  <c r="D66" i="115" s="1"/>
  <c r="B67" i="115"/>
  <c r="C67" i="115"/>
  <c r="H76" i="115"/>
  <c r="H81" i="115"/>
  <c r="C87" i="115"/>
  <c r="D87" i="115" s="1"/>
  <c r="C91" i="115"/>
  <c r="D91" i="115" s="1"/>
  <c r="G67" i="115"/>
  <c r="H78" i="115"/>
  <c r="B85" i="115"/>
  <c r="B89" i="115"/>
  <c r="B93" i="115"/>
  <c r="C77" i="115"/>
  <c r="D77" i="115" s="1"/>
  <c r="G84" i="115"/>
  <c r="G88" i="115"/>
  <c r="G92" i="115"/>
  <c r="G77" i="115"/>
  <c r="H83" i="115"/>
  <c r="B87" i="115"/>
  <c r="B91" i="115"/>
  <c r="B83" i="115"/>
  <c r="C76" i="115"/>
  <c r="D76" i="115" s="1"/>
  <c r="G75" i="115"/>
  <c r="H70" i="115"/>
  <c r="G70" i="115"/>
  <c r="G68" i="115"/>
  <c r="H64" i="115"/>
  <c r="B64" i="115"/>
  <c r="H72" i="115"/>
  <c r="H89" i="115"/>
  <c r="B81" i="115"/>
  <c r="C69" i="115"/>
  <c r="D69" i="115" s="1"/>
  <c r="B90" i="115"/>
  <c r="G85" i="115"/>
  <c r="G83" i="115"/>
  <c r="H68" i="115"/>
  <c r="G64" i="115"/>
  <c r="H69" i="115"/>
  <c r="H77" i="115"/>
  <c r="B84" i="115"/>
  <c r="B88" i="115"/>
  <c r="B92" i="115"/>
  <c r="B69" i="115"/>
  <c r="C80" i="115"/>
  <c r="D80" i="115" s="1"/>
  <c r="H86" i="115"/>
  <c r="H90" i="115"/>
  <c r="H67" i="115"/>
  <c r="B78" i="115"/>
  <c r="C85" i="115"/>
  <c r="D85" i="115" s="1"/>
  <c r="C89" i="115"/>
  <c r="D89" i="115" s="1"/>
  <c r="C93" i="115"/>
  <c r="D93" i="115" s="1"/>
  <c r="C78" i="115"/>
  <c r="D78" i="115" s="1"/>
  <c r="H84" i="115"/>
  <c r="H88" i="115"/>
  <c r="H92" i="115"/>
  <c r="C83" i="115"/>
  <c r="D83" i="115" s="1"/>
  <c r="G76" i="115"/>
  <c r="B72" i="115"/>
  <c r="B70" i="115"/>
  <c r="B68" i="115"/>
  <c r="B66" i="115"/>
  <c r="B65" i="115"/>
  <c r="C64" i="115"/>
  <c r="D64" i="115" s="1"/>
  <c r="G69" i="115"/>
  <c r="H85" i="115"/>
  <c r="H74" i="115"/>
  <c r="G91" i="115"/>
  <c r="B86" i="115"/>
  <c r="H80" i="115"/>
  <c r="B75" i="115"/>
  <c r="H66" i="115"/>
  <c r="C65" i="115"/>
  <c r="D65" i="115" s="1"/>
  <c r="H73" i="115"/>
  <c r="C82" i="115"/>
  <c r="D82" i="115" s="1"/>
  <c r="C79" i="115"/>
  <c r="D79" i="115" s="1"/>
  <c r="G96" i="115"/>
  <c r="B73" i="115"/>
  <c r="B79" i="115"/>
  <c r="H94" i="115"/>
  <c r="B95" i="115"/>
  <c r="B82" i="115"/>
  <c r="B94" i="115"/>
  <c r="G79" i="115"/>
  <c r="G94" i="115"/>
  <c r="B96" i="115"/>
  <c r="C71" i="115"/>
  <c r="D71" i="115" s="1"/>
  <c r="H71" i="115"/>
  <c r="B71" i="115"/>
  <c r="H96" i="115"/>
  <c r="C73" i="115"/>
  <c r="D73" i="115" s="1"/>
  <c r="C94" i="115"/>
  <c r="G82" i="115"/>
  <c r="H79" i="115"/>
  <c r="H82" i="115"/>
  <c r="H95" i="115"/>
  <c r="G71" i="115"/>
  <c r="C95" i="115"/>
  <c r="D95" i="115" s="1"/>
  <c r="C96" i="115"/>
  <c r="G95" i="115"/>
  <c r="G73" i="115"/>
  <c r="P197" i="115"/>
  <c r="P181" i="115"/>
  <c r="P184" i="115"/>
  <c r="P191" i="115"/>
  <c r="P198" i="115"/>
  <c r="P182" i="115"/>
  <c r="P193" i="115"/>
  <c r="P196" i="115"/>
  <c r="P187" i="115"/>
  <c r="P194" i="115"/>
  <c r="P189" i="115"/>
  <c r="P192" i="115"/>
  <c r="P199" i="115"/>
  <c r="P183" i="115"/>
  <c r="P190" i="115"/>
  <c r="P185" i="115"/>
  <c r="P188" i="115"/>
  <c r="P195" i="115"/>
  <c r="P186" i="115"/>
  <c r="Q142" i="115"/>
  <c r="Q147" i="115"/>
  <c r="Q140" i="115"/>
  <c r="P148" i="115"/>
  <c r="P142" i="115"/>
  <c r="P133" i="115"/>
  <c r="Q138" i="115"/>
  <c r="Q143" i="115"/>
  <c r="Q133" i="115"/>
  <c r="Q136" i="115"/>
  <c r="P144" i="115"/>
  <c r="P147" i="115"/>
  <c r="P131" i="115"/>
  <c r="P138" i="115"/>
  <c r="P145" i="115"/>
  <c r="Q131" i="115"/>
  <c r="Q137" i="115"/>
  <c r="P132" i="115"/>
  <c r="P135" i="115"/>
  <c r="Q134" i="115"/>
  <c r="Q139" i="115"/>
  <c r="Q145" i="115"/>
  <c r="Q148" i="115"/>
  <c r="Q132" i="115"/>
  <c r="P140" i="115"/>
  <c r="P143" i="115"/>
  <c r="P134" i="115"/>
  <c r="P141" i="115"/>
  <c r="L60" i="137"/>
  <c r="L59" i="137"/>
  <c r="Q146" i="115"/>
  <c r="Q130" i="115"/>
  <c r="Q135" i="115"/>
  <c r="Q141" i="115"/>
  <c r="Q144" i="115"/>
  <c r="P130" i="115"/>
  <c r="P136" i="115"/>
  <c r="P139" i="115"/>
  <c r="P146" i="115"/>
  <c r="P137" i="115"/>
  <c r="K112" i="127"/>
  <c r="J88" i="124"/>
  <c r="K110" i="127"/>
  <c r="F110" i="127"/>
  <c r="F114" i="127"/>
  <c r="J31" i="137"/>
  <c r="J27" i="137"/>
  <c r="K25" i="137"/>
  <c r="K30" i="137"/>
  <c r="K28" i="137"/>
  <c r="J29" i="137"/>
  <c r="F26" i="137"/>
  <c r="F27" i="137" s="1"/>
  <c r="K26" i="137"/>
  <c r="I45" i="123"/>
  <c r="M45" i="123"/>
  <c r="G45" i="123"/>
  <c r="E45" i="123"/>
  <c r="O45" i="123"/>
  <c r="K45" i="123"/>
  <c r="E142" i="124"/>
  <c r="E143" i="124"/>
  <c r="E141" i="124"/>
  <c r="E140" i="124"/>
  <c r="E28" i="127"/>
  <c r="J81" i="124"/>
  <c r="J82" i="124"/>
  <c r="E73" i="124"/>
  <c r="E74" i="124"/>
  <c r="J76" i="124"/>
  <c r="J75" i="124"/>
  <c r="J125" i="124"/>
  <c r="J126" i="124"/>
  <c r="E129" i="124"/>
  <c r="E130" i="124"/>
  <c r="J85" i="124"/>
  <c r="J86" i="124"/>
  <c r="J28" i="127"/>
  <c r="E133" i="124"/>
  <c r="E134" i="124"/>
  <c r="J70" i="124"/>
  <c r="J69" i="124"/>
  <c r="E87" i="124"/>
  <c r="E88" i="124"/>
  <c r="J87" i="124"/>
  <c r="E69" i="124"/>
  <c r="E70" i="124"/>
  <c r="J66" i="124"/>
  <c r="J65" i="124"/>
  <c r="E75" i="124"/>
  <c r="E76" i="124"/>
  <c r="E81" i="124"/>
  <c r="E82" i="124"/>
  <c r="E65" i="124"/>
  <c r="E66" i="124"/>
  <c r="J83" i="124"/>
  <c r="J84" i="124"/>
  <c r="J68" i="124"/>
  <c r="J67" i="124"/>
  <c r="E125" i="124"/>
  <c r="E126" i="124"/>
  <c r="J127" i="124"/>
  <c r="J128" i="124"/>
  <c r="F69" i="121"/>
  <c r="F70" i="121" s="1"/>
  <c r="J78" i="124"/>
  <c r="J77" i="124"/>
  <c r="E26" i="127"/>
  <c r="E123" i="124"/>
  <c r="E124" i="124"/>
  <c r="J131" i="124"/>
  <c r="J132" i="124"/>
  <c r="J129" i="124"/>
  <c r="J130" i="124"/>
  <c r="F24" i="127"/>
  <c r="K24" i="127" s="1"/>
  <c r="K26" i="127" s="1"/>
  <c r="K86" i="127"/>
  <c r="K88" i="127" s="1"/>
  <c r="E135" i="124"/>
  <c r="E136" i="124"/>
  <c r="E131" i="124"/>
  <c r="E132" i="124"/>
  <c r="E67" i="124"/>
  <c r="E68" i="124"/>
  <c r="E85" i="124"/>
  <c r="E86" i="124"/>
  <c r="J72" i="124"/>
  <c r="J71" i="124"/>
  <c r="J74" i="124"/>
  <c r="J73" i="124"/>
  <c r="J123" i="124"/>
  <c r="J124" i="124"/>
  <c r="E83" i="124"/>
  <c r="E84" i="124"/>
  <c r="E77" i="124"/>
  <c r="E78" i="124"/>
  <c r="J133" i="124"/>
  <c r="J134" i="124"/>
  <c r="J80" i="124"/>
  <c r="J79" i="124"/>
  <c r="J63" i="124"/>
  <c r="J64" i="124"/>
  <c r="E127" i="124"/>
  <c r="E128" i="124"/>
  <c r="E71" i="124"/>
  <c r="E72" i="124"/>
  <c r="E79" i="124"/>
  <c r="E80" i="124"/>
  <c r="J30" i="127"/>
  <c r="L70" i="121"/>
  <c r="L71" i="121" s="1"/>
  <c r="L68" i="121"/>
  <c r="L69" i="121" s="1"/>
  <c r="L67" i="121"/>
  <c r="D44" i="115" l="1"/>
  <c r="D29" i="115"/>
  <c r="D67" i="115"/>
  <c r="K29" i="137"/>
  <c r="K31" i="137"/>
  <c r="F263" i="115"/>
  <c r="H280" i="125" s="1"/>
  <c r="F268" i="115"/>
  <c r="H285" i="125" s="1"/>
  <c r="F270" i="115"/>
  <c r="H287" i="125" s="1"/>
  <c r="G334" i="125"/>
  <c r="G332" i="125"/>
  <c r="G323" i="125"/>
  <c r="F259" i="115"/>
  <c r="H276" i="125" s="1"/>
  <c r="I276" i="125" s="1"/>
  <c r="F262" i="115"/>
  <c r="H279" i="125" s="1"/>
  <c r="F261" i="115"/>
  <c r="H278" i="125" s="1"/>
  <c r="I278" i="125" s="1"/>
  <c r="G324" i="125"/>
  <c r="G328" i="125"/>
  <c r="G286" i="125"/>
  <c r="G290" i="125"/>
  <c r="F247" i="115"/>
  <c r="H242" i="125" s="1"/>
  <c r="I242" i="125" s="1"/>
  <c r="G277" i="125"/>
  <c r="F264" i="115"/>
  <c r="H281" i="125" s="1"/>
  <c r="F258" i="115"/>
  <c r="H275" i="125" s="1"/>
  <c r="I275" i="125" s="1"/>
  <c r="G340" i="125"/>
  <c r="F271" i="115"/>
  <c r="H288" i="125" s="1"/>
  <c r="F267" i="115"/>
  <c r="H284" i="125" s="1"/>
  <c r="G283" i="125"/>
  <c r="F257" i="115"/>
  <c r="H274" i="125" s="1"/>
  <c r="I274" i="125" s="1"/>
  <c r="G322" i="125"/>
  <c r="G330" i="125"/>
  <c r="G333" i="125"/>
  <c r="G282" i="125"/>
  <c r="F275" i="115"/>
  <c r="H292" i="125" s="1"/>
  <c r="G331" i="125"/>
  <c r="D42" i="115"/>
  <c r="G335" i="125"/>
  <c r="G325" i="125"/>
  <c r="F274" i="115"/>
  <c r="H291" i="125" s="1"/>
  <c r="G326" i="125"/>
  <c r="G327" i="125"/>
  <c r="G329" i="125"/>
  <c r="F248" i="115"/>
  <c r="H243" i="125" s="1"/>
  <c r="I243" i="125" s="1"/>
  <c r="H338" i="125"/>
  <c r="I338" i="125" s="1"/>
  <c r="G338" i="125"/>
  <c r="H336" i="125"/>
  <c r="I336" i="125" s="1"/>
  <c r="G336" i="125"/>
  <c r="H337" i="125"/>
  <c r="I337" i="125" s="1"/>
  <c r="G337" i="125"/>
  <c r="H339" i="125"/>
  <c r="I339" i="125" s="1"/>
  <c r="G339" i="125"/>
  <c r="G228" i="125"/>
  <c r="F233" i="115"/>
  <c r="H228" i="125" s="1"/>
  <c r="G234" i="125"/>
  <c r="F239" i="115"/>
  <c r="H234" i="125" s="1"/>
  <c r="I234" i="125" s="1"/>
  <c r="G231" i="125"/>
  <c r="F236" i="115"/>
  <c r="H231" i="125" s="1"/>
  <c r="G244" i="125"/>
  <c r="F249" i="115"/>
  <c r="H244" i="125" s="1"/>
  <c r="I244" i="125" s="1"/>
  <c r="G236" i="125"/>
  <c r="F241" i="115"/>
  <c r="H236" i="125" s="1"/>
  <c r="G227" i="125"/>
  <c r="F232" i="115"/>
  <c r="H227" i="125" s="1"/>
  <c r="I227" i="125" s="1"/>
  <c r="G232" i="125"/>
  <c r="F237" i="115"/>
  <c r="H232" i="125" s="1"/>
  <c r="G230" i="125"/>
  <c r="F235" i="115"/>
  <c r="H230" i="125" s="1"/>
  <c r="G238" i="125"/>
  <c r="F243" i="115"/>
  <c r="H238" i="125" s="1"/>
  <c r="I238" i="125" s="1"/>
  <c r="G229" i="125"/>
  <c r="F234" i="115"/>
  <c r="H229" i="125" s="1"/>
  <c r="G235" i="125"/>
  <c r="F240" i="115"/>
  <c r="H235" i="125" s="1"/>
  <c r="I235" i="125" s="1"/>
  <c r="G233" i="125"/>
  <c r="F238" i="115"/>
  <c r="H233" i="125" s="1"/>
  <c r="G239" i="125"/>
  <c r="F244" i="115"/>
  <c r="H239" i="125" s="1"/>
  <c r="I239" i="125" s="1"/>
  <c r="G241" i="125"/>
  <c r="F246" i="115"/>
  <c r="H241" i="125" s="1"/>
  <c r="G237" i="125"/>
  <c r="F242" i="115"/>
  <c r="H237" i="125" s="1"/>
  <c r="I237" i="125" s="1"/>
  <c r="G226" i="125"/>
  <c r="F231" i="115"/>
  <c r="H226" i="125" s="1"/>
  <c r="I226" i="125" s="1"/>
  <c r="G240" i="125"/>
  <c r="F245" i="115"/>
  <c r="H240" i="125" s="1"/>
  <c r="I240" i="125" s="1"/>
  <c r="C3" i="115"/>
  <c r="C7" i="115"/>
  <c r="D7" i="115" s="1"/>
  <c r="C11" i="115"/>
  <c r="C15" i="115"/>
  <c r="C19" i="115"/>
  <c r="D19" i="115" s="1"/>
  <c r="C12" i="115"/>
  <c r="C4" i="115"/>
  <c r="D4" i="115" s="1"/>
  <c r="C5" i="115"/>
  <c r="C9" i="115"/>
  <c r="C13" i="115"/>
  <c r="C17" i="115"/>
  <c r="C21" i="115"/>
  <c r="C16" i="115"/>
  <c r="C20" i="115"/>
  <c r="D20" i="115" s="1"/>
  <c r="C6" i="115"/>
  <c r="C10" i="115"/>
  <c r="C14" i="115"/>
  <c r="C18" i="115"/>
  <c r="C8" i="115"/>
  <c r="G180" i="125"/>
  <c r="F209" i="115"/>
  <c r="H180" i="125" s="1"/>
  <c r="G194" i="125"/>
  <c r="F223" i="115"/>
  <c r="H194" i="125" s="1"/>
  <c r="G195" i="125"/>
  <c r="H195" i="125"/>
  <c r="G177" i="125"/>
  <c r="F206" i="115"/>
  <c r="H177" i="125" s="1"/>
  <c r="G179" i="125"/>
  <c r="F208" i="115"/>
  <c r="H179" i="125" s="1"/>
  <c r="G189" i="125"/>
  <c r="F218" i="115"/>
  <c r="H189" i="125" s="1"/>
  <c r="G185" i="125"/>
  <c r="F214" i="115"/>
  <c r="H185" i="125" s="1"/>
  <c r="G178" i="125"/>
  <c r="F207" i="115"/>
  <c r="H178" i="125" s="1"/>
  <c r="G190" i="125"/>
  <c r="F219" i="115"/>
  <c r="H190" i="125" s="1"/>
  <c r="G181" i="125"/>
  <c r="F210" i="115"/>
  <c r="H181" i="125" s="1"/>
  <c r="G186" i="125"/>
  <c r="F215" i="115"/>
  <c r="H186" i="125" s="1"/>
  <c r="G183" i="125"/>
  <c r="F212" i="115"/>
  <c r="H183" i="125" s="1"/>
  <c r="G187" i="125"/>
  <c r="F216" i="115"/>
  <c r="H187" i="125" s="1"/>
  <c r="G191" i="125"/>
  <c r="F220" i="115"/>
  <c r="H191" i="125" s="1"/>
  <c r="G192" i="125"/>
  <c r="F221" i="115"/>
  <c r="H192" i="125" s="1"/>
  <c r="I192" i="125" s="1"/>
  <c r="G193" i="125"/>
  <c r="F222" i="115"/>
  <c r="H193" i="125" s="1"/>
  <c r="G182" i="125"/>
  <c r="F211" i="115"/>
  <c r="H182" i="125" s="1"/>
  <c r="G184" i="125"/>
  <c r="F213" i="115"/>
  <c r="H184" i="125" s="1"/>
  <c r="G188" i="125"/>
  <c r="F217" i="115"/>
  <c r="H188" i="125" s="1"/>
  <c r="H340" i="125"/>
  <c r="I340" i="125" s="1"/>
  <c r="H19" i="115"/>
  <c r="D72" i="115"/>
  <c r="H16" i="115"/>
  <c r="B13" i="115"/>
  <c r="G13" i="115" s="1"/>
  <c r="B14" i="115"/>
  <c r="G14" i="115" s="1"/>
  <c r="B10" i="115"/>
  <c r="G10" i="115" s="1"/>
  <c r="H7" i="115"/>
  <c r="H6" i="115"/>
  <c r="H10" i="115"/>
  <c r="H11" i="115"/>
  <c r="H20" i="115"/>
  <c r="B21" i="115"/>
  <c r="G21" i="115" s="1"/>
  <c r="B7" i="115"/>
  <c r="G7" i="115" s="1"/>
  <c r="B11" i="115"/>
  <c r="G11" i="115" s="1"/>
  <c r="H13" i="115"/>
  <c r="H15" i="115"/>
  <c r="B4" i="115"/>
  <c r="G4" i="115" s="1"/>
  <c r="B6" i="115"/>
  <c r="G6" i="115" s="1"/>
  <c r="B9" i="115"/>
  <c r="G9" i="115" s="1"/>
  <c r="H9" i="115"/>
  <c r="H8" i="115"/>
  <c r="H4" i="115"/>
  <c r="H14" i="115"/>
  <c r="B3" i="115"/>
  <c r="G3" i="115" s="1"/>
  <c r="B15" i="115"/>
  <c r="G15" i="115" s="1"/>
  <c r="H21" i="115"/>
  <c r="H18" i="115"/>
  <c r="B17" i="115"/>
  <c r="G17" i="115" s="1"/>
  <c r="B8" i="115"/>
  <c r="G8" i="115" s="1"/>
  <c r="H3" i="115"/>
  <c r="H17" i="115"/>
  <c r="B5" i="115"/>
  <c r="G5" i="115" s="1"/>
  <c r="B12" i="115"/>
  <c r="G12" i="115" s="1"/>
  <c r="B16" i="115"/>
  <c r="G16" i="115" s="1"/>
  <c r="B19" i="115"/>
  <c r="G19" i="115" s="1"/>
  <c r="H12" i="115"/>
  <c r="B18" i="115"/>
  <c r="G18" i="115" s="1"/>
  <c r="H5" i="115"/>
  <c r="B20" i="115"/>
  <c r="G20" i="115" s="1"/>
  <c r="E3" i="115"/>
  <c r="F3" i="115" s="1"/>
  <c r="E42" i="115"/>
  <c r="F42" i="115" s="1"/>
  <c r="E66" i="115"/>
  <c r="F66" i="115" s="1"/>
  <c r="E41" i="115"/>
  <c r="F41" i="115" s="1"/>
  <c r="E69" i="115"/>
  <c r="F69" i="115" s="1"/>
  <c r="E79" i="115"/>
  <c r="F79" i="115" s="1"/>
  <c r="E81" i="115"/>
  <c r="F81" i="115" s="1"/>
  <c r="E70" i="115"/>
  <c r="F70" i="115" s="1"/>
  <c r="E73" i="115"/>
  <c r="F73" i="115" s="1"/>
  <c r="E27" i="115"/>
  <c r="F27" i="115" s="1"/>
  <c r="E30" i="115"/>
  <c r="F30" i="115" s="1"/>
  <c r="E26" i="115"/>
  <c r="F26" i="115" s="1"/>
  <c r="N108" i="115"/>
  <c r="E38" i="115"/>
  <c r="F38" i="115" s="1"/>
  <c r="E48" i="115"/>
  <c r="F48" i="115" s="1"/>
  <c r="E65" i="115"/>
  <c r="F65" i="115" s="1"/>
  <c r="E83" i="115"/>
  <c r="F83" i="115" s="1"/>
  <c r="E35" i="115"/>
  <c r="F35" i="115" s="1"/>
  <c r="E77" i="115"/>
  <c r="F77" i="115" s="1"/>
  <c r="N104" i="115"/>
  <c r="N105" i="115"/>
  <c r="E72" i="115"/>
  <c r="F72" i="115" s="1"/>
  <c r="E29" i="115"/>
  <c r="F29" i="115" s="1"/>
  <c r="E34" i="115"/>
  <c r="F34" i="115" s="1"/>
  <c r="E80" i="115"/>
  <c r="F80" i="115" s="1"/>
  <c r="E75" i="115"/>
  <c r="F75" i="115" s="1"/>
  <c r="E78" i="115"/>
  <c r="F78" i="115" s="1"/>
  <c r="N103" i="115"/>
  <c r="E94" i="115"/>
  <c r="F94" i="115" s="1"/>
  <c r="D94" i="115"/>
  <c r="E67" i="115"/>
  <c r="F67" i="115" s="1"/>
  <c r="E68" i="115"/>
  <c r="F68" i="115" s="1"/>
  <c r="E71" i="115"/>
  <c r="F71" i="115" s="1"/>
  <c r="E64" i="115"/>
  <c r="F64" i="115" s="1"/>
  <c r="E76" i="115"/>
  <c r="F76" i="115" s="1"/>
  <c r="E37" i="115"/>
  <c r="F37" i="115" s="1"/>
  <c r="D37" i="115"/>
  <c r="E32" i="115"/>
  <c r="F32" i="115" s="1"/>
  <c r="E51" i="115"/>
  <c r="F51" i="115" s="1"/>
  <c r="E33" i="115"/>
  <c r="F33" i="115" s="1"/>
  <c r="E44" i="115"/>
  <c r="F44" i="115" s="1"/>
  <c r="E53" i="115"/>
  <c r="F53" i="115" s="1"/>
  <c r="E55" i="115"/>
  <c r="F55" i="115" s="1"/>
  <c r="E93" i="115"/>
  <c r="F93" i="115" s="1"/>
  <c r="E88" i="115"/>
  <c r="F88" i="115" s="1"/>
  <c r="E91" i="115"/>
  <c r="F91" i="115" s="1"/>
  <c r="E50" i="115"/>
  <c r="F50" i="115" s="1"/>
  <c r="E45" i="115"/>
  <c r="F45" i="115" s="1"/>
  <c r="E43" i="115"/>
  <c r="F43" i="115" s="1"/>
  <c r="E46" i="115"/>
  <c r="F46" i="115" s="1"/>
  <c r="E40" i="115"/>
  <c r="F40" i="115" s="1"/>
  <c r="E86" i="115"/>
  <c r="F86" i="115" s="1"/>
  <c r="E89" i="115"/>
  <c r="F89" i="115" s="1"/>
  <c r="E96" i="115"/>
  <c r="F96" i="115" s="1"/>
  <c r="D96" i="115"/>
  <c r="E57" i="115"/>
  <c r="F57" i="115" s="1"/>
  <c r="D57" i="115"/>
  <c r="E36" i="115"/>
  <c r="F36" i="115" s="1"/>
  <c r="E56" i="115"/>
  <c r="F56" i="115" s="1"/>
  <c r="E49" i="115"/>
  <c r="F49" i="115" s="1"/>
  <c r="E28" i="115"/>
  <c r="F28" i="115" s="1"/>
  <c r="E47" i="115"/>
  <c r="F47" i="115" s="1"/>
  <c r="E95" i="115"/>
  <c r="F95" i="115" s="1"/>
  <c r="E85" i="115"/>
  <c r="F85" i="115" s="1"/>
  <c r="E87" i="115"/>
  <c r="F87" i="115" s="1"/>
  <c r="E82" i="115"/>
  <c r="F82" i="115" s="1"/>
  <c r="E74" i="115"/>
  <c r="F74" i="115" s="1"/>
  <c r="E58" i="115"/>
  <c r="F58" i="115" s="1"/>
  <c r="E31" i="115"/>
  <c r="F31" i="115" s="1"/>
  <c r="E54" i="115"/>
  <c r="F54" i="115" s="1"/>
  <c r="E39" i="115"/>
  <c r="F39" i="115" s="1"/>
  <c r="E52" i="115"/>
  <c r="F52" i="115" s="1"/>
  <c r="N106" i="115"/>
  <c r="N109" i="115"/>
  <c r="E90" i="115"/>
  <c r="F90" i="115" s="1"/>
  <c r="E92" i="115"/>
  <c r="F92" i="115" s="1"/>
  <c r="E84" i="115"/>
  <c r="F84" i="115" s="1"/>
  <c r="N110" i="115"/>
  <c r="N107" i="115"/>
  <c r="N115" i="115"/>
  <c r="N118" i="115"/>
  <c r="N124" i="115"/>
  <c r="N111" i="115"/>
  <c r="N121" i="115"/>
  <c r="N125" i="115"/>
  <c r="F125" i="115" s="1"/>
  <c r="N122" i="115"/>
  <c r="N119" i="115"/>
  <c r="N113" i="115"/>
  <c r="N123" i="115"/>
  <c r="N117" i="115"/>
  <c r="N114" i="115"/>
  <c r="N112" i="115"/>
  <c r="N120" i="115"/>
  <c r="N116" i="115"/>
  <c r="L36" i="137"/>
  <c r="K27" i="137"/>
  <c r="K28" i="127"/>
  <c r="F26" i="127"/>
  <c r="K30" i="127"/>
  <c r="F28" i="127"/>
  <c r="J68" i="121"/>
  <c r="J69" i="121" s="1"/>
  <c r="J70" i="121"/>
  <c r="J71" i="121" s="1"/>
  <c r="F102" i="115" l="1"/>
  <c r="I282" i="125"/>
  <c r="H325" i="125"/>
  <c r="I325" i="125" s="1"/>
  <c r="I289" i="125"/>
  <c r="H332" i="125"/>
  <c r="I332" i="125" s="1"/>
  <c r="I285" i="125"/>
  <c r="H328" i="125"/>
  <c r="I328" i="125" s="1"/>
  <c r="I280" i="125"/>
  <c r="H323" i="125"/>
  <c r="I323" i="125" s="1"/>
  <c r="I284" i="125"/>
  <c r="H327" i="125"/>
  <c r="I327" i="125" s="1"/>
  <c r="I286" i="125"/>
  <c r="H329" i="125"/>
  <c r="I329" i="125" s="1"/>
  <c r="I290" i="125"/>
  <c r="H333" i="125"/>
  <c r="I333" i="125" s="1"/>
  <c r="I287" i="125"/>
  <c r="H330" i="125"/>
  <c r="I330" i="125" s="1"/>
  <c r="I291" i="125"/>
  <c r="H334" i="125"/>
  <c r="I334" i="125" s="1"/>
  <c r="I281" i="125"/>
  <c r="H324" i="125"/>
  <c r="I324" i="125" s="1"/>
  <c r="I288" i="125"/>
  <c r="H331" i="125"/>
  <c r="I331" i="125" s="1"/>
  <c r="I283" i="125"/>
  <c r="H326" i="125"/>
  <c r="I326" i="125" s="1"/>
  <c r="I292" i="125"/>
  <c r="H335" i="125"/>
  <c r="I335" i="125" s="1"/>
  <c r="I279" i="125"/>
  <c r="H322" i="125"/>
  <c r="I322" i="125" s="1"/>
  <c r="I229" i="125"/>
  <c r="I230" i="125"/>
  <c r="I232" i="125"/>
  <c r="I228" i="125"/>
  <c r="I233" i="125"/>
  <c r="I241" i="125"/>
  <c r="I236" i="125"/>
  <c r="I231" i="125"/>
  <c r="I191" i="125"/>
  <c r="I193" i="125"/>
  <c r="I195" i="125"/>
  <c r="I194" i="125"/>
  <c r="I189" i="125"/>
  <c r="I187" i="125"/>
  <c r="I178" i="125"/>
  <c r="I183" i="125"/>
  <c r="G143" i="125"/>
  <c r="H143" i="125"/>
  <c r="I143" i="125" s="1"/>
  <c r="G133" i="125"/>
  <c r="H133" i="125"/>
  <c r="I133" i="125" s="1"/>
  <c r="G137" i="125"/>
  <c r="H137" i="125"/>
  <c r="G135" i="125"/>
  <c r="H135" i="125"/>
  <c r="I135" i="125" s="1"/>
  <c r="G140" i="125"/>
  <c r="H140" i="125"/>
  <c r="I140" i="125" s="1"/>
  <c r="E14" i="115"/>
  <c r="F14" i="115" s="1"/>
  <c r="I188" i="125"/>
  <c r="I186" i="125"/>
  <c r="I190" i="125"/>
  <c r="G142" i="125"/>
  <c r="H142" i="125"/>
  <c r="G139" i="125"/>
  <c r="H139" i="125"/>
  <c r="I139" i="125" s="1"/>
  <c r="G130" i="125"/>
  <c r="H130" i="125"/>
  <c r="I130" i="125" s="1"/>
  <c r="G129" i="125"/>
  <c r="H129" i="125"/>
  <c r="I129" i="125" s="1"/>
  <c r="G136" i="125"/>
  <c r="H136" i="125"/>
  <c r="I136" i="125" s="1"/>
  <c r="I182" i="125"/>
  <c r="I137" i="125"/>
  <c r="I180" i="125"/>
  <c r="I184" i="125"/>
  <c r="G147" i="125"/>
  <c r="H147" i="125"/>
  <c r="I147" i="125" s="1"/>
  <c r="G145" i="125"/>
  <c r="H145" i="125"/>
  <c r="I145" i="125" s="1"/>
  <c r="G146" i="125"/>
  <c r="H146" i="125"/>
  <c r="I146" i="125" s="1"/>
  <c r="G132" i="125"/>
  <c r="H132" i="125"/>
  <c r="I132" i="125" s="1"/>
  <c r="I179" i="125"/>
  <c r="I181" i="125"/>
  <c r="I177" i="125"/>
  <c r="I142" i="125"/>
  <c r="I185" i="125"/>
  <c r="G134" i="125"/>
  <c r="H134" i="125"/>
  <c r="I134" i="125" s="1"/>
  <c r="G138" i="125"/>
  <c r="H138" i="125"/>
  <c r="I138" i="125" s="1"/>
  <c r="G141" i="125"/>
  <c r="H141" i="125"/>
  <c r="I141" i="125" s="1"/>
  <c r="G144" i="125"/>
  <c r="H144" i="125"/>
  <c r="I144" i="125" s="1"/>
  <c r="G131" i="125"/>
  <c r="H131" i="125"/>
  <c r="I131" i="125" s="1"/>
  <c r="D13" i="115"/>
  <c r="D5" i="115"/>
  <c r="D21" i="115"/>
  <c r="F147" i="115"/>
  <c r="D3" i="115"/>
  <c r="D14" i="115"/>
  <c r="D18" i="115"/>
  <c r="G45" i="125"/>
  <c r="D9" i="115"/>
  <c r="D6" i="115"/>
  <c r="D10" i="115"/>
  <c r="E10" i="115"/>
  <c r="F10" i="115" s="1"/>
  <c r="E13" i="115"/>
  <c r="F13" i="115" s="1"/>
  <c r="F124" i="115"/>
  <c r="M59" i="137" s="1"/>
  <c r="E12" i="115"/>
  <c r="F12" i="115" s="1"/>
  <c r="D12" i="115"/>
  <c r="E6" i="115"/>
  <c r="F6" i="115" s="1"/>
  <c r="E9" i="115"/>
  <c r="F9" i="115" s="1"/>
  <c r="D15" i="115"/>
  <c r="F109" i="115"/>
  <c r="M44" i="137" s="1"/>
  <c r="P81" i="125"/>
  <c r="G34" i="125"/>
  <c r="P87" i="125"/>
  <c r="G40" i="125"/>
  <c r="P92" i="125"/>
  <c r="P97" i="125"/>
  <c r="G50" i="125"/>
  <c r="E4" i="115"/>
  <c r="F4" i="115" s="1"/>
  <c r="D8" i="115"/>
  <c r="E16" i="115"/>
  <c r="F16" i="115" s="1"/>
  <c r="F137" i="115"/>
  <c r="D16" i="115"/>
  <c r="D17" i="115"/>
  <c r="E7" i="115"/>
  <c r="F7" i="115" s="1"/>
  <c r="E17" i="115"/>
  <c r="F17" i="115" s="1"/>
  <c r="E15" i="115"/>
  <c r="F15" i="115" s="1"/>
  <c r="E11" i="115"/>
  <c r="F11" i="115" s="1"/>
  <c r="E21" i="115"/>
  <c r="F21" i="115" s="1"/>
  <c r="E19" i="115"/>
  <c r="F19" i="115" s="1"/>
  <c r="D11" i="115"/>
  <c r="F111" i="115"/>
  <c r="M46" i="137" s="1"/>
  <c r="E8" i="115"/>
  <c r="F8" i="115" s="1"/>
  <c r="E5" i="115"/>
  <c r="F5" i="115" s="1"/>
  <c r="E18" i="115"/>
  <c r="F18" i="115" s="1"/>
  <c r="E20" i="115"/>
  <c r="F20" i="115" s="1"/>
  <c r="F122" i="115"/>
  <c r="M57" i="137" s="1"/>
  <c r="F116" i="115"/>
  <c r="M51" i="137" s="1"/>
  <c r="F113" i="115"/>
  <c r="M48" i="137" s="1"/>
  <c r="F103" i="115"/>
  <c r="M38" i="137" s="1"/>
  <c r="F145" i="115"/>
  <c r="F142" i="115"/>
  <c r="F131" i="115"/>
  <c r="F110" i="115"/>
  <c r="M45" i="137" s="1"/>
  <c r="F108" i="115"/>
  <c r="M43" i="137" s="1"/>
  <c r="F104" i="115"/>
  <c r="M39" i="137" s="1"/>
  <c r="F105" i="115"/>
  <c r="M40" i="137" s="1"/>
  <c r="F117" i="115"/>
  <c r="M52" i="137" s="1"/>
  <c r="F120" i="115"/>
  <c r="M55" i="137" s="1"/>
  <c r="F115" i="115"/>
  <c r="M50" i="137" s="1"/>
  <c r="F118" i="115"/>
  <c r="M53" i="137" s="1"/>
  <c r="F107" i="115"/>
  <c r="M42" i="137" s="1"/>
  <c r="F119" i="115"/>
  <c r="M54" i="137" s="1"/>
  <c r="F121" i="115"/>
  <c r="M56" i="137" s="1"/>
  <c r="F114" i="115"/>
  <c r="M49" i="137" s="1"/>
  <c r="F106" i="115"/>
  <c r="M41" i="137" s="1"/>
  <c r="F123" i="115"/>
  <c r="M58" i="137" s="1"/>
  <c r="F112" i="115"/>
  <c r="M47" i="137" s="1"/>
  <c r="M60" i="137"/>
  <c r="M37" i="137"/>
  <c r="G90" i="125" l="1"/>
  <c r="H90" i="125"/>
  <c r="G86" i="125"/>
  <c r="H86" i="125"/>
  <c r="G92" i="125"/>
  <c r="H92" i="125"/>
  <c r="I92" i="125" s="1"/>
  <c r="G91" i="125"/>
  <c r="H91" i="125"/>
  <c r="G80" i="125"/>
  <c r="H80" i="125"/>
  <c r="G84" i="125"/>
  <c r="H84" i="125"/>
  <c r="G88" i="125"/>
  <c r="H88" i="125"/>
  <c r="G82" i="125"/>
  <c r="H82" i="125"/>
  <c r="G87" i="125"/>
  <c r="H87" i="125"/>
  <c r="I87" i="125" s="1"/>
  <c r="G96" i="125"/>
  <c r="H96" i="125"/>
  <c r="G81" i="125"/>
  <c r="H81" i="125"/>
  <c r="I81" i="125" s="1"/>
  <c r="G83" i="125"/>
  <c r="H83" i="125"/>
  <c r="G95" i="125"/>
  <c r="H95" i="125"/>
  <c r="I95" i="125" s="1"/>
  <c r="G85" i="125"/>
  <c r="H85" i="125"/>
  <c r="G97" i="125"/>
  <c r="H97" i="125"/>
  <c r="I97" i="125" s="1"/>
  <c r="G94" i="125"/>
  <c r="H94" i="125"/>
  <c r="G93" i="125"/>
  <c r="H93" i="125"/>
  <c r="G98" i="125"/>
  <c r="H98" i="125"/>
  <c r="G89" i="125"/>
  <c r="H89" i="125"/>
  <c r="F135" i="115"/>
  <c r="H38" i="125" s="1"/>
  <c r="I38" i="125" s="1"/>
  <c r="G39" i="125"/>
  <c r="G44" i="125"/>
  <c r="P95" i="125"/>
  <c r="F141" i="115"/>
  <c r="G36" i="125"/>
  <c r="F132" i="115"/>
  <c r="H35" i="125" s="1"/>
  <c r="I35" i="125" s="1"/>
  <c r="G43" i="125"/>
  <c r="F148" i="115"/>
  <c r="F143" i="115"/>
  <c r="G41" i="125"/>
  <c r="G37" i="125"/>
  <c r="G48" i="125"/>
  <c r="P91" i="125"/>
  <c r="P96" i="125"/>
  <c r="G49" i="125"/>
  <c r="H40" i="125"/>
  <c r="I40" i="125" s="1"/>
  <c r="P85" i="125"/>
  <c r="G38" i="125"/>
  <c r="H50" i="125"/>
  <c r="I50" i="125" s="1"/>
  <c r="H48" i="125"/>
  <c r="I48" i="125" s="1"/>
  <c r="P98" i="125"/>
  <c r="G51" i="125"/>
  <c r="O50" i="125"/>
  <c r="P50" i="125" s="1"/>
  <c r="O40" i="125"/>
  <c r="P40" i="125" s="1"/>
  <c r="H45" i="125"/>
  <c r="I45" i="125" s="1"/>
  <c r="P93" i="125"/>
  <c r="G46" i="125"/>
  <c r="P89" i="125"/>
  <c r="G42" i="125"/>
  <c r="P80" i="125"/>
  <c r="G33" i="125"/>
  <c r="H34" i="125"/>
  <c r="I34" i="125" s="1"/>
  <c r="P94" i="125"/>
  <c r="G47" i="125"/>
  <c r="P82" i="125"/>
  <c r="G35" i="125"/>
  <c r="O45" i="125"/>
  <c r="P45" i="125" s="1"/>
  <c r="O34" i="125"/>
  <c r="P34" i="125" s="1"/>
  <c r="F134" i="115"/>
  <c r="P84" i="125"/>
  <c r="P90" i="125"/>
  <c r="F140" i="115"/>
  <c r="F146" i="115"/>
  <c r="F139" i="115"/>
  <c r="F144" i="115"/>
  <c r="P83" i="125"/>
  <c r="F133" i="115"/>
  <c r="P86" i="125"/>
  <c r="F136" i="115"/>
  <c r="F138" i="115"/>
  <c r="P88" i="125"/>
  <c r="E44" i="126"/>
  <c r="E45" i="126" s="1"/>
  <c r="E82" i="126"/>
  <c r="E84" i="126" s="1"/>
  <c r="E80" i="126"/>
  <c r="E81" i="126" s="1"/>
  <c r="E78" i="126"/>
  <c r="E79" i="126" s="1"/>
  <c r="E76" i="126"/>
  <c r="E77" i="126" s="1"/>
  <c r="E74" i="126"/>
  <c r="E75" i="126" s="1"/>
  <c r="E72" i="126"/>
  <c r="E73" i="126" s="1"/>
  <c r="J76" i="126"/>
  <c r="J77" i="126" s="1"/>
  <c r="J74" i="126"/>
  <c r="J75" i="126" s="1"/>
  <c r="J72" i="126"/>
  <c r="J73" i="126" s="1"/>
  <c r="E23" i="123"/>
  <c r="H68" i="123"/>
  <c r="H69" i="123" s="1"/>
  <c r="H66" i="123"/>
  <c r="H67" i="123" s="1"/>
  <c r="J25" i="126"/>
  <c r="E25" i="126"/>
  <c r="E26" i="126" s="1"/>
  <c r="J23" i="126"/>
  <c r="E23" i="126"/>
  <c r="E24" i="126" s="1"/>
  <c r="J21" i="126"/>
  <c r="E21" i="126"/>
  <c r="E22" i="126" s="1"/>
  <c r="I24" i="124"/>
  <c r="D24" i="124"/>
  <c r="D25" i="124" s="1"/>
  <c r="I22" i="124"/>
  <c r="D22" i="124"/>
  <c r="D23" i="124" s="1"/>
  <c r="J47" i="121"/>
  <c r="E47" i="121"/>
  <c r="E48" i="121" s="1"/>
  <c r="J45" i="121"/>
  <c r="E45" i="121"/>
  <c r="E46" i="121" s="1"/>
  <c r="J25" i="121"/>
  <c r="J26" i="121" s="1"/>
  <c r="J23" i="121"/>
  <c r="J24" i="121" s="1"/>
  <c r="E24" i="121"/>
  <c r="A2" i="135"/>
  <c r="A2" i="122"/>
  <c r="L107" i="127"/>
  <c r="G107" i="127"/>
  <c r="L85" i="127"/>
  <c r="K85" i="127"/>
  <c r="G85" i="127"/>
  <c r="N33" i="127"/>
  <c r="I24" i="127"/>
  <c r="L23" i="127"/>
  <c r="G23" i="127"/>
  <c r="A2" i="127"/>
  <c r="N41" i="128"/>
  <c r="N8" i="128"/>
  <c r="L8" i="128"/>
  <c r="A2" i="128"/>
  <c r="J65" i="123"/>
  <c r="C46" i="123"/>
  <c r="C25" i="123"/>
  <c r="A2" i="123"/>
  <c r="K139" i="124"/>
  <c r="J139" i="124"/>
  <c r="F139" i="124"/>
  <c r="E139" i="124"/>
  <c r="K122" i="124"/>
  <c r="J122" i="124"/>
  <c r="F122" i="124"/>
  <c r="E122" i="124"/>
  <c r="F64" i="124"/>
  <c r="K62" i="124"/>
  <c r="F62" i="124"/>
  <c r="K24" i="124"/>
  <c r="F24" i="124"/>
  <c r="F25" i="124" s="1"/>
  <c r="K22" i="124"/>
  <c r="F22" i="124"/>
  <c r="F23" i="124" s="1"/>
  <c r="K21" i="124"/>
  <c r="F21" i="124"/>
  <c r="E21" i="124"/>
  <c r="A2" i="124"/>
  <c r="A2" i="125"/>
  <c r="G82" i="126"/>
  <c r="G80" i="126"/>
  <c r="G81" i="126" s="1"/>
  <c r="L76" i="126"/>
  <c r="L77" i="126" s="1"/>
  <c r="I76" i="126"/>
  <c r="G78" i="126"/>
  <c r="G79" i="126" s="1"/>
  <c r="L74" i="126"/>
  <c r="L75" i="126" s="1"/>
  <c r="I74" i="126"/>
  <c r="G76" i="126"/>
  <c r="G77" i="126" s="1"/>
  <c r="L72" i="126"/>
  <c r="L73" i="126" s="1"/>
  <c r="I72" i="126"/>
  <c r="G74" i="126"/>
  <c r="G75" i="126" s="1"/>
  <c r="G72" i="126"/>
  <c r="G73" i="126" s="1"/>
  <c r="G71" i="126"/>
  <c r="L71" i="126" s="1"/>
  <c r="F71" i="126"/>
  <c r="K71" i="126" s="1"/>
  <c r="G44" i="126"/>
  <c r="G45" i="126" s="1"/>
  <c r="G43" i="126"/>
  <c r="L25" i="126"/>
  <c r="G25" i="126"/>
  <c r="G26" i="126" s="1"/>
  <c r="L23" i="126"/>
  <c r="G23" i="126"/>
  <c r="G24" i="126" s="1"/>
  <c r="L21" i="126"/>
  <c r="G21" i="126"/>
  <c r="G22" i="126" s="1"/>
  <c r="G20" i="126"/>
  <c r="L20" i="126" s="1"/>
  <c r="A2" i="126"/>
  <c r="G67" i="121"/>
  <c r="L47" i="121"/>
  <c r="G47" i="121"/>
  <c r="G48" i="121" s="1"/>
  <c r="L45" i="121"/>
  <c r="G45" i="121"/>
  <c r="G46" i="121" s="1"/>
  <c r="L44" i="121"/>
  <c r="G44" i="121"/>
  <c r="L25" i="121"/>
  <c r="L26" i="121" s="1"/>
  <c r="G24" i="121"/>
  <c r="D24" i="121"/>
  <c r="L23" i="121"/>
  <c r="L24" i="121" s="1"/>
  <c r="G23" i="121"/>
  <c r="G68" i="121" s="1"/>
  <c r="D23" i="121"/>
  <c r="L22" i="121"/>
  <c r="G22" i="121"/>
  <c r="A2" i="121"/>
  <c r="A2" i="134"/>
  <c r="I88" i="125" l="1"/>
  <c r="I90" i="125"/>
  <c r="I89" i="125"/>
  <c r="I93" i="125"/>
  <c r="I83" i="125"/>
  <c r="I96" i="125"/>
  <c r="I84" i="125"/>
  <c r="I86" i="125"/>
  <c r="I94" i="125"/>
  <c r="I91" i="125"/>
  <c r="I98" i="125"/>
  <c r="I85" i="125"/>
  <c r="I82" i="125"/>
  <c r="H51" i="125"/>
  <c r="I51" i="125" s="1"/>
  <c r="O48" i="125"/>
  <c r="P48" i="125" s="1"/>
  <c r="H33" i="125"/>
  <c r="I33" i="125" s="1"/>
  <c r="I80" i="125"/>
  <c r="O44" i="125"/>
  <c r="P44" i="125" s="1"/>
  <c r="H46" i="125"/>
  <c r="I46" i="125" s="1"/>
  <c r="H44" i="125"/>
  <c r="I44" i="125" s="1"/>
  <c r="O41" i="125"/>
  <c r="P41" i="125" s="1"/>
  <c r="H49" i="125"/>
  <c r="I49" i="125" s="1"/>
  <c r="O35" i="125"/>
  <c r="P35" i="125" s="1"/>
  <c r="H41" i="125"/>
  <c r="I41" i="125" s="1"/>
  <c r="O36" i="125"/>
  <c r="P36" i="125" s="1"/>
  <c r="H43" i="125"/>
  <c r="I43" i="125" s="1"/>
  <c r="H47" i="125"/>
  <c r="I47" i="125" s="1"/>
  <c r="O43" i="125"/>
  <c r="P43" i="125" s="1"/>
  <c r="O47" i="125"/>
  <c r="P47" i="125" s="1"/>
  <c r="O33" i="125"/>
  <c r="P33" i="125" s="1"/>
  <c r="O46" i="125"/>
  <c r="P46" i="125" s="1"/>
  <c r="O51" i="125"/>
  <c r="P51" i="125" s="1"/>
  <c r="H39" i="125"/>
  <c r="I39" i="125" s="1"/>
  <c r="O39" i="125"/>
  <c r="P39" i="125" s="1"/>
  <c r="H42" i="125"/>
  <c r="I42" i="125" s="1"/>
  <c r="O37" i="125"/>
  <c r="P37" i="125" s="1"/>
  <c r="H36" i="125"/>
  <c r="I36" i="125" s="1"/>
  <c r="H37" i="125"/>
  <c r="I37" i="125" s="1"/>
  <c r="O42" i="125"/>
  <c r="P42" i="125" s="1"/>
  <c r="O38" i="125"/>
  <c r="P38" i="125" s="1"/>
  <c r="O49" i="125"/>
  <c r="P49" i="125" s="1"/>
  <c r="J22" i="126"/>
  <c r="L46" i="121"/>
  <c r="L24" i="126"/>
  <c r="K23" i="124"/>
  <c r="L48" i="121"/>
  <c r="L22" i="126"/>
  <c r="L26" i="126"/>
  <c r="K25" i="124"/>
  <c r="G83" i="126"/>
  <c r="G84" i="126"/>
  <c r="G25" i="121"/>
  <c r="J24" i="126"/>
  <c r="I23" i="124"/>
  <c r="I25" i="124"/>
  <c r="J48" i="121"/>
  <c r="J46" i="121"/>
  <c r="J26" i="126"/>
  <c r="E83" i="126"/>
  <c r="E43" i="126"/>
  <c r="J67" i="121"/>
  <c r="K67" i="121"/>
  <c r="K68" i="121"/>
  <c r="K69" i="121" s="1"/>
  <c r="K70" i="121"/>
  <c r="K71" i="121" s="1"/>
  <c r="F67" i="121"/>
  <c r="F20" i="126"/>
  <c r="K20" i="126" s="1"/>
  <c r="F43" i="126"/>
  <c r="F107" i="127"/>
  <c r="L41" i="128"/>
  <c r="F23" i="127"/>
  <c r="A3" i="133"/>
  <c r="K22" i="121"/>
  <c r="F44" i="121"/>
  <c r="J21" i="124"/>
  <c r="L33" i="127"/>
  <c r="J62" i="124"/>
  <c r="K23" i="127"/>
  <c r="K107" i="127"/>
  <c r="F22" i="121"/>
  <c r="K44" i="121"/>
  <c r="E62" i="124"/>
  <c r="C24" i="123"/>
  <c r="C45" i="123"/>
  <c r="I65" i="123"/>
  <c r="J41" i="128"/>
  <c r="J22" i="121"/>
  <c r="I21" i="124"/>
  <c r="C44" i="123"/>
  <c r="D64" i="124"/>
  <c r="E23" i="121"/>
  <c r="E22" i="121"/>
  <c r="J44" i="121"/>
  <c r="E20" i="126"/>
  <c r="J20" i="126" s="1"/>
  <c r="E71" i="126"/>
  <c r="J71" i="126" s="1"/>
  <c r="D21" i="124"/>
  <c r="H65" i="123"/>
  <c r="J8" i="128"/>
  <c r="J33" i="127"/>
  <c r="E44" i="121"/>
  <c r="C23" i="123"/>
  <c r="E67" i="121"/>
  <c r="F23" i="121"/>
  <c r="K25" i="121"/>
  <c r="K26" i="121" s="1"/>
  <c r="K23" i="126"/>
  <c r="K76" i="126"/>
  <c r="K77" i="126" s="1"/>
  <c r="K47" i="121"/>
  <c r="F78" i="126"/>
  <c r="F79" i="126" s="1"/>
  <c r="J24" i="124"/>
  <c r="F24" i="121"/>
  <c r="F45" i="121"/>
  <c r="F46" i="121" s="1"/>
  <c r="E22" i="124"/>
  <c r="E23" i="124" s="1"/>
  <c r="F21" i="126"/>
  <c r="F22" i="126" s="1"/>
  <c r="F25" i="126"/>
  <c r="F26" i="126" s="1"/>
  <c r="I66" i="123"/>
  <c r="I67" i="123" s="1"/>
  <c r="F72" i="126"/>
  <c r="F73" i="126" s="1"/>
  <c r="F80" i="126"/>
  <c r="F81" i="126" s="1"/>
  <c r="K45" i="121"/>
  <c r="J22" i="124"/>
  <c r="K21" i="126"/>
  <c r="K25" i="126"/>
  <c r="I68" i="123"/>
  <c r="I69" i="123" s="1"/>
  <c r="K72" i="126"/>
  <c r="K73" i="126" s="1"/>
  <c r="F74" i="126"/>
  <c r="F75" i="126" s="1"/>
  <c r="F82" i="126"/>
  <c r="F84" i="126" s="1"/>
  <c r="K23" i="121"/>
  <c r="K24" i="121" s="1"/>
  <c r="F47" i="121"/>
  <c r="F48" i="121" s="1"/>
  <c r="E24" i="124"/>
  <c r="E25" i="124" s="1"/>
  <c r="F23" i="126"/>
  <c r="F24" i="126" s="1"/>
  <c r="K74" i="126"/>
  <c r="K75" i="126" s="1"/>
  <c r="F76" i="126"/>
  <c r="F77" i="126" s="1"/>
  <c r="K22" i="126" l="1"/>
  <c r="K46" i="121"/>
  <c r="O19" i="128"/>
  <c r="O17" i="128"/>
  <c r="J16" i="128"/>
  <c r="O16" i="128"/>
  <c r="O15" i="128"/>
  <c r="O13" i="128"/>
  <c r="J12" i="128"/>
  <c r="J13" i="128"/>
  <c r="O12" i="128"/>
  <c r="N46" i="127"/>
  <c r="O37" i="127"/>
  <c r="O34" i="127"/>
  <c r="N37" i="127"/>
  <c r="N36" i="127"/>
  <c r="O57" i="127"/>
  <c r="N49" i="127"/>
  <c r="O51" i="127"/>
  <c r="N45" i="127"/>
  <c r="N34" i="127"/>
  <c r="N40" i="127"/>
  <c r="O49" i="127"/>
  <c r="N42" i="127"/>
  <c r="N38" i="127"/>
  <c r="O64" i="127"/>
  <c r="O60" i="127"/>
  <c r="O53" i="127"/>
  <c r="N39" i="127"/>
  <c r="O42" i="127"/>
  <c r="O40" i="127"/>
  <c r="O44" i="127"/>
  <c r="N44" i="127"/>
  <c r="N61" i="127"/>
  <c r="N66" i="127"/>
  <c r="N53" i="127"/>
  <c r="N55" i="127"/>
  <c r="N57" i="127"/>
  <c r="N47" i="127"/>
  <c r="O39" i="127"/>
  <c r="N62" i="127"/>
  <c r="N58" i="127"/>
  <c r="O56" i="127"/>
  <c r="O54" i="127"/>
  <c r="O47" i="127"/>
  <c r="N56" i="127"/>
  <c r="N54" i="127"/>
  <c r="O62" i="127"/>
  <c r="N64" i="127"/>
  <c r="O65" i="127"/>
  <c r="O66" i="127"/>
  <c r="O41" i="127"/>
  <c r="N43" i="127"/>
  <c r="N65" i="127"/>
  <c r="N41" i="127"/>
  <c r="N48" i="127"/>
  <c r="O58" i="127"/>
  <c r="N63" i="127"/>
  <c r="O50" i="127"/>
  <c r="O38" i="127"/>
  <c r="O55" i="127"/>
  <c r="N52" i="127"/>
  <c r="O36" i="127"/>
  <c r="O63" i="127"/>
  <c r="O59" i="127"/>
  <c r="N59" i="127"/>
  <c r="N50" i="127"/>
  <c r="O46" i="127"/>
  <c r="N60" i="127"/>
  <c r="O61" i="127"/>
  <c r="O45" i="127"/>
  <c r="N51" i="127"/>
  <c r="O43" i="127"/>
  <c r="O48" i="127"/>
  <c r="O52" i="127"/>
  <c r="N35" i="127"/>
  <c r="O35" i="127"/>
  <c r="I34" i="127"/>
  <c r="I38" i="127"/>
  <c r="I42" i="127"/>
  <c r="I46" i="127"/>
  <c r="I50" i="127"/>
  <c r="I54" i="127"/>
  <c r="I58" i="127"/>
  <c r="I62" i="127"/>
  <c r="I66" i="127"/>
  <c r="I35" i="127"/>
  <c r="I39" i="127"/>
  <c r="I43" i="127"/>
  <c r="I47" i="127"/>
  <c r="I51" i="127"/>
  <c r="I55" i="127"/>
  <c r="I59" i="127"/>
  <c r="I63" i="127"/>
  <c r="I37" i="127"/>
  <c r="I45" i="127"/>
  <c r="I53" i="127"/>
  <c r="I61" i="127"/>
  <c r="I65" i="127"/>
  <c r="I36" i="127"/>
  <c r="I40" i="127"/>
  <c r="I44" i="127"/>
  <c r="I48" i="127"/>
  <c r="I52" i="127"/>
  <c r="I56" i="127"/>
  <c r="I60" i="127"/>
  <c r="I64" i="127"/>
  <c r="I41" i="127"/>
  <c r="I49" i="127"/>
  <c r="I57" i="127"/>
  <c r="J23" i="124"/>
  <c r="N74" i="128"/>
  <c r="I73" i="128"/>
  <c r="O72" i="128"/>
  <c r="I72" i="128"/>
  <c r="I74" i="128"/>
  <c r="O73" i="128"/>
  <c r="N72" i="128"/>
  <c r="O74" i="128"/>
  <c r="N73" i="128"/>
  <c r="A3" i="126"/>
  <c r="A3" i="137"/>
  <c r="K26" i="126"/>
  <c r="F25" i="121"/>
  <c r="K24" i="126"/>
  <c r="F83" i="126"/>
  <c r="F68" i="121"/>
  <c r="E68" i="121"/>
  <c r="J25" i="124"/>
  <c r="K48" i="121"/>
  <c r="E25" i="121"/>
  <c r="J35" i="127"/>
  <c r="J55" i="127"/>
  <c r="J36" i="127"/>
  <c r="I9" i="128"/>
  <c r="J9" i="128"/>
  <c r="J17" i="128"/>
  <c r="J21" i="128"/>
  <c r="J25" i="128"/>
  <c r="J20" i="128"/>
  <c r="J10" i="128"/>
  <c r="J14" i="128"/>
  <c r="J18" i="128"/>
  <c r="J22" i="128"/>
  <c r="J26" i="128"/>
  <c r="J11" i="128"/>
  <c r="J15" i="128"/>
  <c r="J19" i="128"/>
  <c r="J23" i="128"/>
  <c r="J27" i="128"/>
  <c r="J24" i="128"/>
  <c r="A3" i="128"/>
  <c r="A3" i="134"/>
  <c r="A3" i="122"/>
  <c r="A3" i="127"/>
  <c r="A3" i="123"/>
  <c r="A3" i="121"/>
  <c r="A3" i="124"/>
  <c r="A3" i="125"/>
  <c r="E64" i="124"/>
  <c r="O27" i="128"/>
  <c r="O23" i="128"/>
  <c r="O26" i="128"/>
  <c r="O25" i="128"/>
  <c r="O18" i="128"/>
  <c r="O14" i="128"/>
  <c r="O20" i="128"/>
  <c r="L9" i="128"/>
  <c r="O24" i="128"/>
  <c r="O22" i="128"/>
  <c r="O11" i="128"/>
  <c r="O10" i="128"/>
  <c r="O21" i="128"/>
  <c r="O9" i="128"/>
  <c r="F44" i="126"/>
  <c r="F45" i="126" s="1"/>
  <c r="N17" i="128" l="1"/>
  <c r="N16" i="128"/>
  <c r="N19" i="128"/>
  <c r="J49" i="127"/>
  <c r="J48" i="127"/>
  <c r="J51" i="127"/>
  <c r="N12" i="128"/>
  <c r="N15" i="128"/>
  <c r="K19" i="128"/>
  <c r="K17" i="128"/>
  <c r="K15" i="128"/>
  <c r="K16" i="128"/>
  <c r="K13" i="128"/>
  <c r="K12" i="128"/>
  <c r="I24" i="128"/>
  <c r="I16" i="128"/>
  <c r="I21" i="128"/>
  <c r="I27" i="128"/>
  <c r="I14" i="128"/>
  <c r="I12" i="128"/>
  <c r="I23" i="128"/>
  <c r="I26" i="128"/>
  <c r="I10" i="128"/>
  <c r="I13" i="128"/>
  <c r="I15" i="128"/>
  <c r="I18" i="128"/>
  <c r="I11" i="128"/>
  <c r="I17" i="128"/>
  <c r="I20" i="128"/>
  <c r="I19" i="128"/>
  <c r="I22" i="128"/>
  <c r="I25" i="128"/>
  <c r="K42" i="127"/>
  <c r="J58" i="127"/>
  <c r="K66" i="127"/>
  <c r="J66" i="127"/>
  <c r="K65" i="127"/>
  <c r="J65" i="127"/>
  <c r="K64" i="127"/>
  <c r="J64" i="127"/>
  <c r="J46" i="127"/>
  <c r="J39" i="127"/>
  <c r="J37" i="127"/>
  <c r="J50" i="127"/>
  <c r="J34" i="127"/>
  <c r="J52" i="127"/>
  <c r="J38" i="127"/>
  <c r="J43" i="127"/>
  <c r="J59" i="127"/>
  <c r="J53" i="127"/>
  <c r="J61" i="127"/>
  <c r="J45" i="127"/>
  <c r="J42" i="127"/>
  <c r="J57" i="127"/>
  <c r="J41" i="127"/>
  <c r="J63" i="127"/>
  <c r="J47" i="127"/>
  <c r="J44" i="127"/>
  <c r="J56" i="127"/>
  <c r="J40" i="127"/>
  <c r="J60" i="127"/>
  <c r="J54" i="127"/>
  <c r="J62" i="127"/>
  <c r="K35" i="127"/>
  <c r="L73" i="128"/>
  <c r="M73" i="128"/>
  <c r="J72" i="128"/>
  <c r="K72" i="128"/>
  <c r="J74" i="128"/>
  <c r="K74" i="128"/>
  <c r="J73" i="128"/>
  <c r="K73" i="128"/>
  <c r="K34" i="127"/>
  <c r="K55" i="127"/>
  <c r="K41" i="127"/>
  <c r="N24" i="123"/>
  <c r="O24" i="123" s="1"/>
  <c r="F24" i="123"/>
  <c r="G24" i="123" s="1"/>
  <c r="L24" i="123"/>
  <c r="M24" i="123" s="1"/>
  <c r="D24" i="123"/>
  <c r="E24" i="123" s="1"/>
  <c r="J24" i="123"/>
  <c r="K24" i="123" s="1"/>
  <c r="H24" i="123"/>
  <c r="I24" i="123" s="1"/>
  <c r="K39" i="127"/>
  <c r="K56" i="127"/>
  <c r="K25" i="128"/>
  <c r="K53" i="127"/>
  <c r="K11" i="128"/>
  <c r="K54" i="127"/>
  <c r="K9" i="128"/>
  <c r="K22" i="128"/>
  <c r="K52" i="127"/>
  <c r="K63" i="127"/>
  <c r="K37" i="127"/>
  <c r="K40" i="127"/>
  <c r="K36" i="127"/>
  <c r="K24" i="128"/>
  <c r="K43" i="127"/>
  <c r="K38" i="127"/>
  <c r="K57" i="127"/>
  <c r="K26" i="128"/>
  <c r="K60" i="127"/>
  <c r="K44" i="127"/>
  <c r="K47" i="127"/>
  <c r="K14" i="128"/>
  <c r="K59" i="127"/>
  <c r="K50" i="127"/>
  <c r="K10" i="128"/>
  <c r="K48" i="127"/>
  <c r="K51" i="127"/>
  <c r="K49" i="127"/>
  <c r="K62" i="127"/>
  <c r="K46" i="127"/>
  <c r="K23" i="128"/>
  <c r="K61" i="127"/>
  <c r="K45" i="127"/>
  <c r="K21" i="128"/>
  <c r="K20" i="128"/>
  <c r="K58" i="127"/>
  <c r="K18" i="128"/>
  <c r="I43" i="128"/>
  <c r="I44" i="128"/>
  <c r="I45" i="128"/>
  <c r="I46" i="128"/>
  <c r="I50" i="128"/>
  <c r="I54" i="128"/>
  <c r="I58" i="128"/>
  <c r="I62" i="128"/>
  <c r="I66" i="128"/>
  <c r="I70" i="128"/>
  <c r="J42" i="128"/>
  <c r="J46" i="128"/>
  <c r="J50" i="128"/>
  <c r="J54" i="128"/>
  <c r="J58" i="128"/>
  <c r="J62" i="128"/>
  <c r="J66" i="128"/>
  <c r="J70" i="128"/>
  <c r="I53" i="128"/>
  <c r="I69" i="128"/>
  <c r="I47" i="128"/>
  <c r="I51" i="128"/>
  <c r="I55" i="128"/>
  <c r="I59" i="128"/>
  <c r="I63" i="128"/>
  <c r="I67" i="128"/>
  <c r="I71" i="128"/>
  <c r="J43" i="128"/>
  <c r="J47" i="128"/>
  <c r="J51" i="128"/>
  <c r="J55" i="128"/>
  <c r="J59" i="128"/>
  <c r="J63" i="128"/>
  <c r="J67" i="128"/>
  <c r="J71" i="128"/>
  <c r="I42" i="128"/>
  <c r="I57" i="128"/>
  <c r="I65" i="128"/>
  <c r="J45" i="128"/>
  <c r="J53" i="128"/>
  <c r="J61" i="128"/>
  <c r="J69" i="128"/>
  <c r="I48" i="128"/>
  <c r="I52" i="128"/>
  <c r="I56" i="128"/>
  <c r="I60" i="128"/>
  <c r="I64" i="128"/>
  <c r="I68" i="128"/>
  <c r="J44" i="128"/>
  <c r="J48" i="128"/>
  <c r="J52" i="128"/>
  <c r="J56" i="128"/>
  <c r="J60" i="128"/>
  <c r="J64" i="128"/>
  <c r="J68" i="128"/>
  <c r="I49" i="128"/>
  <c r="I61" i="128"/>
  <c r="J49" i="128"/>
  <c r="J57" i="128"/>
  <c r="J65" i="128"/>
  <c r="K27" i="128"/>
  <c r="O71" i="128"/>
  <c r="O45" i="128"/>
  <c r="O58" i="128"/>
  <c r="O60" i="128"/>
  <c r="N47" i="128"/>
  <c r="O61" i="128"/>
  <c r="N51" i="128"/>
  <c r="O42" i="128"/>
  <c r="N55" i="128"/>
  <c r="O55" i="128"/>
  <c r="N54" i="128"/>
  <c r="N43" i="128"/>
  <c r="O70" i="128"/>
  <c r="N58" i="128"/>
  <c r="N60" i="128"/>
  <c r="O54" i="128"/>
  <c r="N66" i="128"/>
  <c r="O50" i="128"/>
  <c r="N57" i="128"/>
  <c r="N61" i="128"/>
  <c r="O51" i="128"/>
  <c r="O63" i="128"/>
  <c r="O52" i="128"/>
  <c r="N42" i="128"/>
  <c r="N64" i="128"/>
  <c r="O46" i="128"/>
  <c r="N44" i="128"/>
  <c r="N52" i="128"/>
  <c r="N68" i="128"/>
  <c r="N45" i="128"/>
  <c r="N49" i="128"/>
  <c r="N53" i="128"/>
  <c r="N65" i="128"/>
  <c r="O47" i="128"/>
  <c r="O53" i="128"/>
  <c r="O59" i="128"/>
  <c r="O67" i="128"/>
  <c r="N46" i="128"/>
  <c r="O44" i="128"/>
  <c r="N50" i="128"/>
  <c r="N59" i="128"/>
  <c r="O43" i="128"/>
  <c r="O49" i="128"/>
  <c r="N71" i="128"/>
  <c r="O62" i="128"/>
  <c r="O68" i="128"/>
  <c r="O48" i="128"/>
  <c r="N62" i="128"/>
  <c r="O69" i="128"/>
  <c r="N48" i="128"/>
  <c r="N69" i="128"/>
  <c r="O64" i="128"/>
  <c r="N63" i="128"/>
  <c r="N67" i="128"/>
  <c r="O57" i="128"/>
  <c r="O65" i="128"/>
  <c r="N70" i="128"/>
  <c r="N56" i="128"/>
  <c r="O56" i="128"/>
  <c r="O66" i="128"/>
  <c r="N27" i="128"/>
  <c r="L20" i="128"/>
  <c r="N24" i="128"/>
  <c r="N25" i="128"/>
  <c r="L27" i="128"/>
  <c r="N13" i="128"/>
  <c r="N18" i="128"/>
  <c r="L25" i="128"/>
  <c r="N10" i="128"/>
  <c r="N21" i="128"/>
  <c r="L26" i="128"/>
  <c r="L24" i="128"/>
  <c r="N14" i="128"/>
  <c r="N11" i="128"/>
  <c r="N9" i="128"/>
  <c r="N23" i="128"/>
  <c r="L11" i="128"/>
  <c r="L22" i="128"/>
  <c r="M9" i="128"/>
  <c r="L21" i="128"/>
  <c r="L14" i="128"/>
  <c r="L10" i="128"/>
  <c r="N20" i="128"/>
  <c r="N22" i="128"/>
  <c r="L23" i="128"/>
  <c r="N26" i="128"/>
  <c r="L18" i="128"/>
  <c r="L19" i="128" l="1"/>
  <c r="L16" i="128"/>
  <c r="L17" i="128"/>
  <c r="L15" i="128"/>
  <c r="L13" i="128"/>
  <c r="L12" i="128"/>
  <c r="L60" i="127"/>
  <c r="L45" i="127"/>
  <c r="L39" i="127"/>
  <c r="M66" i="127"/>
  <c r="L66" i="127"/>
  <c r="M64" i="127"/>
  <c r="L64" i="127"/>
  <c r="M65" i="127"/>
  <c r="L65" i="127"/>
  <c r="L56" i="127"/>
  <c r="L41" i="127"/>
  <c r="L34" i="127"/>
  <c r="L46" i="127"/>
  <c r="L44" i="127"/>
  <c r="L35" i="127"/>
  <c r="L47" i="127"/>
  <c r="L53" i="127"/>
  <c r="L57" i="127"/>
  <c r="L58" i="127"/>
  <c r="L62" i="127"/>
  <c r="L51" i="127"/>
  <c r="L43" i="127"/>
  <c r="L63" i="127"/>
  <c r="L59" i="127"/>
  <c r="L38" i="127"/>
  <c r="L61" i="127"/>
  <c r="L54" i="127"/>
  <c r="L48" i="127"/>
  <c r="L50" i="127"/>
  <c r="L55" i="127"/>
  <c r="L40" i="127"/>
  <c r="L36" i="127"/>
  <c r="L52" i="127"/>
  <c r="L49" i="127"/>
  <c r="L37" i="127"/>
  <c r="L42" i="127"/>
  <c r="L74" i="128"/>
  <c r="M74" i="128"/>
  <c r="L72" i="128"/>
  <c r="M72" i="128"/>
  <c r="L60" i="128"/>
  <c r="L50" i="128"/>
  <c r="L64" i="128"/>
  <c r="K62" i="128"/>
  <c r="K47" i="128"/>
  <c r="K63" i="128"/>
  <c r="L55" i="128"/>
  <c r="K45" i="128"/>
  <c r="L42" i="128"/>
  <c r="K71" i="128"/>
  <c r="K42" i="128"/>
  <c r="K58" i="128"/>
  <c r="L61" i="128"/>
  <c r="L63" i="128"/>
  <c r="K52" i="128"/>
  <c r="K55" i="128"/>
  <c r="K48" i="128"/>
  <c r="K61" i="128"/>
  <c r="K44" i="128"/>
  <c r="K50" i="128"/>
  <c r="K60" i="128"/>
  <c r="K66" i="128"/>
  <c r="K68" i="128"/>
  <c r="K57" i="128"/>
  <c r="K46" i="128"/>
  <c r="L48" i="128"/>
  <c r="K51" i="128"/>
  <c r="K69" i="128"/>
  <c r="K70" i="128"/>
  <c r="K54" i="128"/>
  <c r="K67" i="128"/>
  <c r="K53" i="128"/>
  <c r="K43" i="128"/>
  <c r="K64" i="128"/>
  <c r="K65" i="128"/>
  <c r="K56" i="128"/>
  <c r="K59" i="128"/>
  <c r="L56" i="128"/>
  <c r="K49" i="128"/>
  <c r="L59" i="128"/>
  <c r="L53" i="128"/>
  <c r="L47" i="128"/>
  <c r="L58" i="128"/>
  <c r="L66" i="128"/>
  <c r="L62" i="128"/>
  <c r="L45" i="128"/>
  <c r="L65" i="128"/>
  <c r="M57" i="127"/>
  <c r="M19" i="128"/>
  <c r="M13" i="128"/>
  <c r="M62" i="127"/>
  <c r="M40" i="127"/>
  <c r="M44" i="127"/>
  <c r="M35" i="127"/>
  <c r="M48" i="127"/>
  <c r="M50" i="127"/>
  <c r="M25" i="128"/>
  <c r="M36" i="127"/>
  <c r="M60" i="127"/>
  <c r="M52" i="127"/>
  <c r="M39" i="127"/>
  <c r="M18" i="128"/>
  <c r="M17" i="128"/>
  <c r="M21" i="128"/>
  <c r="M43" i="127"/>
  <c r="M34" i="127"/>
  <c r="M22" i="128"/>
  <c r="M59" i="127"/>
  <c r="M24" i="128"/>
  <c r="M47" i="127"/>
  <c r="M46" i="127"/>
  <c r="M20" i="128"/>
  <c r="M63" i="127"/>
  <c r="M38" i="127"/>
  <c r="M23" i="128"/>
  <c r="M14" i="128"/>
  <c r="M58" i="127"/>
  <c r="M49" i="127"/>
  <c r="M37" i="127"/>
  <c r="M11" i="128"/>
  <c r="M53" i="127"/>
  <c r="M26" i="128"/>
  <c r="M51" i="127"/>
  <c r="M45" i="127"/>
  <c r="M56" i="127"/>
  <c r="M10" i="128"/>
  <c r="M16" i="128"/>
  <c r="M61" i="127"/>
  <c r="M54" i="127"/>
  <c r="M64" i="128"/>
  <c r="M42" i="127"/>
  <c r="M41" i="127"/>
  <c r="M15" i="128"/>
  <c r="M27" i="128"/>
  <c r="M55" i="127"/>
  <c r="M12" i="128"/>
  <c r="M50" i="128" l="1"/>
  <c r="M61" i="128"/>
  <c r="M60" i="128"/>
  <c r="M42" i="128"/>
  <c r="M55" i="128"/>
  <c r="M63" i="128"/>
  <c r="M48" i="128"/>
  <c r="M56" i="128"/>
  <c r="M44" i="128"/>
  <c r="L44" i="128"/>
  <c r="M71" i="128"/>
  <c r="L71" i="128"/>
  <c r="M49" i="128"/>
  <c r="L49" i="128"/>
  <c r="M70" i="128"/>
  <c r="L70" i="128"/>
  <c r="M57" i="128"/>
  <c r="L57" i="128"/>
  <c r="M68" i="128"/>
  <c r="L68" i="128"/>
  <c r="M69" i="128"/>
  <c r="L69" i="128"/>
  <c r="M52" i="128"/>
  <c r="L52" i="128"/>
  <c r="M43" i="128"/>
  <c r="L43" i="128"/>
  <c r="M46" i="128"/>
  <c r="L46" i="128"/>
  <c r="M67" i="128"/>
  <c r="L67" i="128"/>
  <c r="M51" i="128"/>
  <c r="L51" i="128"/>
  <c r="M54" i="128"/>
  <c r="L54" i="128"/>
  <c r="M59" i="128"/>
  <c r="M65" i="128"/>
  <c r="M47" i="128"/>
  <c r="M53" i="128"/>
  <c r="M66" i="128"/>
  <c r="M62" i="128"/>
  <c r="M45" i="128"/>
  <c r="M58" i="128"/>
</calcChain>
</file>

<file path=xl/sharedStrings.xml><?xml version="1.0" encoding="utf-8"?>
<sst xmlns="http://schemas.openxmlformats.org/spreadsheetml/2006/main" count="20396" uniqueCount="1069">
  <si>
    <t>SI Authorized Hours</t>
  </si>
  <si>
    <t>NSI Authorized Hours</t>
  </si>
  <si>
    <t>Los Angeles</t>
  </si>
  <si>
    <t>Orange</t>
  </si>
  <si>
    <t>Riverside</t>
  </si>
  <si>
    <t>San Bernardino</t>
  </si>
  <si>
    <t>San Diego</t>
  </si>
  <si>
    <t>San Mateo</t>
  </si>
  <si>
    <t>Santa Clara</t>
  </si>
  <si>
    <t>County Size</t>
  </si>
  <si>
    <t>Statewide Total</t>
  </si>
  <si>
    <t>Alameda</t>
  </si>
  <si>
    <t>Large</t>
  </si>
  <si>
    <t>Alpine</t>
  </si>
  <si>
    <t>Amador</t>
  </si>
  <si>
    <t>Small</t>
  </si>
  <si>
    <t>Butte</t>
  </si>
  <si>
    <t>Medium</t>
  </si>
  <si>
    <t>Calaveras</t>
  </si>
  <si>
    <t>Colusa</t>
  </si>
  <si>
    <t>Contra Costa</t>
  </si>
  <si>
    <t>Del Norte</t>
  </si>
  <si>
    <t>El Dorado</t>
  </si>
  <si>
    <t>Fresno</t>
  </si>
  <si>
    <t>Glenn</t>
  </si>
  <si>
    <t>Humboldt</t>
  </si>
  <si>
    <t>Imperial</t>
  </si>
  <si>
    <t>Inyo</t>
  </si>
  <si>
    <t>Kern</t>
  </si>
  <si>
    <t>Kings</t>
  </si>
  <si>
    <t>Lake</t>
  </si>
  <si>
    <t>Lassen</t>
  </si>
  <si>
    <t>Very Large</t>
  </si>
  <si>
    <t>Madera</t>
  </si>
  <si>
    <t>Marin</t>
  </si>
  <si>
    <t>Mariposa</t>
  </si>
  <si>
    <t>Mendocino</t>
  </si>
  <si>
    <t>Merced</t>
  </si>
  <si>
    <t>Modoc</t>
  </si>
  <si>
    <t>Mono</t>
  </si>
  <si>
    <t>Monterey</t>
  </si>
  <si>
    <t>Napa</t>
  </si>
  <si>
    <t>Nevada</t>
  </si>
  <si>
    <t>Placer</t>
  </si>
  <si>
    <t>Plumas</t>
  </si>
  <si>
    <t>Sacramento</t>
  </si>
  <si>
    <t>San Benito</t>
  </si>
  <si>
    <t>San Francisco</t>
  </si>
  <si>
    <t>San Joaquin</t>
  </si>
  <si>
    <t>San Luis Obispo</t>
  </si>
  <si>
    <t>Santa Barbara</t>
  </si>
  <si>
    <t>Santa Cruz</t>
  </si>
  <si>
    <t>Shasta</t>
  </si>
  <si>
    <t>Sierra</t>
  </si>
  <si>
    <t>Siskiyou</t>
  </si>
  <si>
    <t>Solano</t>
  </si>
  <si>
    <t>Sonoma</t>
  </si>
  <si>
    <t>Stanislaus</t>
  </si>
  <si>
    <t>Sutter</t>
  </si>
  <si>
    <t>Tehama</t>
  </si>
  <si>
    <t>Trinity</t>
  </si>
  <si>
    <t>Tulare</t>
  </si>
  <si>
    <t>Tuolumne</t>
  </si>
  <si>
    <t>Ventura</t>
  </si>
  <si>
    <t>Yolo</t>
  </si>
  <si>
    <t>Yuba</t>
  </si>
  <si>
    <t>Authorized Hours</t>
  </si>
  <si>
    <t>Protective Sup. (PS) Auth. Hours</t>
  </si>
  <si>
    <t>Paramedical (PM) Auth. Hours</t>
  </si>
  <si>
    <t>Active/Leave Spouse Providers</t>
  </si>
  <si>
    <t>Active/Leave Parent Providers</t>
  </si>
  <si>
    <t>Active or Leave Ind. Providers</t>
  </si>
  <si>
    <t>Active/Leave Live-In Providers</t>
  </si>
  <si>
    <t xml:space="preserve">Active/Leave Relatives Providers </t>
  </si>
  <si>
    <t>Active/Leave Live-In Relative Prov</t>
  </si>
  <si>
    <t>Very Small</t>
  </si>
  <si>
    <t>Hours in IPO</t>
  </si>
  <si>
    <t>Hours in CFCO</t>
  </si>
  <si>
    <t>Hours in PCSP</t>
  </si>
  <si>
    <t>Hours in     IHSS-R</t>
  </si>
  <si>
    <t>Female</t>
  </si>
  <si>
    <t>Male</t>
  </si>
  <si>
    <t>White</t>
  </si>
  <si>
    <t>Hispanic</t>
  </si>
  <si>
    <t>Asian or Pacific Islander</t>
  </si>
  <si>
    <t>Alaskan Native or American Indian</t>
  </si>
  <si>
    <t>Filipino</t>
  </si>
  <si>
    <t>No Valid Data Reported</t>
  </si>
  <si>
    <t>Amerasian</t>
  </si>
  <si>
    <t>Chinese</t>
  </si>
  <si>
    <t>Cambodian</t>
  </si>
  <si>
    <t>Japanese</t>
  </si>
  <si>
    <t>Korean</t>
  </si>
  <si>
    <t>Samoan</t>
  </si>
  <si>
    <t>Asian Indian</t>
  </si>
  <si>
    <t>Hawaiian</t>
  </si>
  <si>
    <t>Laotian</t>
  </si>
  <si>
    <t>Vietnamese</t>
  </si>
  <si>
    <t>Other</t>
  </si>
  <si>
    <t>County Name</t>
  </si>
  <si>
    <t>ALL</t>
  </si>
  <si>
    <t>Recipient Ethnicity</t>
  </si>
  <si>
    <t>American Sign Language</t>
  </si>
  <si>
    <t>Spanish</t>
  </si>
  <si>
    <t>Cantonese</t>
  </si>
  <si>
    <t>Tagalog</t>
  </si>
  <si>
    <t>Other Non-English</t>
  </si>
  <si>
    <t>English</t>
  </si>
  <si>
    <t>Other Sign Language</t>
  </si>
  <si>
    <t>Mandarin</t>
  </si>
  <si>
    <t>Other Chinese Languages</t>
  </si>
  <si>
    <t>Armenian</t>
  </si>
  <si>
    <t>Ilocano</t>
  </si>
  <si>
    <t>Mien</t>
  </si>
  <si>
    <t>Hmong</t>
  </si>
  <si>
    <t>Lao</t>
  </si>
  <si>
    <t>Turkish</t>
  </si>
  <si>
    <t>Hebrew</t>
  </si>
  <si>
    <t>French</t>
  </si>
  <si>
    <t>Polish</t>
  </si>
  <si>
    <t>Russian</t>
  </si>
  <si>
    <t>Portuguese</t>
  </si>
  <si>
    <t>Italian</t>
  </si>
  <si>
    <t>Arabic</t>
  </si>
  <si>
    <t>Thai</t>
  </si>
  <si>
    <t>Farsi</t>
  </si>
  <si>
    <t>Statewide</t>
  </si>
  <si>
    <t>N/A</t>
  </si>
  <si>
    <t>County Sizes</t>
  </si>
  <si>
    <t>Black</t>
  </si>
  <si>
    <t>Dressing</t>
  </si>
  <si>
    <t>Ambulation</t>
  </si>
  <si>
    <t>Transfer</t>
  </si>
  <si>
    <t>Feeding</t>
  </si>
  <si>
    <t>Domestic Services</t>
  </si>
  <si>
    <t>Laundry</t>
  </si>
  <si>
    <t>Shopping for Food</t>
  </si>
  <si>
    <t>Medical Accompaniment</t>
  </si>
  <si>
    <t>Spoken Language</t>
  </si>
  <si>
    <t>0-17 yrs  (Minors)</t>
  </si>
  <si>
    <t>45 to 64 yrs</t>
  </si>
  <si>
    <t>65 to 74 yrs</t>
  </si>
  <si>
    <t>75 to 84 yrs</t>
  </si>
  <si>
    <t>85+ yrs</t>
  </si>
  <si>
    <t>18-44 yrs</t>
  </si>
  <si>
    <t>Live-In Providers</t>
  </si>
  <si>
    <t>Spouse Providers</t>
  </si>
  <si>
    <t>Parent Providers</t>
  </si>
  <si>
    <t>Relative Providers</t>
  </si>
  <si>
    <t>Meal Prep</t>
  </si>
  <si>
    <t>Meal Clean</t>
  </si>
  <si>
    <t>Shop Food</t>
  </si>
  <si>
    <t>Other Errands</t>
  </si>
  <si>
    <t>Med Accomp</t>
  </si>
  <si>
    <t>Bowl Bladder</t>
  </si>
  <si>
    <t>Dressing Hours</t>
  </si>
  <si>
    <t>Menstrual Care</t>
  </si>
  <si>
    <t>Menstrual Care Hours</t>
  </si>
  <si>
    <t>Ambulation Hours</t>
  </si>
  <si>
    <t>Transfer Hours</t>
  </si>
  <si>
    <t>Bath Oral Hyg</t>
  </si>
  <si>
    <t>Bath Oral Hyg Hours</t>
  </si>
  <si>
    <t>Rub Skin</t>
  </si>
  <si>
    <t>Rub Skin Hours</t>
  </si>
  <si>
    <t>Care Prosthetic</t>
  </si>
  <si>
    <t>Care Prosthetic Hours</t>
  </si>
  <si>
    <t>Routing Bed Bath</t>
  </si>
  <si>
    <t>Routing Bed Bath Hours</t>
  </si>
  <si>
    <t>Other Errands Hours</t>
  </si>
  <si>
    <t>Respiration</t>
  </si>
  <si>
    <t>Respiration Hours</t>
  </si>
  <si>
    <t>Bowl Bladder Hours</t>
  </si>
  <si>
    <t>Domestic Services Hours</t>
  </si>
  <si>
    <t>Feeding Hours</t>
  </si>
  <si>
    <t>Laundry Hours</t>
  </si>
  <si>
    <t>Meal Clean Hours</t>
  </si>
  <si>
    <t>Meal Prep Hours</t>
  </si>
  <si>
    <t>Medical Accomp Hours</t>
  </si>
  <si>
    <t>Shop Food Hours</t>
  </si>
  <si>
    <t>Meal Clean Up</t>
  </si>
  <si>
    <t>Other Shopping/Errands</t>
  </si>
  <si>
    <t>Restaurant Meal Allowance</t>
  </si>
  <si>
    <t>Bowel &amp; Bladder Care</t>
  </si>
  <si>
    <t>Routine Bed Baths</t>
  </si>
  <si>
    <t>Bathing, Oral Hygiene &amp; Grooming</t>
  </si>
  <si>
    <t>Repositioning &amp; Rubbing Skin</t>
  </si>
  <si>
    <t>Accompaniment to Alt Resources</t>
  </si>
  <si>
    <t>Heavy Cleaning</t>
  </si>
  <si>
    <t>Yard Hazard Abatement</t>
  </si>
  <si>
    <t>Snow &amp; Ice Removal</t>
  </si>
  <si>
    <t>Teaching &amp; Demonstration</t>
  </si>
  <si>
    <t>Accomp Alt Res</t>
  </si>
  <si>
    <t>Accomp Alt Res Hours</t>
  </si>
  <si>
    <t>Heavy Clean</t>
  </si>
  <si>
    <t>Heavy Clean Hours</t>
  </si>
  <si>
    <t>Yard Hazard</t>
  </si>
  <si>
    <t>Yard Hazard Hours</t>
  </si>
  <si>
    <t>Snow Ice Remove</t>
  </si>
  <si>
    <t>Snow Ice Remove Hours</t>
  </si>
  <si>
    <t>Teach Demo</t>
  </si>
  <si>
    <t>Teach Demo Hours</t>
  </si>
  <si>
    <t>Restaurant Meal</t>
  </si>
  <si>
    <t>Provider Spoken - American Sign Language</t>
  </si>
  <si>
    <t>Provider Spoken - Spanish</t>
  </si>
  <si>
    <t>Provider Spoken - Cantonese</t>
  </si>
  <si>
    <t>Provider Spoken - Japanese</t>
  </si>
  <si>
    <t>Provider Spoken - Korean</t>
  </si>
  <si>
    <t>Provider Spoken - Tagalog</t>
  </si>
  <si>
    <t>Provider Spoken - Other Non-English</t>
  </si>
  <si>
    <t>Provider Spoken - English</t>
  </si>
  <si>
    <t>Provider Spoken - No Valid Data Reported</t>
  </si>
  <si>
    <t>Provider Spoken - Other Sign Language</t>
  </si>
  <si>
    <t>Provider Spoken - Mandarin</t>
  </si>
  <si>
    <t>Provider Spoken - Other Chinese Languages</t>
  </si>
  <si>
    <t>Provider Spoken - Cambodian</t>
  </si>
  <si>
    <t>Provider Spoken - Armenian</t>
  </si>
  <si>
    <t>Provider Spoken - Ilocano</t>
  </si>
  <si>
    <t>Provider Spoken - Mien</t>
  </si>
  <si>
    <t>Provider Spoken - Hmong</t>
  </si>
  <si>
    <t>Provider Spoken - Lao</t>
  </si>
  <si>
    <t>Provider Spoken - Turkish</t>
  </si>
  <si>
    <t>Provider Spoken - Hebrew</t>
  </si>
  <si>
    <t>Provider Spoken - French</t>
  </si>
  <si>
    <t>Provider Spoken - Polish</t>
  </si>
  <si>
    <t>Provider Spoken - Russian</t>
  </si>
  <si>
    <t>Provider Spoken - Portuguese</t>
  </si>
  <si>
    <t>Provider Spoken - Italian</t>
  </si>
  <si>
    <t>Provider Spoken - Arabic</t>
  </si>
  <si>
    <t>Provider Spoken - Samoan</t>
  </si>
  <si>
    <t>Provider Spoken - Thai</t>
  </si>
  <si>
    <t>Provider Spoken - Farsi</t>
  </si>
  <si>
    <t>Provider Spoken - Vietnamese</t>
  </si>
  <si>
    <t>Non-Severely Impaired (NSI) Recipients</t>
  </si>
  <si>
    <t>Protective Sup. (PS) Recipients</t>
  </si>
  <si>
    <t>Paramedical (PM) Recipients</t>
  </si>
  <si>
    <t>Recipients that Entered IHSS as "Aged"</t>
  </si>
  <si>
    <t>Hours for Recipients that Entered IHSS as "Aged"</t>
  </si>
  <si>
    <t>Recipients that Entered IHSS as "Blind"</t>
  </si>
  <si>
    <t>Hours for Recipients that Entered IHSS as "Blind"</t>
  </si>
  <si>
    <t>Recipients that Entered IHSS as "Disabled"</t>
  </si>
  <si>
    <t>Hours for Recipients that Entered IHSS as "Disabled"</t>
  </si>
  <si>
    <t>Recipients in PCSP</t>
  </si>
  <si>
    <t>Recipients in CFCO</t>
  </si>
  <si>
    <t>Recipients in IPO</t>
  </si>
  <si>
    <t>Recipients in     IHSS-R</t>
  </si>
  <si>
    <t>0-17 Age Group (Minors) Recipients</t>
  </si>
  <si>
    <t>18-44 Age Group Recipients</t>
  </si>
  <si>
    <t>45 to 64 Age Group Recipients</t>
  </si>
  <si>
    <t>65 to 74 Age Group Recipients</t>
  </si>
  <si>
    <t>75 to 84 Age Group Recipients</t>
  </si>
  <si>
    <t>85+ Age Group Recipients</t>
  </si>
  <si>
    <t>Authorized Hours per Recipient</t>
  </si>
  <si>
    <t>SI Recipients</t>
  </si>
  <si>
    <t>NSI Recipients</t>
  </si>
  <si>
    <t>% of Total Providers</t>
  </si>
  <si>
    <t>Recipients</t>
  </si>
  <si>
    <t>Avg Hours per Recipient</t>
  </si>
  <si>
    <t>SI Recipient Hours</t>
  </si>
  <si>
    <t>NSI Recipient Hours</t>
  </si>
  <si>
    <t>PM Recipients Hours</t>
  </si>
  <si>
    <t>PS Recipients</t>
  </si>
  <si>
    <t>PM Recipients</t>
  </si>
  <si>
    <t>PS Recipients Hours</t>
  </si>
  <si>
    <t>Aged Recipients</t>
  </si>
  <si>
    <t>Aged Recipient Hours</t>
  </si>
  <si>
    <t>Blind Recipients</t>
  </si>
  <si>
    <t>Blind Recipient Hours</t>
  </si>
  <si>
    <t>Disabled Recipients</t>
  </si>
  <si>
    <t>Disabled Recipient Hours</t>
  </si>
  <si>
    <t xml:space="preserve">Total Providers </t>
  </si>
  <si>
    <t>% of Total Recipients</t>
  </si>
  <si>
    <t>Recipients in IHSS-R</t>
  </si>
  <si>
    <t>County Support</t>
  </si>
  <si>
    <t>Large Font Timesheet</t>
  </si>
  <si>
    <t>Audio CD</t>
  </si>
  <si>
    <t>Braille Documents</t>
  </si>
  <si>
    <t>Data CD</t>
  </si>
  <si>
    <t>Large Font NOA</t>
  </si>
  <si>
    <t>Cases Self-Identifying as BVI in CMIPS</t>
  </si>
  <si>
    <t>Total BVI Recipients</t>
  </si>
  <si>
    <t>No Accommodation Needed</t>
  </si>
  <si>
    <t>Recipient Ranking</t>
  </si>
  <si>
    <t>Provider Ranking</t>
  </si>
  <si>
    <t>Providers</t>
  </si>
  <si>
    <t>Wage Rate (Hourly)</t>
  </si>
  <si>
    <t>Care of/Assistance Prosthetic Devices</t>
  </si>
  <si>
    <t>Severly Impaired</t>
  </si>
  <si>
    <t>Non-Severly Impaired</t>
  </si>
  <si>
    <t>Recipient</t>
  </si>
  <si>
    <t>Key Term(s)</t>
  </si>
  <si>
    <t>Provider</t>
  </si>
  <si>
    <t>Live-In Provider</t>
  </si>
  <si>
    <t>Aged, Blind, or Disabled</t>
  </si>
  <si>
    <t>Blind and Visually Impaired</t>
  </si>
  <si>
    <t>BVI Timesheet Delivery Options</t>
  </si>
  <si>
    <t>IHSS Programs</t>
  </si>
  <si>
    <t>IHSS Services</t>
  </si>
  <si>
    <t>Age Groups</t>
  </si>
  <si>
    <t>Wage Rate</t>
  </si>
  <si>
    <t>% of Total BVI Recipients</t>
  </si>
  <si>
    <t>Authorized Recipients</t>
  </si>
  <si>
    <t>Guamanian</t>
  </si>
  <si>
    <t>Notice of Action (NOA)</t>
  </si>
  <si>
    <t>% of Total Recip</t>
  </si>
  <si>
    <t>Avg. Auth. PS Hours per Recipient</t>
  </si>
  <si>
    <t>Avg. Auth. PM Hours per Recipient</t>
  </si>
  <si>
    <t>Avg. Auth. Hours per Recipient</t>
  </si>
  <si>
    <t>Avg. Auth. Hours Per Recipient</t>
  </si>
  <si>
    <t>Severely Impaired (SI) Recipients</t>
  </si>
  <si>
    <t>Aged, Blind, or Disabled Page</t>
  </si>
  <si>
    <t>Provider Details Page</t>
  </si>
  <si>
    <t>All Data Page</t>
  </si>
  <si>
    <t>Table 2: Aged, Blind, or Disabled: Recipient Auth. Hours &amp; Avg. Auth. Hours per Recipient</t>
  </si>
  <si>
    <t>End of Appendix and Key Terms, return to Page selection</t>
  </si>
  <si>
    <t>Table 4: Personal Care Services: Recipient Auth. Hours &amp; Avg. Auth. Hours per Recipient</t>
  </si>
  <si>
    <t>Table 6: Domestic and Related Services: Recipient Authorized Hours &amp; Hours per Recipient</t>
  </si>
  <si>
    <t>Table 8: One-Time Services: Recipient Authorized Hours</t>
  </si>
  <si>
    <t>Table 1: Recipients:  Age by Groups</t>
  </si>
  <si>
    <t>Table 2: Recipients: Spoken Language: Recipients &amp; Percent (%) of Total Recipients</t>
  </si>
  <si>
    <t>Table 1: Recipients: Ethnicity: Recipients &amp; Percent of Total Recipients</t>
  </si>
  <si>
    <t>Table 4: Blind And Visually Impaired (BVI) Notice of Action (NOA) Delivery Options: Recipients &amp; Percent  of Total BVI Recipients</t>
  </si>
  <si>
    <t>Table 5: Blind And Visually Impaired (BVI) Timesheet Options: Recipients &amp; Percent of Total BVI Recipients</t>
  </si>
  <si>
    <t>Table 1: Aged, Blind, or Disabled: Recipients &amp; Percent of Total Recipient</t>
  </si>
  <si>
    <t>Table 3: Blind And Visually Impaired (BVI): Recipients &amp; Percent of Total Recipient</t>
  </si>
  <si>
    <t>Table 3: Personal Care Services: Recipients &amp; Percentage of Total Recipients</t>
  </si>
  <si>
    <t>Table 5: Domestic and Related Services: Recipients &amp; Percentage of Total Recipients</t>
  </si>
  <si>
    <t>Table 7: One-Time Services: Percent of Total Recipients</t>
  </si>
  <si>
    <t>Table 2: Providers: Relative, Spouse, or Parent: Providers &amp; Percent of Total Providers</t>
  </si>
  <si>
    <t>Table 1: Providers: Live-In: Providers &amp; Percent of Total Providers</t>
  </si>
  <si>
    <t>End of tables, return to page selection</t>
  </si>
  <si>
    <t>Table 1</t>
  </si>
  <si>
    <t>Table 2</t>
  </si>
  <si>
    <t>Table 3</t>
  </si>
  <si>
    <t>Table 4</t>
  </si>
  <si>
    <t>Table 5</t>
  </si>
  <si>
    <t>Table 6</t>
  </si>
  <si>
    <t>Table 7</t>
  </si>
  <si>
    <t>Table 8</t>
  </si>
  <si>
    <t>Table 9</t>
  </si>
  <si>
    <t>IHSS Programs: Recipients &amp; Percent of Total Recipients</t>
  </si>
  <si>
    <t>Personal Care Services: Recipients &amp; Percentage of Total Recipients</t>
  </si>
  <si>
    <t>Domestic and Related Services: Recipients &amp; Percentage of Total Recipients</t>
  </si>
  <si>
    <t>Domestic and Related Services: Recipient Authorized Hours &amp; Hours per Recipient</t>
  </si>
  <si>
    <t>One-Time Services: Percent of Total Recipients</t>
  </si>
  <si>
    <t>One-Time Services: Recipient Authorized Hours</t>
  </si>
  <si>
    <t>Contains three tables</t>
  </si>
  <si>
    <t>All County Data</t>
  </si>
  <si>
    <t>Data by County Size</t>
  </si>
  <si>
    <t>Recipient Overall: Authorized Hours &amp; Average Authorized Hours per Recipient</t>
  </si>
  <si>
    <t>Aged, Blind, or Disabled: Recipient Authorized Hours &amp; Average Authorized Hours per Recipient</t>
  </si>
  <si>
    <t>Personal Care Services: Recipient Authorized Hours &amp; Average Authorized Hours per Recipient</t>
  </si>
  <si>
    <t>Blind And Visually Impaired Notice of Action (NOA) Delivery Options: Recipients &amp; Percent of Total BVI Recipients</t>
  </si>
  <si>
    <t>Blind And Visually Impaired Timesheet Options: Recipients &amp; Percent  of Total BVI Recipients</t>
  </si>
  <si>
    <t>Recipients: Age by Groups</t>
  </si>
  <si>
    <t>Contains ten charts</t>
  </si>
  <si>
    <t>General Data page (current page): click this hyperlink to the Navigation table to review tables in the General Data page.  To select a county for review, go to the hyperlink in cell A2, you will be sent to the Navigation page cell A2 where you can use the drop down list and select the desired county to be reviewed.</t>
  </si>
  <si>
    <t>All Data page (current page): select the hyperlink to the Navigation table, in cell A1, to review tables in the All Data page.  To select a county for review, go to the hyperlink in cell A2, you will be sent to the Navigation page cell A2 where you can use the drop down list and select the desired county to be reviewed.</t>
  </si>
  <si>
    <t>Aged, Blind, or Disabled page (current page): select the hyperlink to the Navigation table, in cell A1, to review tables in the Aged, Blind, or Disabled page.  To select a county for review, go to the hyperlink in cell A2, you will be sent to the Navigation page cell A2 where you can use the drop down list and select the desired county to be reviewed.</t>
  </si>
  <si>
    <t>IHSS Services page (current page): select the hyperlink to the Navigation table, in cell A1, to review tables in the IHSS Services page.  To select a county for review, go to the hyperlink in cell A2, you will be sent to the Navigation page cell A2 where you can use the drop down list and select the desired county to be reviewed.</t>
  </si>
  <si>
    <t>Provider Details page (current page): select the hyperlink to the Navigation table, in cell A1, to review tables in the Provider Details page.  To select a county for review, go to the hyperlink in cell A2, you will be sent to the Navigation page cell A2 where you can use the drop down list and select the desired county to be reviewed.</t>
  </si>
  <si>
    <t>Table 1: Aged, Blind, or Disabled
Recipients &amp; Percent (%) of Total Recipient</t>
  </si>
  <si>
    <t>Table 2: Aged, Blind, or Disabled 
Recipient Auth. Hours &amp; Avg. Auth. Hours per Recipient</t>
  </si>
  <si>
    <t>Table 3: Blind And Visually Impaired (BVI) 
Recipients &amp; Percent (%) of Total Recipient</t>
  </si>
  <si>
    <t>Table 4: Blind And Visually Impaired (BVI) Notice of Action (NOA) Delivery Options: Recipients &amp; Percent (%) of Total BVI Recipients</t>
  </si>
  <si>
    <t>Table 5: Blind And Visually Impaired (BVI) Timesheet Options
Recipients &amp; Percent (%) of Total BVI Recipients</t>
  </si>
  <si>
    <t>Table 3: Personal Care Services
Recipients &amp; Percentage (%) of Total Recipients</t>
  </si>
  <si>
    <t>Table 4: Personal Care Services
Recipient Auth. Hours &amp; Avg. Auth. Hours per Recipient</t>
  </si>
  <si>
    <t>Table 5: Domestic and Related Services 
Recipients &amp; Percentage (%) of Total Recipients</t>
  </si>
  <si>
    <t>Table 6: Domestic and Related Services
Recipient Authorized Hours &amp; Hours per Recipient</t>
  </si>
  <si>
    <t>Table 7: One-Time Services
Percent (%) of Total Recipients</t>
  </si>
  <si>
    <t>Table 8: One-Time Services
Recipient Authorized Hours</t>
  </si>
  <si>
    <t>Table 1: Recipients:  Age by Groups
Recipients &amp; Percentage (%) of Total Recipients</t>
  </si>
  <si>
    <t>Table 1: Recipients: Ethnicity 
Recipients &amp; Percent (%) of Total Recipients</t>
  </si>
  <si>
    <t>Table 2: Recipients: Spoken Language
Recipients &amp; Percent (%) of Total Recipients</t>
  </si>
  <si>
    <t>Table 1: Providers: Live-In 
Providers &amp; Percent (%) of Total Providers</t>
  </si>
  <si>
    <t>Table 2: Providers: Relative, Spouse, or Parent
Providers &amp; Percent (%) of Total Providers</t>
  </si>
  <si>
    <t>Table 3: Providers: Spoken Language
Providers &amp; Percent (%) of Total Providers</t>
  </si>
  <si>
    <t>Navigation Table</t>
  </si>
  <si>
    <t>Dashboard Page</t>
  </si>
  <si>
    <t>Overview of the data in this file.  All chart data is found on the appropriate page</t>
  </si>
  <si>
    <t>Table 3: Providers: Spoken Language: Providers &amp; Percent of Total Providers.  Note: A provider is not required to state their spoken language.</t>
  </si>
  <si>
    <t>Declined/No Valid Data</t>
  </si>
  <si>
    <t>&lt;11 indicates a value of 10 or less within the county</t>
  </si>
  <si>
    <t>0-17 Age Group (Minors) Hours</t>
  </si>
  <si>
    <t>18-44 Age Group Hours</t>
  </si>
  <si>
    <t>45 to 64 Age Group Hours</t>
  </si>
  <si>
    <t>65 to 74 Age Group Hours</t>
  </si>
  <si>
    <t>75 to 84 Age Group Hours</t>
  </si>
  <si>
    <t>85+ Age Group Hours</t>
  </si>
  <si>
    <t>New Applications  (Month)</t>
  </si>
  <si>
    <t>Application Denials Days 0-45</t>
  </si>
  <si>
    <t>Application Denials Days 46-91</t>
  </si>
  <si>
    <t>Application Denials Days 90+</t>
  </si>
  <si>
    <t>Application Denials Monthly Denials</t>
  </si>
  <si>
    <t>New Applications Received</t>
  </si>
  <si>
    <t>Application Denials (Total)</t>
  </si>
  <si>
    <t>% of Denials</t>
  </si>
  <si>
    <t>Denied within 0-45 Days</t>
  </si>
  <si>
    <t>Reassessments</t>
  </si>
  <si>
    <t>Table 5: Providers: Electronic Funds Transfer (EFT) &amp; 
Percent (%) of Total Providers</t>
  </si>
  <si>
    <t>Providers Using EFT</t>
  </si>
  <si>
    <t>Total Violations</t>
  </si>
  <si>
    <t>% of Provider Exemptions</t>
  </si>
  <si>
    <t>% of Provider Violations</t>
  </si>
  <si>
    <t>With Single Recipient</t>
  </si>
  <si>
    <t>Travel</t>
  </si>
  <si>
    <t>With Multiple Recipients</t>
  </si>
  <si>
    <t>Total Exemptions</t>
  </si>
  <si>
    <t>Parent Provider</t>
  </si>
  <si>
    <t>Extraordinary Circumstance</t>
  </si>
  <si>
    <t>Act (FLSA)</t>
  </si>
  <si>
    <t>Fair Labor Standards</t>
  </si>
  <si>
    <t>Overtime (OT)</t>
  </si>
  <si>
    <t>Table 2: Recipients:  Auth. Hours by Age Groups
Recipients &amp; Avg. Auth. Hours per  Recipient</t>
  </si>
  <si>
    <t>Table 3: Recipients:  Gender
Recipients &amp; Percentage (%) of Total Recipients</t>
  </si>
  <si>
    <t>Denied Applications</t>
  </si>
  <si>
    <t>Denied within 46-90 Days</t>
  </si>
  <si>
    <t>Denied over 90 Days</t>
  </si>
  <si>
    <t>New Applications</t>
  </si>
  <si>
    <t>Reassessment Rate</t>
  </si>
  <si>
    <t>New Applications: Applications Received  (Current Month)</t>
  </si>
  <si>
    <t>Denied Applications (Previous 90 Days): (Processing Time for a Denied Application)</t>
  </si>
  <si>
    <r>
      <rPr>
        <b/>
        <sz val="12"/>
        <color theme="4" tint="-0.499984740745262"/>
        <rFont val="Arial"/>
        <family val="2"/>
      </rPr>
      <t>Severely Impaired (SI)</t>
    </r>
    <r>
      <rPr>
        <sz val="12"/>
        <color theme="1"/>
        <rFont val="Arial"/>
        <family val="2"/>
      </rPr>
      <t>: Recipients are considered severely impaired if they have 195 or more hours in the IHSS Program.</t>
    </r>
  </si>
  <si>
    <r>
      <rPr>
        <b/>
        <sz val="12"/>
        <color theme="4" tint="-0.499984740745262"/>
        <rFont val="Arial"/>
        <family val="2"/>
      </rPr>
      <t>Non-Severely Impaired (NSI)</t>
    </r>
    <r>
      <rPr>
        <sz val="12"/>
        <color theme="1"/>
        <rFont val="Arial"/>
        <family val="2"/>
      </rPr>
      <t>:  Recipients are considered non-severely impaired if they have under 195 hours in the IHSS Program.</t>
    </r>
  </si>
  <si>
    <r>
      <rPr>
        <b/>
        <sz val="12"/>
        <color theme="4" tint="-0.499984740745262"/>
        <rFont val="Arial"/>
        <family val="2"/>
      </rPr>
      <t>Live-In Provider</t>
    </r>
    <r>
      <rPr>
        <sz val="12"/>
        <color theme="1"/>
        <rFont val="Arial"/>
        <family val="2"/>
      </rPr>
      <t>: Providers that share an address with the recipient(s) to whom they are providing services.</t>
    </r>
  </si>
  <si>
    <r>
      <rPr>
        <b/>
        <sz val="12"/>
        <color theme="4" tint="-0.499984740745262"/>
        <rFont val="Arial"/>
        <family val="2"/>
      </rPr>
      <t>Wage Rate</t>
    </r>
    <r>
      <rPr>
        <sz val="12"/>
        <color theme="1"/>
        <rFont val="Arial"/>
        <family val="2"/>
      </rPr>
      <t>: The wage rate approved for the individual providers for each county.</t>
    </r>
  </si>
  <si>
    <r>
      <rPr>
        <b/>
        <sz val="12"/>
        <color theme="4" tint="-0.499984740745262"/>
        <rFont val="Arial"/>
        <family val="2"/>
      </rPr>
      <t>Age Groups</t>
    </r>
    <r>
      <rPr>
        <sz val="12"/>
        <color theme="1"/>
        <rFont val="Arial"/>
        <family val="2"/>
      </rPr>
      <t>: The age breakdowns that are tracked in the IHSS Programs, and correlate with the United States Census.</t>
    </r>
  </si>
  <si>
    <r>
      <rPr>
        <b/>
        <sz val="12"/>
        <color theme="4" tint="-0.499984740745262"/>
        <rFont val="Arial"/>
        <family val="2"/>
      </rPr>
      <t>IHSS Services</t>
    </r>
    <r>
      <rPr>
        <sz val="12"/>
        <color theme="1"/>
        <rFont val="Arial"/>
        <family val="2"/>
      </rPr>
      <t>:  The different services offered in the IHSS Programs.</t>
    </r>
  </si>
  <si>
    <r>
      <rPr>
        <b/>
        <sz val="12"/>
        <color theme="4" tint="-0.499984740745262"/>
        <rFont val="Arial"/>
        <family val="2"/>
      </rPr>
      <t>IHSS Programs</t>
    </r>
    <r>
      <rPr>
        <sz val="12"/>
        <color theme="1"/>
        <rFont val="Arial"/>
        <family val="2"/>
      </rPr>
      <t xml:space="preserve">: The four programs that make up IHSS are: Personal Care Services Program (PCSP), Community First Choice Option (CFCO), IHSS Plus Option (IPO) and IHSS-Residual (IHSS-R). </t>
    </r>
  </si>
  <si>
    <r>
      <rPr>
        <b/>
        <sz val="12"/>
        <color theme="4" tint="-0.499984740745262"/>
        <rFont val="Arial"/>
        <family val="2"/>
      </rPr>
      <t>Blind and Visually Impaired (BVI)</t>
    </r>
    <r>
      <rPr>
        <sz val="12"/>
        <color theme="1"/>
        <rFont val="Arial"/>
        <family val="2"/>
      </rPr>
      <t>: A Recipient that identifies one's self as blind or visually impaired.</t>
    </r>
  </si>
  <si>
    <r>
      <rPr>
        <b/>
        <sz val="12"/>
        <color theme="4" tint="-0.499984740745262"/>
        <rFont val="Arial"/>
        <family val="2"/>
      </rPr>
      <t>Aged, Blind, or Disabled</t>
    </r>
    <r>
      <rPr>
        <sz val="12"/>
        <color theme="1"/>
        <rFont val="Arial"/>
        <family val="2"/>
      </rPr>
      <t>: The description given to recipients when they enter the program based on their individual situation.</t>
    </r>
  </si>
  <si>
    <t>Dashboard page (current page): select the hyperlink to the Navigation table, in cell A1, to review tables in the General Data page.  To select a county for review, go to the hyperlink in cell A2, you will be sent to the Navigation page cell A2 where you can use the drop down list and select the desired county to be reviewed.</t>
  </si>
  <si>
    <t>Dashboard Page: Go to Cell A1 for Description</t>
  </si>
  <si>
    <t>Navigaion Page: Go to Cell A1 for Description</t>
  </si>
  <si>
    <t>General Data Page: Go to Cell A1 for Description</t>
  </si>
  <si>
    <t>Aged, Blind, or Disabled Page: Go to Cell A1 for Description</t>
  </si>
  <si>
    <t>IHSS Servises  Page: Go to Cell A1 for Description</t>
  </si>
  <si>
    <t>Providers: FLSA OT Exemptions &amp; Percent (%) of Providers Exemptions</t>
  </si>
  <si>
    <t>Providers: FLSA OT/Travel Violations &amp; Percent (%) of Provider Violations Exceeding Weekly Max</t>
  </si>
  <si>
    <t>Providers: Electronic Funds Transfer (EFT) &amp; Percent (%) of Total Providers</t>
  </si>
  <si>
    <t xml:space="preserve"> County Name </t>
  </si>
  <si>
    <t>Percentage</t>
  </si>
  <si>
    <t>Guidelines (DDG)</t>
  </si>
  <si>
    <t>PCSP Recipient Hours</t>
  </si>
  <si>
    <t>CFCO Recipient Hours</t>
  </si>
  <si>
    <t>IPO Recipient Hours</t>
  </si>
  <si>
    <t>IHSS-R Recipient Hours</t>
  </si>
  <si>
    <t xml:space="preserve">Data De-
Identification </t>
  </si>
  <si>
    <t>Reassessments - Outstanding</t>
  </si>
  <si>
    <t>Table 7: Providers: FLSA OT Exemptions &amp; Percent (%) of Providers Exemptions</t>
  </si>
  <si>
    <t>Table 6: Providers: FLSA OT/Travel Violations &amp; Percent (%) of Provider Violations Exceeding Weekly Max</t>
  </si>
  <si>
    <t>Table 2: Recipients:  Auth. Hours by Age Groups Recipients &amp; Avg. Auth. Hours per  Recipient</t>
  </si>
  <si>
    <t>Table 3: Recipients:  Gender Recipients &amp; Percentage (%) of Total Recipients</t>
  </si>
  <si>
    <t xml:space="preserve">County Support </t>
  </si>
  <si>
    <t xml:space="preserve">No Accommodation is Needed </t>
  </si>
  <si>
    <t xml:space="preserve">Female </t>
  </si>
  <si>
    <t xml:space="preserve">Male </t>
  </si>
  <si>
    <t xml:space="preserve">White </t>
  </si>
  <si>
    <t xml:space="preserve">Hispanic </t>
  </si>
  <si>
    <t xml:space="preserve">Black </t>
  </si>
  <si>
    <t xml:space="preserve">Asian or Pacific Islander </t>
  </si>
  <si>
    <t xml:space="preserve">Alaskan Native or American Indian </t>
  </si>
  <si>
    <t xml:space="preserve">Filipino </t>
  </si>
  <si>
    <t xml:space="preserve">No Valid Data Reported </t>
  </si>
  <si>
    <t xml:space="preserve">Amerasian </t>
  </si>
  <si>
    <t xml:space="preserve">Chinese </t>
  </si>
  <si>
    <t xml:space="preserve">Cambodian </t>
  </si>
  <si>
    <t xml:space="preserve">Japanese </t>
  </si>
  <si>
    <t xml:space="preserve">Korean </t>
  </si>
  <si>
    <t xml:space="preserve">Samoan </t>
  </si>
  <si>
    <t xml:space="preserve">Asian Indian </t>
  </si>
  <si>
    <t xml:space="preserve">Hawaiian </t>
  </si>
  <si>
    <t xml:space="preserve">Guamanian </t>
  </si>
  <si>
    <t xml:space="preserve">Laotian </t>
  </si>
  <si>
    <t xml:space="preserve">Vietnamese </t>
  </si>
  <si>
    <t xml:space="preserve">Other </t>
  </si>
  <si>
    <t xml:space="preserve">Spoken Language - American Sign Language </t>
  </si>
  <si>
    <t xml:space="preserve">Spoken Language - Spanish </t>
  </si>
  <si>
    <t xml:space="preserve">Spoken Language - Cantonese </t>
  </si>
  <si>
    <t xml:space="preserve">Spoken Language - Japanese </t>
  </si>
  <si>
    <t xml:space="preserve">Spoken Language - Korean </t>
  </si>
  <si>
    <t xml:space="preserve">Spoken Language - Tagalog </t>
  </si>
  <si>
    <t xml:space="preserve">Spoken Language - Other Non-English </t>
  </si>
  <si>
    <t xml:space="preserve">Spoken Language - English </t>
  </si>
  <si>
    <t xml:space="preserve">Spoken Language - No Valid Data Reported </t>
  </si>
  <si>
    <t xml:space="preserve">Spoken Language - Other Sign Language </t>
  </si>
  <si>
    <t xml:space="preserve">Spoken Language - Mandarin </t>
  </si>
  <si>
    <t xml:space="preserve">Spoken Language - Other Chinese Languages </t>
  </si>
  <si>
    <t xml:space="preserve">Spoken Language - Cambodian </t>
  </si>
  <si>
    <t xml:space="preserve">Spoken Language - Armenian </t>
  </si>
  <si>
    <t xml:space="preserve">Spoken Language - Ilocano </t>
  </si>
  <si>
    <t xml:space="preserve">Spoken Language - Mien </t>
  </si>
  <si>
    <t xml:space="preserve">Spoken Language - Hmong </t>
  </si>
  <si>
    <t xml:space="preserve">Spoken Language - Lao </t>
  </si>
  <si>
    <t xml:space="preserve">Spoken Language - Turkish </t>
  </si>
  <si>
    <t xml:space="preserve">Spoken Language - Hebrew </t>
  </si>
  <si>
    <t xml:space="preserve">Spoken Language - French </t>
  </si>
  <si>
    <t xml:space="preserve">Spoken Language - Polish </t>
  </si>
  <si>
    <t xml:space="preserve">Spoken Language - Russian </t>
  </si>
  <si>
    <t xml:space="preserve">Spoken Language - Portuguese </t>
  </si>
  <si>
    <t xml:space="preserve">Spoken Language - Italian </t>
  </si>
  <si>
    <t xml:space="preserve">Spoken Language - Arabic </t>
  </si>
  <si>
    <t xml:space="preserve">Spoken Language - Samoan </t>
  </si>
  <si>
    <t xml:space="preserve">Spoken Language - Thai </t>
  </si>
  <si>
    <t xml:space="preserve">Spoken Language - Farsi </t>
  </si>
  <si>
    <t xml:space="preserve">Spoken Language - Vietnamese </t>
  </si>
  <si>
    <t xml:space="preserve">Provider Spoken - American Sign Language </t>
  </si>
  <si>
    <t xml:space="preserve">Provider Spoken - Spanish </t>
  </si>
  <si>
    <t xml:space="preserve">Provider Spoken - Cantonese </t>
  </si>
  <si>
    <t xml:space="preserve">Provider Spoken - Japanese </t>
  </si>
  <si>
    <t xml:space="preserve">Provider Spoken - Korean </t>
  </si>
  <si>
    <t xml:space="preserve">Provider Spoken - Tagalog </t>
  </si>
  <si>
    <t xml:space="preserve">Provider Spoken - Other Non-English </t>
  </si>
  <si>
    <t xml:space="preserve">Provider Spoken - English </t>
  </si>
  <si>
    <t xml:space="preserve">Provider Spoken - No Valid Data Reported </t>
  </si>
  <si>
    <t xml:space="preserve">Provider Spoken - Other Sign Language </t>
  </si>
  <si>
    <t xml:space="preserve">Provider Spoken - Mandarin </t>
  </si>
  <si>
    <t xml:space="preserve">Provider Spoken - Other Chinese Languages </t>
  </si>
  <si>
    <t xml:space="preserve">Provider Spoken - Cambodian </t>
  </si>
  <si>
    <t xml:space="preserve">Provider Spoken - Armenian </t>
  </si>
  <si>
    <t xml:space="preserve">Provider Spoken - Ilocano </t>
  </si>
  <si>
    <t xml:space="preserve">Provider Spoken - Mien </t>
  </si>
  <si>
    <t xml:space="preserve">Provider Spoken - Hmong </t>
  </si>
  <si>
    <t xml:space="preserve">Provider Spoken - Lao </t>
  </si>
  <si>
    <t xml:space="preserve">Provider Spoken - Turkish </t>
  </si>
  <si>
    <t xml:space="preserve">Provider Spoken - Hebrew </t>
  </si>
  <si>
    <t xml:space="preserve">Provider Spoken - French </t>
  </si>
  <si>
    <t xml:space="preserve">Provider Spoken - Polish </t>
  </si>
  <si>
    <t xml:space="preserve">Provider Spoken - Russian </t>
  </si>
  <si>
    <t xml:space="preserve">Provider Spoken - Portuguese </t>
  </si>
  <si>
    <t xml:space="preserve">Provider Spoken - Italian </t>
  </si>
  <si>
    <t xml:space="preserve">Provider Spoken - Arabic </t>
  </si>
  <si>
    <t xml:space="preserve">Provider Spoken - Samoan </t>
  </si>
  <si>
    <t xml:space="preserve">Provider Spoken - Thai </t>
  </si>
  <si>
    <t xml:space="preserve">Provider Spoken - Farsi </t>
  </si>
  <si>
    <t xml:space="preserve">Provider Spoken - Vietnamese </t>
  </si>
  <si>
    <r>
      <t xml:space="preserve">Reassessment Rate: </t>
    </r>
    <r>
      <rPr>
        <sz val="12"/>
        <rFont val="Arial"/>
        <family val="2"/>
      </rPr>
      <t xml:space="preserve">IHSS reassessments are completed annually, the Reassessment Rate shows how many have been completed within the specified time frame. </t>
    </r>
  </si>
  <si>
    <r>
      <rPr>
        <b/>
        <sz val="12"/>
        <color theme="4" tint="-0.499984740745262"/>
        <rFont val="Arial"/>
        <family val="2"/>
      </rPr>
      <t>Overtime (OT):</t>
    </r>
    <r>
      <rPr>
        <sz val="12"/>
        <color theme="4" tint="-0.499984740745262"/>
        <rFont val="Arial"/>
        <family val="2"/>
      </rPr>
      <t xml:space="preserve"> </t>
    </r>
    <r>
      <rPr>
        <sz val="12"/>
        <rFont val="Arial"/>
        <family val="2"/>
      </rPr>
      <t xml:space="preserve">IHSS providers will be paid overtime within certain limits and will be paid for their travel time between recipients within limits (FLSA). </t>
    </r>
  </si>
  <si>
    <t>General Data 
Page</t>
  </si>
  <si>
    <r>
      <t xml:space="preserve">Fair Labor Standards Act (FLSA): </t>
    </r>
    <r>
      <rPr>
        <sz val="12"/>
        <rFont val="Arial"/>
        <family val="2"/>
      </rPr>
      <t xml:space="preserve">Federal and California state law now require paid overtime and travel time compensation for providers, under certain conditions and within specific limits (Senate Bill 855 and Welfare and Institutions Code (WIC) § 12300.41(b)) </t>
    </r>
  </si>
  <si>
    <r>
      <rPr>
        <b/>
        <sz val="12"/>
        <color theme="4" tint="-0.499984740745262"/>
        <rFont val="Arial"/>
        <family val="2"/>
      </rPr>
      <t>Notice of Action (NOA)</t>
    </r>
    <r>
      <rPr>
        <sz val="12"/>
        <color theme="1"/>
        <rFont val="Arial"/>
        <family val="2"/>
      </rPr>
      <t>: A mailed written notice informing the IHSS Recipient of an action(s) or change(s).  The notice will include the reason(s) for the action(s) being taken and possible option(s) for the IHSS Recipient.</t>
    </r>
  </si>
  <si>
    <t>End of Terms, return to top of page.</t>
  </si>
  <si>
    <t>Compared to Total Recipients %</t>
  </si>
  <si>
    <t>Table 1: Recipient Total
Auth. Hours &amp; Avg. Auth. Hours per Recipient</t>
  </si>
  <si>
    <t>Table 1: Recipient Total: Auth. Hours &amp; Avg. Auth. Hours per Recipient</t>
  </si>
  <si>
    <t>Live-In Relative Providers</t>
  </si>
  <si>
    <t>IHSS Services 
Page</t>
  </si>
  <si>
    <t>% Total Recip</t>
  </si>
  <si>
    <t>Overtime Violations</t>
  </si>
  <si>
    <t>Overtime Exemptions</t>
  </si>
  <si>
    <t>Navigating This Workbook</t>
  </si>
  <si>
    <t>Table 7: Providers: Overtime Exemptions &amp; 
Percent (%) of Providers Exemptions (FLSA)</t>
  </si>
  <si>
    <t>Avg. Hours per Recipient</t>
  </si>
  <si>
    <r>
      <rPr>
        <b/>
        <sz val="12"/>
        <color theme="4" tint="-0.499984740745262"/>
        <rFont val="Arial"/>
        <family val="2"/>
      </rPr>
      <t>Total Authorized (Auth.) Recipient Hours</t>
    </r>
    <r>
      <rPr>
        <sz val="12"/>
        <color theme="1"/>
        <rFont val="Arial"/>
        <family val="2"/>
      </rPr>
      <t>:  These are the total hours authorized for all recipients.  All hours used in this data are monthly.</t>
    </r>
  </si>
  <si>
    <t>Total Auth. Recipient Hours</t>
  </si>
  <si>
    <t xml:space="preserve">The In-Home Supportive Services (IHSS) Program Data workbook, contains several pages of data concerning IHSS recipients, providers, and programs. </t>
  </si>
  <si>
    <t>Selected County and Size</t>
  </si>
  <si>
    <t>Recipients:
Reassessment Rate</t>
  </si>
  <si>
    <t>Ethnicity &amp;
Language Page</t>
  </si>
  <si>
    <t>Appendix &amp;
Terms Page</t>
  </si>
  <si>
    <t>Description &amp;
Table Count</t>
  </si>
  <si>
    <t>Table 1: Protective Supervision (PS) &amp; Paramedical (PM) Services 
Percentage (%) of Total Recipients</t>
  </si>
  <si>
    <t>Table 2: Protective Supervision (PS) &amp; Paramedical (PM) Services
Recipient Auth. Hours and Avg. Auth. Hours per Recipient</t>
  </si>
  <si>
    <t>Protective Supervision &amp; Paramedical  Services: Percentage of Total Recipients</t>
  </si>
  <si>
    <t>Protective Supervision &amp; Paramedical  Services: Recipient Authorized Hours and Average Authorized Hours per Recipient</t>
  </si>
  <si>
    <t>Table 1: Protective Supervision (PS) &amp; Paramedical (PM) Services: Percentage of Total Recipients</t>
  </si>
  <si>
    <t>Table 2: Protective Supervision (PS) &amp; Paramedical (PM) Services: Recipient Auth. Hours and Avg. Auth. Hours per Recipient</t>
  </si>
  <si>
    <t>Ethnicity &amp; Language Page: Go to Cell A1 for Description</t>
  </si>
  <si>
    <t>Appendix &amp; Terms page (current page): select the hyperlink to the Navigation table, in cell A1, to review tables in the Appendix &amp; Terms page.  To select a county for review, go to the hyperlink in cell A2, you will be sent to the Navigation page cell A2 where you can use the drop down list and select the desired county to be reviewed.</t>
  </si>
  <si>
    <t>Age &amp; Gender Page: Go to Cell A1 for Description</t>
  </si>
  <si>
    <t>Table 4: Severely Impaired (SI) &amp; Non-Severely Impaired (NSI)
Auth. Hours &amp; Avg. Auth. Hours per Recipient</t>
  </si>
  <si>
    <t>Table 4: Severely Impaired (SI) &amp; Non-Severely Impaired (NSI): Auth. Hours &amp; Avg. Auth. Hours per Recipient</t>
  </si>
  <si>
    <t>Table 3: Severely Impaired (SI) &amp; Non-Severely Impaired (NSI)
Recipients &amp; Percent (%) per Recipient</t>
  </si>
  <si>
    <t>Table 3: Severely Impaired (SI ) &amp; Non-Severely Impaired (NSI): Recipients &amp; Percent per Recipient</t>
  </si>
  <si>
    <t>Age &amp; Gender page (current page): select the hyperlink to the Navigation table, in cell A1, to review tables in the Age &amp; Gender page.  To select a county for review, go to the hyperlink in cell A2, you will be sent to the Navigation page cell A2 where you can use the drop down list and select the desired county to be reviewed.</t>
  </si>
  <si>
    <t>Ethnicity &amp; Language page (current page): select the hyperlink to the Navigation table, in cell A1, to review tables in the Ethnicity &amp; Language page.  To select a county for review, go to the hyperlink in cell A2, you will be sent to the Navigation page cell A2 where you can use the drop down list and select the desired county to be reviewed.</t>
  </si>
  <si>
    <t>Age &amp; Gender Page</t>
  </si>
  <si>
    <t>Severely Impaired &amp; Non-Severely Impaired: Recipients &amp; Percent  per Recipient</t>
  </si>
  <si>
    <t>Severely Impaired &amp; Non-Severely Impaired: Authorized Hours &amp; Average Authorized Hours per Recipient</t>
  </si>
  <si>
    <t>BVI (NOA) Delivery Options</t>
  </si>
  <si>
    <r>
      <rPr>
        <b/>
        <sz val="12"/>
        <color theme="4" tint="-0.499984740745262"/>
        <rFont val="Arial"/>
        <family val="2"/>
      </rPr>
      <t>BVI (NOA) Delivery Options</t>
    </r>
    <r>
      <rPr>
        <sz val="12"/>
        <color theme="1"/>
        <rFont val="Arial"/>
        <family val="2"/>
      </rPr>
      <t>: The accessibility format a BVI Recipient chooses to receive Notice of Actions (NOA).</t>
    </r>
  </si>
  <si>
    <r>
      <rPr>
        <b/>
        <sz val="12"/>
        <color theme="4" tint="-0.499984740745262"/>
        <rFont val="Arial"/>
        <family val="2"/>
      </rPr>
      <t xml:space="preserve">County Size: </t>
    </r>
    <r>
      <rPr>
        <sz val="12"/>
        <rFont val="Arial"/>
        <family val="2"/>
      </rPr>
      <t>County size is determined and grouped by the number of IHSS recipients at the beginning of each new Fiscal Year (June - July).  County Size (Number of Recipients): Very Small (1-25), Small (26-999), Medium (1,000-9,999), Large (10,000-49,999), Very Large (50,000 or More).  County size data is represented as an average of all similar size counties in the tables and charts.</t>
    </r>
  </si>
  <si>
    <t>Appendix</t>
  </si>
  <si>
    <t>End of Appendix, return to top of page.</t>
  </si>
  <si>
    <t>Key Terms</t>
  </si>
  <si>
    <t xml:space="preserve">Contains list of Appendix and Terms </t>
  </si>
  <si>
    <t>Appendix &amp; Terms Page: Go to Cell A1 for Description and to go back to navigation table.  For Terms used in the document go to cell A7.  For the Appendix go to cell A36.</t>
  </si>
  <si>
    <t>IHSS Programs: Recipients Auth. Hours &amp; Average Authorized Hours per  Recipient</t>
  </si>
  <si>
    <t>Care of &amp; Assistance Prosthetic Devices</t>
  </si>
  <si>
    <t>Recipients:  Auth. Hours by Age Groups Recipients &amp; Avg. Auth. Hours per  Recipient</t>
  </si>
  <si>
    <t>Recipients:  Gender Recipients &amp; Percentage (%) of Total Recipients</t>
  </si>
  <si>
    <t>Recipients: Recipient Spoken Language &amp; Percent  of Total Recipients</t>
  </si>
  <si>
    <t>Recipients: Recipient Ethnicity &amp; Percent of Total Recipients</t>
  </si>
  <si>
    <t>Providers: Provider Live-In &amp; Percent of Total Providers</t>
  </si>
  <si>
    <t>Providers: Provider Relative, Spouse, or Parent  &amp; Percent of Total Providers</t>
  </si>
  <si>
    <t>Providers: Provider Spoken Language &amp; Percent of Total Providers</t>
  </si>
  <si>
    <t>Recipients: Aged, Blind, or Disabled &amp; Percent of Total Recipient</t>
  </si>
  <si>
    <t xml:space="preserve">Recipients: Blind And Visually Impaired (BVI)  &amp; Percent </t>
  </si>
  <si>
    <r>
      <t xml:space="preserve">Data De-Identification Guidelines (DDG): </t>
    </r>
    <r>
      <rPr>
        <sz val="12"/>
        <rFont val="Arial"/>
        <family val="2"/>
      </rPr>
      <t>A demographic category that totals less than 11 for any county will be noted as a "&lt;11" in the data and tables.  A chart containing a DDG item will show as a zero and there will be a black box labeled as "DDG" located at the bottom of each chart.  In this file, the data de-identification is in accordance with the Health Insurance Portability and Accountability Act of 1996 (HIPAA) Privacy Rule (Section 164.514).</t>
    </r>
  </si>
  <si>
    <r>
      <t xml:space="preserve">Denied Applications: </t>
    </r>
    <r>
      <rPr>
        <sz val="12"/>
        <rFont val="Arial"/>
        <family val="2"/>
      </rPr>
      <t>New applications that have been denied.</t>
    </r>
  </si>
  <si>
    <t>Table 4: Providers: Wage Rate (Hourly)</t>
  </si>
  <si>
    <t>Providers: Wage Rate (Hourly)</t>
  </si>
  <si>
    <t>Table 5: Providers: Electronic Funds Transfer (EFT) (Direct Deposit)&amp; Percent (%) of Total Providers</t>
  </si>
  <si>
    <t>Recipient Spoken Language - Spanish</t>
  </si>
  <si>
    <t>Recipient Spoken Language - Cantonese</t>
  </si>
  <si>
    <t>Recipient Spoken Language - Japanese</t>
  </si>
  <si>
    <t>Recipient Spoken Language - Korean</t>
  </si>
  <si>
    <t>Recipient Spoken Language - Tagalog</t>
  </si>
  <si>
    <t>Recipient Spoken Language - Other Non-English</t>
  </si>
  <si>
    <t>Recipient Spoken Language - English</t>
  </si>
  <si>
    <t>Recipient Spoken Language - No Valid Data Reported</t>
  </si>
  <si>
    <t>Recipient Spoken Language - Other Sign Language</t>
  </si>
  <si>
    <t>Recipient Spoken Language - Mandarin</t>
  </si>
  <si>
    <t>Recipient Spoken Language - Other Chinese Languages</t>
  </si>
  <si>
    <t>Recipient Spoken Language - Cambodian</t>
  </si>
  <si>
    <t>Recipient Spoken Language - Armenian</t>
  </si>
  <si>
    <t>Recipient Spoken Language - Ilocano</t>
  </si>
  <si>
    <t>Recipient Spoken Language - Mien</t>
  </si>
  <si>
    <t>Recipient Spoken Language - Hmong</t>
  </si>
  <si>
    <t>Recipient Spoken Language - Lao</t>
  </si>
  <si>
    <t>Recipient Spoken Language - Turkish</t>
  </si>
  <si>
    <t>Recipient Spoken Language - Hebrew</t>
  </si>
  <si>
    <t>Recipient Spoken Language - French</t>
  </si>
  <si>
    <t>Recipient Spoken Language - Polish</t>
  </si>
  <si>
    <t>Recipient Spoken Language - Russian</t>
  </si>
  <si>
    <t>Recipient Spoken Language - Portuguese</t>
  </si>
  <si>
    <t>Recipient Spoken Language - Italian</t>
  </si>
  <si>
    <t>Recipient Spoken Language - Arabic</t>
  </si>
  <si>
    <t>Recipient Spoken Language - Samoan</t>
  </si>
  <si>
    <t>Recipient Spoken Language - Thai</t>
  </si>
  <si>
    <t>Recipient Spoken Language - Farsi</t>
  </si>
  <si>
    <t>Recipient Spoken Language - Vietnamese</t>
  </si>
  <si>
    <t>Recipient Spoken Language - American Sign Language</t>
  </si>
  <si>
    <t xml:space="preserve">Violations - With Single Recipient </t>
  </si>
  <si>
    <t>Violations - Travel</t>
  </si>
  <si>
    <t>Violations - With Multiple Recipients</t>
  </si>
  <si>
    <t>Parent Provider (Exemptions 1)</t>
  </si>
  <si>
    <t>Extraordinary Circumstance (Exemptions 2)</t>
  </si>
  <si>
    <r>
      <t xml:space="preserve">Overtime Exemptions: </t>
    </r>
    <r>
      <rPr>
        <sz val="12"/>
        <rFont val="Arial"/>
        <family val="2"/>
      </rPr>
      <t xml:space="preserve">As required under State statutes, the maximum number of hours an IHSS provider may work in a workweek for all the time he/she works for two or more recipients is 66 hours. To ensure continuity of care and to allow IHSS recipients to remain safely in their homes, CDSS established exemptions for limited, specific circumstances that allow the maximum weekly hours to be exceeded. </t>
    </r>
    <r>
      <rPr>
        <b/>
        <sz val="12"/>
        <color theme="4" tint="-0.499984740745262"/>
        <rFont val="Arial"/>
        <family val="2"/>
      </rPr>
      <t xml:space="preserve"> </t>
    </r>
    <r>
      <rPr>
        <sz val="12"/>
        <rFont val="Arial"/>
        <family val="2"/>
      </rPr>
      <t>All Overtime Exemptions have been approved.</t>
    </r>
  </si>
  <si>
    <t>EFT (Direct Deposit)</t>
  </si>
  <si>
    <t>The In-Home Supportive Services (IHSS) Program Data workbook, contains several pages of data concerning IHSS recipients, providers, and programs. 
How to Use:
             • To select a county, click in the County Select box (Next to green box at the top), use the drop down list and select county to be reviewed.  
             • To view page data, click on a button at the top of each page or use the Navigation Table below, which contains hyperlinks to each page.  
             • Below each page group heading, in the Navigation Table, are hyperlinks to help navigate to the data table of interest.  
             • At the end of each Navigation Table column, there is a hyperlink to return to column heading.
             • On each page, in the left column, there are applicable Key Term(s) that are linked to the Appendix &amp; Terms page for definition(s). 
 Note: 1. There is a link at the end of each table to better help users using screen readers to return to the Navigation Table.
          2. The calculated data in this workbook are rounded.  For further information as to how this may impact the IHSS Program Data workbook, please go to appendix item one Rounded Numbers on the Appendix &amp; Terms page.</t>
  </si>
  <si>
    <t xml:space="preserve">Relative, Spouse, or </t>
  </si>
  <si>
    <r>
      <rPr>
        <b/>
        <sz val="12"/>
        <color theme="4" tint="-0.499984740745262"/>
        <rFont val="Arial"/>
        <family val="2"/>
      </rPr>
      <t>Relative, Spouse, or Parent Providers</t>
    </r>
    <r>
      <rPr>
        <sz val="12"/>
        <rFont val="Arial"/>
        <family val="2"/>
      </rPr>
      <t>: The relationship a Provider has with the recipient.  A Provider can have one or all three of these relationships.  The Relative, Spouse, or Parent Providers data (tables and charts) may not add to 100% due to a Provider potentially having a different relationship with multiple recipients.</t>
    </r>
  </si>
  <si>
    <r>
      <rPr>
        <b/>
        <sz val="11.5"/>
        <color theme="1"/>
        <rFont val="Arial"/>
        <family val="2"/>
      </rPr>
      <t xml:space="preserve"> How to Use:</t>
    </r>
    <r>
      <rPr>
        <sz val="11.5"/>
        <color theme="1"/>
        <rFont val="Arial"/>
        <family val="2"/>
      </rPr>
      <t xml:space="preserve">
             • To select a county, click in the County Select box (next to green box at the top), use the drop down list and select county to be reviewed.  
             • To view page data, click on a button at the top of each page or use the Navigation Table below, which contains hyperlinks to each page.  
             • Below each page group heading, in the Navigation Table, are hyperlinks to help navigate to the data table of interest.  
             • At the end of each Navigation Table col</t>
    </r>
    <r>
      <rPr>
        <sz val="11.5"/>
        <rFont val="Arial"/>
        <family val="2"/>
      </rPr>
      <t>umn, there is a hyperlink to return to column heading.</t>
    </r>
    <r>
      <rPr>
        <sz val="11.5"/>
        <color theme="1"/>
        <rFont val="Arial"/>
        <family val="2"/>
      </rPr>
      <t xml:space="preserve">
             • On each page, in the left column, there are applicable Key Term(s) that are linked to the Appendix &amp; Terms page for definition(s). 
 Note:</t>
    </r>
    <r>
      <rPr>
        <sz val="8"/>
        <color theme="1"/>
        <rFont val="Arial"/>
        <family val="2"/>
      </rPr>
      <t xml:space="preserve"> </t>
    </r>
    <r>
      <rPr>
        <sz val="11.5"/>
        <color theme="1"/>
        <rFont val="Arial"/>
        <family val="2"/>
      </rPr>
      <t>1. There is a link at the end of each table to better help users using screen readers to return to the Navigation Table.
          2. The calculated data in this workbook are rounded.  For further information as to how this may impact the IHSS Program Data workbook, please go to appendix item one Rounded Numbers on the Appendix &amp; Terms page.</t>
    </r>
  </si>
  <si>
    <r>
      <t xml:space="preserve">Key Terms </t>
    </r>
    <r>
      <rPr>
        <sz val="12"/>
        <color theme="0"/>
        <rFont val="Arial"/>
        <family val="2"/>
      </rPr>
      <t>(Below)</t>
    </r>
  </si>
  <si>
    <r>
      <t xml:space="preserve">2. Providers: </t>
    </r>
    <r>
      <rPr>
        <sz val="12"/>
        <rFont val="Arial"/>
        <family val="2"/>
      </rPr>
      <t xml:space="preserve">A provider is counted only once, even if serving multiple recipients.  Here how provider counts apply to both County and Statewide Data:
</t>
    </r>
    <r>
      <rPr>
        <b/>
        <sz val="12"/>
        <rFont val="Arial"/>
        <family val="2"/>
      </rPr>
      <t>County Data</t>
    </r>
    <r>
      <rPr>
        <sz val="12"/>
        <rFont val="Arial"/>
        <family val="2"/>
      </rPr>
      <t xml:space="preserve">: A provider with multiple recipients will fall into one of these two scenarios:
a.  If the provider serves multiple recipients within the same county, a provider will only be counted once in that county.      
b.  If the provider serves multiple recipients in multiple counties, the provider will be counted once in each county in which the provider has a recipient residing. 
</t>
    </r>
    <r>
      <rPr>
        <b/>
        <sz val="12"/>
        <rFont val="Arial"/>
        <family val="2"/>
      </rPr>
      <t>Statewide Data</t>
    </r>
    <r>
      <rPr>
        <sz val="12"/>
        <rFont val="Arial"/>
        <family val="2"/>
      </rPr>
      <t xml:space="preserve">: The provider is counted once in the statewide data regardless if the provider is counted in multiple counties.  This may result in the sum of the county totals not matching the statewide total. </t>
    </r>
  </si>
  <si>
    <t>Table 2: Electronic Timesheet - Enrolled
Recipients &amp; Providers Enrolled in Electronic Timesheets</t>
  </si>
  <si>
    <t>Table 2: Electronic Timesheet - Enrolled - Recipients &amp; Providers Enrolled in Electronic Timesheets</t>
  </si>
  <si>
    <t>Electronic Timesheet - Enrolled: Recipients &amp; Providers Enrolled in Electronic Timesheets</t>
  </si>
  <si>
    <t>Electronic Timesheet</t>
  </si>
  <si>
    <t>Electronic Timesheets - Enrolled: Authorized Recipients</t>
  </si>
  <si>
    <t>Electronic Timesheets - Enrolled: Active or Leave Ind. Providers</t>
  </si>
  <si>
    <t xml:space="preserve">Change Log: </t>
  </si>
  <si>
    <t>Electronic Timesheet System (ETS) was changed to Electronic Timesheets - Enrolled, the Pages where the changes occurred were: Navigation, Dashboard, General Data, Appendix &amp; Terms and All Data.  Data provided by vendor.</t>
  </si>
  <si>
    <t xml:space="preserve">Electronic Visit Verification (EVV): Authorized Recipients </t>
  </si>
  <si>
    <t>Electronic Visit Verification (EVV): Authorized Recipients</t>
  </si>
  <si>
    <t xml:space="preserve"> Electronic Visit 
Verification (EVV):
Active or Leave
Ind. Providers </t>
  </si>
  <si>
    <t>Verification (EVV)</t>
  </si>
  <si>
    <t>Electronic Visit -</t>
  </si>
  <si>
    <t>Electronic Visit Verification (EVV): 
Enrolled Authorized Recipients &amp; Providers</t>
  </si>
  <si>
    <t xml:space="preserve">Electronic Visit Verification (EVV) was added.  The pages where the changes occurred were: Navigation, General Data, Appendix &amp; Terms and All Data. </t>
  </si>
  <si>
    <t>Data Not Reported as of 1/1/2020</t>
  </si>
  <si>
    <t>Telephone Timesheet System (TTS)</t>
  </si>
  <si>
    <r>
      <rPr>
        <b/>
        <sz val="12"/>
        <color theme="4" tint="-0.499984740745262"/>
        <rFont val="Arial"/>
        <family val="2"/>
      </rPr>
      <t>BVI Timesheet Delivery Options</t>
    </r>
    <r>
      <rPr>
        <sz val="12"/>
        <color theme="1"/>
        <rFont val="Arial"/>
        <family val="2"/>
      </rPr>
      <t>: The accessibility format option a BVI Recipient chooses to approve their provider's timesheet.</t>
    </r>
    <r>
      <rPr>
        <sz val="12"/>
        <color theme="4" tint="-0.499984740745262"/>
        <rFont val="Arial"/>
        <family val="2"/>
      </rPr>
      <t xml:space="preserve"> </t>
    </r>
    <r>
      <rPr>
        <sz val="12"/>
        <rFont val="Arial"/>
        <family val="2"/>
      </rPr>
      <t>(See Change Log below.)</t>
    </r>
  </si>
  <si>
    <t xml:space="preserve">BVI Timesheet Delivery Options:  As of 1/1/20, County Support data is no longer being reported and have been removed from the Aged, Blind, or Disabled page, however the support the county provides remains the same. The County Support data field on the All Data page has been relabeled to read "Data Not Reported as of 1/1/2020" and the column has been blocked out in Blue.  </t>
  </si>
  <si>
    <r>
      <t xml:space="preserve">New Applications: </t>
    </r>
    <r>
      <rPr>
        <sz val="12"/>
        <rFont val="Arial"/>
        <family val="2"/>
      </rPr>
      <t>New applications submitted to the IHSS program with a receipt date during the current month.  All applications are included, regardless of application processing status or outcome.</t>
    </r>
  </si>
  <si>
    <t>Table 6: *Providers: Overtime/Travel Violations &amp; 
Percent (%) of Provider Violations Exceeding Weekly Max (FLSA)</t>
  </si>
  <si>
    <r>
      <rPr>
        <b/>
        <sz val="12"/>
        <color theme="4" tint="-0.499984740745262"/>
        <rFont val="Arial"/>
        <family val="2"/>
      </rPr>
      <t>Recipients</t>
    </r>
    <r>
      <rPr>
        <sz val="12"/>
        <color theme="1"/>
        <rFont val="Arial"/>
        <family val="2"/>
      </rPr>
      <t>:  Recipients (Authorized) are individuals who are receiving services through the IHSS Program.  The recipients reported here are in eligible, presumptive eligible or leave status.</t>
    </r>
  </si>
  <si>
    <r>
      <rPr>
        <b/>
        <sz val="12"/>
        <color theme="4" tint="-0.499984740745262"/>
        <rFont val="Arial"/>
        <family val="2"/>
      </rPr>
      <t>Provider</t>
    </r>
    <r>
      <rPr>
        <sz val="12"/>
        <color theme="1"/>
        <rFont val="Arial"/>
        <family val="2"/>
      </rPr>
      <t>:  A Provider is an individual who is providing services to recipients in the IHSS Program.</t>
    </r>
    <r>
      <rPr>
        <sz val="12"/>
        <color theme="4" tint="-0.499984740745262"/>
        <rFont val="Arial"/>
        <family val="2"/>
      </rPr>
      <t xml:space="preserve">  </t>
    </r>
    <r>
      <rPr>
        <sz val="12"/>
        <rFont val="Arial"/>
        <family val="2"/>
      </rPr>
      <t>A provider is only counted once (go to Providers in the Appendix).</t>
    </r>
  </si>
  <si>
    <r>
      <t xml:space="preserve">Overtime Violations: </t>
    </r>
    <r>
      <rPr>
        <sz val="12"/>
        <rFont val="Arial"/>
        <family val="2"/>
      </rPr>
      <t>A violation occurs when an IHSS provider exceeds the workweek or travel time limitations (FLSA).</t>
    </r>
    <r>
      <rPr>
        <b/>
        <sz val="12"/>
        <color theme="4" tint="-0.499984740745262"/>
        <rFont val="Arial"/>
        <family val="2"/>
      </rPr>
      <t xml:space="preserve"> </t>
    </r>
    <r>
      <rPr>
        <sz val="12"/>
        <color theme="1"/>
        <rFont val="Arial"/>
        <family val="2"/>
      </rPr>
      <t>(go to Violations in the Appendix)</t>
    </r>
  </si>
  <si>
    <r>
      <rPr>
        <b/>
        <sz val="12"/>
        <color theme="4" tint="-0.499984740745262"/>
        <rFont val="Arial"/>
        <family val="2"/>
      </rPr>
      <t>3. Overtime Violations</t>
    </r>
    <r>
      <rPr>
        <sz val="12"/>
        <color theme="1"/>
        <rFont val="Arial"/>
        <family val="2"/>
      </rPr>
      <t>: On March 4, 2020, Governor Newsom proclaimed a State of Emergency in California in response to the global COVID-19.  For situations in which IHSS providers have incurred work violations while performing services that were in critical need, CDSS will take action to remove these violations through August 31, 2020.</t>
    </r>
  </si>
  <si>
    <t>No longer in own home</t>
  </si>
  <si>
    <t>Recipient Request</t>
  </si>
  <si>
    <t>Did not pay Share of Cost</t>
  </si>
  <si>
    <t>Out of State more than 60 days</t>
  </si>
  <si>
    <t>Out of country</t>
  </si>
  <si>
    <t>Moved out of State</t>
  </si>
  <si>
    <t>Failure to cooperate</t>
  </si>
  <si>
    <t>IHSS-R SOC exceeds need</t>
  </si>
  <si>
    <t>No Assessed Need</t>
  </si>
  <si>
    <t>Need met through Alternate Resources</t>
  </si>
  <si>
    <t>Non-Compliance with Medi-Cal Eligibility</t>
  </si>
  <si>
    <t>Residence - Hospital</t>
  </si>
  <si>
    <t>Residence - Intermediate Care Facility</t>
  </si>
  <si>
    <t>Residence - Skilled Nursing Facility</t>
  </si>
  <si>
    <t>Residence - Community Care Facility</t>
  </si>
  <si>
    <t>Whereabouts unknown</t>
  </si>
  <si>
    <t>Recipient Death</t>
  </si>
  <si>
    <t>Erroneous</t>
  </si>
  <si>
    <t>IHSS-R Excess Resource</t>
  </si>
  <si>
    <t>Invalid SSN</t>
  </si>
  <si>
    <t>Terminations - Duplicate SSN</t>
  </si>
  <si>
    <t>Health Care Certification - Not Received</t>
  </si>
  <si>
    <t>Health Care Certification - No Need</t>
  </si>
  <si>
    <t>Medi- Cal Restored</t>
  </si>
  <si>
    <t>Total Cases Terminated</t>
  </si>
  <si>
    <t>Exiting Reasons</t>
  </si>
  <si>
    <t>Table 3: Reasons for Exiting the Program</t>
  </si>
  <si>
    <t>Table 1: New Applications
Applications Received  (Current Month)</t>
  </si>
  <si>
    <t>Table 2: Denied Applications (Previous 90 Days)
(Processing Time for a Denied Application)</t>
  </si>
  <si>
    <t>Table 2: Denied Applications (Previous 90 Days): (Processing Time for a Denied Application)</t>
  </si>
  <si>
    <t>Table 1: New Applications: Applications Received  (Current Month)</t>
  </si>
  <si>
    <t>IHSS Applicants page (current page): click this hyperlink to the Navigation table to review tables in the IHSS Applicants page.  To select a county for review, go to the hyperlink in cell A2, you will be sent to the Navigation page cell A2 where you can use the drop down list and select the desired county to be reviewed.</t>
  </si>
  <si>
    <t>IHSS Applicants Page: Go to Cell A1 for Description</t>
  </si>
  <si>
    <t>Exiting the Program</t>
  </si>
  <si>
    <t>Cases Terminated (Total)</t>
  </si>
  <si>
    <t>Table 5: Recipients: Reassessment Rate</t>
  </si>
  <si>
    <t>Table 6: Electronic Visit Verification (EVV): Enrolled Authorized Recipients &amp; Providers</t>
  </si>
  <si>
    <t>Table 6: Electronic Visit Verification (EVV): 
Enrolled Authorized Recipients &amp; Providers</t>
  </si>
  <si>
    <t>Reasons for Exiting the Program</t>
  </si>
  <si>
    <r>
      <t xml:space="preserve">Exiting the Program: </t>
    </r>
    <r>
      <rPr>
        <sz val="12"/>
        <rFont val="Arial"/>
        <family val="2"/>
      </rPr>
      <t>Is when an IHSS recipient is no longer in the IHSS Program.</t>
    </r>
  </si>
  <si>
    <t xml:space="preserve">IHSS Applicants page was added, New Applications and Denied Applications have been moved from General Data page to the IHSS Applicants page.  A newly reported data point, Reasons for Exiting the Program, was added to the IHSS Applicants Page.  The pages where the changes occurred were: Navigation, General Data, Appendix &amp; Terms and All Data.   </t>
  </si>
  <si>
    <t>Exiting Reasons Ranking</t>
  </si>
  <si>
    <t>Appendix Items &amp; Change Log</t>
  </si>
  <si>
    <t>IHSS Applicants Page</t>
  </si>
  <si>
    <t xml:space="preserve">Contains three charts &amp; tables </t>
  </si>
  <si>
    <t xml:space="preserve">Contains five 
charts &amp; tables  </t>
  </si>
  <si>
    <t xml:space="preserve">Contains eight 
charts &amp; tables </t>
  </si>
  <si>
    <t xml:space="preserve">Contains two 
charts &amp; tables  </t>
  </si>
  <si>
    <t xml:space="preserve">Contains seven 
charts &amp; tables </t>
  </si>
  <si>
    <t>Go to the Appendix or Change Log</t>
  </si>
  <si>
    <t>&lt;11</t>
  </si>
  <si>
    <t>Spoken Language - Hindi</t>
  </si>
  <si>
    <t>Spoken Language - Punjabi</t>
  </si>
  <si>
    <t>Spoken Language - Ukrainian</t>
  </si>
  <si>
    <t>Recipient Spoken Language - Hindi</t>
  </si>
  <si>
    <t>Recipient Spoken Language - Punjabi</t>
  </si>
  <si>
    <t>Recipient Spoken Language - Ukrainian</t>
  </si>
  <si>
    <t>Hindi</t>
  </si>
  <si>
    <t>Punjabi</t>
  </si>
  <si>
    <t>Ukrainian</t>
  </si>
  <si>
    <t xml:space="preserve">New Page IHSS Applicants was added. This page includes New Applications Received, Denied Applications, and Reasons for Exiting the Program.  The pages where the changes occurred were: IHSS Applicants, All Data and Navigation.   </t>
  </si>
  <si>
    <t xml:space="preserve">Provider Spoken Language - Hindi  </t>
  </si>
  <si>
    <t xml:space="preserve">Provider Spoken Language - Punjabi  </t>
  </si>
  <si>
    <t xml:space="preserve">Provider Spoken Language - Ukrainian  </t>
  </si>
  <si>
    <t>Three Spoken Languages (Hindi, Punjabi, and Ukrainian) were added to both recipient and provider data. The pages where the changes occurred were: Ethnicity &amp; Language, Provider Details and All Data</t>
  </si>
  <si>
    <t xml:space="preserve">Provider Spoken - Hindi </t>
  </si>
  <si>
    <t xml:space="preserve">Provider Spoken - Punjabi </t>
  </si>
  <si>
    <t xml:space="preserve">Provider Spoken - Ukrainian </t>
  </si>
  <si>
    <t>Table 7: IHSS Programs
Recipients &amp; Percent (%) of Total Recipients</t>
  </si>
  <si>
    <t>Table 8: IHSS Programs
Recipients Auth. Hours &amp; Avg. Auth. Hours per  Recipient</t>
  </si>
  <si>
    <t>Table 7: IHSS Programs: Recipients &amp; Percent of Total Recipients</t>
  </si>
  <si>
    <t>Table 8: IHSS Programs: Recipients Auth. Hours &amp; Avg. Auth. Hours per  Recipient</t>
  </si>
  <si>
    <t xml:space="preserve">Contains eight
charts &amp; tables  </t>
  </si>
  <si>
    <t>Program Equity Page</t>
  </si>
  <si>
    <t>Program Equity Page: Go to Cell A1 for Description</t>
  </si>
  <si>
    <t>Apps Equity</t>
  </si>
  <si>
    <t>Denials Equity</t>
  </si>
  <si>
    <t>stop</t>
  </si>
  <si>
    <t>Auth Hours Equity</t>
  </si>
  <si>
    <t>PS Equity</t>
  </si>
  <si>
    <t>PM Equity</t>
  </si>
  <si>
    <t>NSI Equity</t>
  </si>
  <si>
    <t>SI Equity</t>
  </si>
  <si>
    <t>Ethnicity</t>
  </si>
  <si>
    <t>Denials</t>
  </si>
  <si>
    <t>statewide</t>
  </si>
  <si>
    <t>Auth Hours</t>
  </si>
  <si>
    <t>ps</t>
  </si>
  <si>
    <t>PM</t>
  </si>
  <si>
    <t>NSI</t>
  </si>
  <si>
    <t>SI</t>
  </si>
  <si>
    <t>Difference 
(Apps - Ethn)</t>
  </si>
  <si>
    <t>Authorized Hours by Ethnicity</t>
  </si>
  <si>
    <t>Denials by Ethnicity</t>
  </si>
  <si>
    <t>New Applications by Ethnicity</t>
  </si>
  <si>
    <t>Table 1: New Applications: County
Applications &amp; Percent (%) of New Applications by Ethnicity</t>
  </si>
  <si>
    <t>Table 2: New Applications: Statewide 
Applications &amp; Percent (%) of New Applications by Ethnicity</t>
  </si>
  <si>
    <t>Table 3: County Denials: County 
Denials &amp; Percent (%) of Denials by Ethnicity</t>
  </si>
  <si>
    <t>Table 4: Denials: Statewide 
Ethnicity  &amp; Percent (%) of Denials by Ethnicity</t>
  </si>
  <si>
    <t>Table 6: Authorized Hours: Statewide 
Authorized Hours &amp; Percent (%) of Authorized Hours by Ethnicity</t>
  </si>
  <si>
    <t>Table 5: Authorized Hours: County 
Authorized Hours &amp; Percent (%) of Authorized Hours by Ethnicity</t>
  </si>
  <si>
    <t>Protective Supervision by Ethnicity</t>
  </si>
  <si>
    <t>Table 7: Protective Supervision: County 
Protective Supervision &amp; Percent (%) of Protective Supervision by Ethnicity</t>
  </si>
  <si>
    <t>Table 8: Protective Supervision: Statewide 
Protective Supervision &amp; Percent (%) of Protective Supervision by Ethnicity</t>
  </si>
  <si>
    <t>Paramedical by Ethnicity</t>
  </si>
  <si>
    <t>Table 9: Paramedical: County 
Paramedical &amp; Percent (%) of Paramedical by Ethnicity</t>
  </si>
  <si>
    <t>Table 10: Paramedical: Statewide 
Paramedical &amp; Percent (%) of Paramedical by Ethnicity</t>
  </si>
  <si>
    <t>Non-Severely Impaired by Ethnicity</t>
  </si>
  <si>
    <t>Table 11: Non-Severely Impaired: County 
Non-Severely Impaired &amp; Percent (%) of Non-Severely Impaired by Ethnicity</t>
  </si>
  <si>
    <t>Table 12: Non-Severely Impaired: Statewide 
Non-Severely Impaired &amp; Percent (%) of Non-Severely Impaired by Ethnicity</t>
  </si>
  <si>
    <t>Severely Impaired by Ethnicity</t>
  </si>
  <si>
    <t>Table 13: Severely Impaired: County 
Severely Impaired &amp; Percent (%) of Severely Impaired by Ethnicity</t>
  </si>
  <si>
    <t>Table 14: Severely Impaired: Statewide 
Severely Impaired &amp; Percent (%) of Severely Impaired by Ethnicity</t>
  </si>
  <si>
    <t>New Applications by Ethnicity 
(County and Statewide)</t>
  </si>
  <si>
    <t>Denials by Ethnicity
(County and Statewide)</t>
  </si>
  <si>
    <t>Authorized Hours by Ethnicity
(County and Statewide)</t>
  </si>
  <si>
    <t>Protective Supervision by Ethnicity
(County and Statewide)</t>
  </si>
  <si>
    <t>Paramedical by Ethnicity
(County and Statewide)</t>
  </si>
  <si>
    <t>Non-Severely Impaired by Ethnicity
(County and Statewide)</t>
  </si>
  <si>
    <t>Severely Impaired by Ethnicity
(County and Statewide)</t>
  </si>
  <si>
    <t xml:space="preserve">Contains seven sections with fourteen charts &amp; tables </t>
  </si>
  <si>
    <t>Program Equity</t>
  </si>
  <si>
    <r>
      <rPr>
        <b/>
        <sz val="12"/>
        <color theme="4" tint="-0.499984740745262"/>
        <rFont val="Arial"/>
        <family val="2"/>
      </rPr>
      <t>Program Equity:</t>
    </r>
    <r>
      <rPr>
        <sz val="12"/>
        <color theme="4" tint="-0.499984740745262"/>
        <rFont val="Arial"/>
        <family val="2"/>
      </rPr>
      <t xml:space="preserve"> </t>
    </r>
    <r>
      <rPr>
        <sz val="12"/>
        <rFont val="Arial"/>
        <family val="2"/>
      </rPr>
      <t>A county/statewide comparison of specific IHSS data points broken down by ethnicities the data points selected are: New Applications by Ethnicity, Denials by Ethnicity, Authorized Hours by Ethnicity, Protective Supervision by Ethnicity, Paramedical by Ethnicity, Non-Severely Impaired by Ethnicity, Severely Impaired by Ethnicity.</t>
    </r>
  </si>
  <si>
    <t>Program Equity page (current page): select the hyperlink to the Navigation table, in cell A1, to review tables in the Program Equity page.  To select a county for review, go to the hyperlink in cell A2, you will be sent to the Navigation page cell A2 where you can use the drop down list and select the desired county to be reviewed.</t>
  </si>
  <si>
    <t xml:space="preserve">IHSS Programs page which contained two tables showing IHSS program populations and authorized hours have been moved to the General Data Page (tables 7 and 8). The pages where the changes occurred were: Navigation, General Data, IHSS Programs, Appendix &amp; Terms and All Data. </t>
  </si>
  <si>
    <t xml:space="preserve">Program Equity Page has been created, replacing the IHSS Programs page. The pages where the changes occurred were: Navigation, General Data, IHSS Programs, Appendix &amp; Terms and All Data. </t>
  </si>
  <si>
    <t>White Apps Equity</t>
  </si>
  <si>
    <t>Hispanic Apps Equity</t>
  </si>
  <si>
    <t>Black Apps Equity</t>
  </si>
  <si>
    <t>Asian Pacific Apps Equity</t>
  </si>
  <si>
    <t>Alaskan Native Apps Equity</t>
  </si>
  <si>
    <t>Filipino Apps Equity</t>
  </si>
  <si>
    <t>No Valid Data Apps Equity</t>
  </si>
  <si>
    <t>Amerasion Apps Equity</t>
  </si>
  <si>
    <t>Chinese Apps Equity</t>
  </si>
  <si>
    <t>Cambodian Apps Equity</t>
  </si>
  <si>
    <t>Japanese Apps Equity</t>
  </si>
  <si>
    <t>Korean Apps Equity</t>
  </si>
  <si>
    <t>Samoan Apps Equity</t>
  </si>
  <si>
    <t>Asian Indian Apps Equity</t>
  </si>
  <si>
    <t>Hawaiian Apps Equity</t>
  </si>
  <si>
    <t>Guamanian Apps Equity</t>
  </si>
  <si>
    <t>Laotian Apps Equity</t>
  </si>
  <si>
    <t>Vietnamese Apps Equity</t>
  </si>
  <si>
    <t>Other Apps Equity</t>
  </si>
  <si>
    <t>White Denials Equity</t>
  </si>
  <si>
    <t>Hispanic Denials Equity</t>
  </si>
  <si>
    <t>Black Denials Equity</t>
  </si>
  <si>
    <t>Asian Pacific Denials Equity</t>
  </si>
  <si>
    <t>Alaskan Native Denials Equity</t>
  </si>
  <si>
    <t>Filipino Denials Equity</t>
  </si>
  <si>
    <t>No Valid Data Denials Equity</t>
  </si>
  <si>
    <t>Amerasion Denials Equity</t>
  </si>
  <si>
    <t>Chinese Denials Equity</t>
  </si>
  <si>
    <t>Cambodian Denials Equity</t>
  </si>
  <si>
    <t>Japanese Denials Equity</t>
  </si>
  <si>
    <t>Korean Denials Equity</t>
  </si>
  <si>
    <t>Samoan Denials Equity</t>
  </si>
  <si>
    <t>Asian Indian Denials Equity</t>
  </si>
  <si>
    <t>Hawaiian Denials Equity</t>
  </si>
  <si>
    <t>Guamanian Denials Equity</t>
  </si>
  <si>
    <t>Laotian Denials Equity</t>
  </si>
  <si>
    <t>Vietnamese Denials Equity</t>
  </si>
  <si>
    <t>Other Denials Equity</t>
  </si>
  <si>
    <t>White Auth Hours Equity</t>
  </si>
  <si>
    <t>Hispanic Auth Hours Equity</t>
  </si>
  <si>
    <t>Black Auth Hours Equity</t>
  </si>
  <si>
    <t>Asian Pacific Auth Hours Equity</t>
  </si>
  <si>
    <t>Alaskan Native Auth Hours Equity</t>
  </si>
  <si>
    <t>Filipino Auth Hours Equity</t>
  </si>
  <si>
    <t>No Valid Data Auth Hours Equity</t>
  </si>
  <si>
    <t>Amerasion Auth Hours Equity</t>
  </si>
  <si>
    <t>Chinese Auth Hours Equity</t>
  </si>
  <si>
    <t>Cambodian Auth Hours Equity</t>
  </si>
  <si>
    <t>Japanese Auth Hours Equity</t>
  </si>
  <si>
    <t>Korean Auth Hours Equity</t>
  </si>
  <si>
    <t>Samoan Auth Hours Equity</t>
  </si>
  <si>
    <t>Asian Indian Auth Hours Equity</t>
  </si>
  <si>
    <t>Hawaiian Auth Hours Equity</t>
  </si>
  <si>
    <t>Guamanian Auth Hours Equity</t>
  </si>
  <si>
    <t>Laotian Auth Hours Equity</t>
  </si>
  <si>
    <t>Vietnamese Auth Hours Equity</t>
  </si>
  <si>
    <t>Other Auth Hours Equity</t>
  </si>
  <si>
    <t>White PS Equity</t>
  </si>
  <si>
    <t>Hispanic PS Equity</t>
  </si>
  <si>
    <t>Black PS Equity</t>
  </si>
  <si>
    <t>Asian Pacific PS Equity</t>
  </si>
  <si>
    <t>Alaskan Native PS Equity</t>
  </si>
  <si>
    <t>Filipino PS Equity</t>
  </si>
  <si>
    <t>No Valid Data PS Equity</t>
  </si>
  <si>
    <t>Amerasion PS Equity</t>
  </si>
  <si>
    <t>Chinese PS Equity</t>
  </si>
  <si>
    <t>Cambodian PS Equity</t>
  </si>
  <si>
    <t>Japanese PS Equity</t>
  </si>
  <si>
    <t>Korean PS Equity</t>
  </si>
  <si>
    <t>Samoan PS Equity</t>
  </si>
  <si>
    <t>Asian Indian PS Equity</t>
  </si>
  <si>
    <t>Hawaiian PS Equity</t>
  </si>
  <si>
    <t>Guamanian PS Equity</t>
  </si>
  <si>
    <t>Laotian PS Equity</t>
  </si>
  <si>
    <t>Vietnamese PS Equity</t>
  </si>
  <si>
    <t>Other PS Equity</t>
  </si>
  <si>
    <t>White PM Equity</t>
  </si>
  <si>
    <t>Hispanic PM Equity</t>
  </si>
  <si>
    <t>Black PM Equity</t>
  </si>
  <si>
    <t>Asian Pacific PM Equity</t>
  </si>
  <si>
    <t>Alaskan Native PM Equity</t>
  </si>
  <si>
    <t>Filipino PM Equity</t>
  </si>
  <si>
    <t>No Valid Data PM Equity</t>
  </si>
  <si>
    <t>Amerasion PM Equity</t>
  </si>
  <si>
    <t>Chinese PM Equity</t>
  </si>
  <si>
    <t>Cambodian PM Equity</t>
  </si>
  <si>
    <t>Japanese PM Equity</t>
  </si>
  <si>
    <t>Korean PM Equity</t>
  </si>
  <si>
    <t>Samoan PM Equity</t>
  </si>
  <si>
    <t>Asian Indian PM Equity</t>
  </si>
  <si>
    <t>Hawaiian PM Equity</t>
  </si>
  <si>
    <t>Guamanian PM Equity</t>
  </si>
  <si>
    <t>Laotian PM Equity</t>
  </si>
  <si>
    <t>Vietnamese PM Equity</t>
  </si>
  <si>
    <t>Other PM Equity</t>
  </si>
  <si>
    <t>White NSI Equity</t>
  </si>
  <si>
    <t>Hispanic NSI Equity</t>
  </si>
  <si>
    <t>Black NSI Equity</t>
  </si>
  <si>
    <t>Asian Pacific NSI Equity</t>
  </si>
  <si>
    <t>Alaskan Native NSI Equity</t>
  </si>
  <si>
    <t>Filipino NSI Equity</t>
  </si>
  <si>
    <t>No Valid Data NSI Equity</t>
  </si>
  <si>
    <t>Amerasion NSI Equity</t>
  </si>
  <si>
    <t>Chinese NSI Equity</t>
  </si>
  <si>
    <t>Cambodian NSI Equity</t>
  </si>
  <si>
    <t>Japanese NSI Equity</t>
  </si>
  <si>
    <t>Korean NSI Equity</t>
  </si>
  <si>
    <t>Samoan NSI Equity</t>
  </si>
  <si>
    <t>Asian Indian NSI Equity</t>
  </si>
  <si>
    <t>Hawaiian NSI Equity</t>
  </si>
  <si>
    <t>Guamanian NSI Equity</t>
  </si>
  <si>
    <t>Laotian NSI Equity</t>
  </si>
  <si>
    <t>Vietnamese NSI Equity</t>
  </si>
  <si>
    <t>Other NSI Equity</t>
  </si>
  <si>
    <t>White SI Equity</t>
  </si>
  <si>
    <t>Hispanic SI Equity</t>
  </si>
  <si>
    <t>Black SI Equity</t>
  </si>
  <si>
    <t>Asian Pacific SI Equity</t>
  </si>
  <si>
    <t>Alaskan Native SI Equity</t>
  </si>
  <si>
    <t>Filipino SI Equity</t>
  </si>
  <si>
    <t>No Valid Data SI Equity</t>
  </si>
  <si>
    <t>Amerasion SI Equity</t>
  </si>
  <si>
    <t>Chinese SI Equity</t>
  </si>
  <si>
    <t>Cambodian SI Equity</t>
  </si>
  <si>
    <t>Japanese SI Equity</t>
  </si>
  <si>
    <t>Korean SI Equity</t>
  </si>
  <si>
    <t>Samoan SI Equity</t>
  </si>
  <si>
    <t>Asian Indian SI Equity</t>
  </si>
  <si>
    <t>Hawaiian SI Equity</t>
  </si>
  <si>
    <t>Guamanian SI Equity</t>
  </si>
  <si>
    <t>Laotian SI Equity</t>
  </si>
  <si>
    <t>Vietnamese SI Equity</t>
  </si>
  <si>
    <t>Other SI Equity</t>
  </si>
  <si>
    <t xml:space="preserve">White Apps Equity </t>
  </si>
  <si>
    <t xml:space="preserve">Hispanic Apps Equity </t>
  </si>
  <si>
    <t xml:space="preserve">Black Apps Equity </t>
  </si>
  <si>
    <t xml:space="preserve">Asian Pacific Apps Equity </t>
  </si>
  <si>
    <t xml:space="preserve">Alaskan Native Apps Equity </t>
  </si>
  <si>
    <t xml:space="preserve">Filipino Apps Equity </t>
  </si>
  <si>
    <t xml:space="preserve">No Valid Data Apps Equity </t>
  </si>
  <si>
    <t xml:space="preserve">Amerasion Apps Equity </t>
  </si>
  <si>
    <t xml:space="preserve">Chinese Apps Equity </t>
  </si>
  <si>
    <t xml:space="preserve">Cambodian Apps Equity </t>
  </si>
  <si>
    <t xml:space="preserve">Japanese Apps Equity </t>
  </si>
  <si>
    <t xml:space="preserve">Korean Apps Equity </t>
  </si>
  <si>
    <t xml:space="preserve">Samoan Apps Equity </t>
  </si>
  <si>
    <t xml:space="preserve">Asian Indian Apps Equity </t>
  </si>
  <si>
    <t xml:space="preserve">Hawaiian Apps Equity </t>
  </si>
  <si>
    <t xml:space="preserve">Guamanian Apps Equity </t>
  </si>
  <si>
    <t xml:space="preserve">Laotian Apps Equity </t>
  </si>
  <si>
    <t xml:space="preserve">Vietnamese Apps Equity </t>
  </si>
  <si>
    <t xml:space="preserve">Other Apps Equity </t>
  </si>
  <si>
    <t xml:space="preserve">White Denials Equity </t>
  </si>
  <si>
    <t xml:space="preserve">Hispanic Denials Equity </t>
  </si>
  <si>
    <t xml:space="preserve">Black Denials Equity </t>
  </si>
  <si>
    <t xml:space="preserve">Asian Pacific Denials Equity </t>
  </si>
  <si>
    <t xml:space="preserve">Alaskan Native Denials Equity </t>
  </si>
  <si>
    <t xml:space="preserve">Filipino Denials Equity </t>
  </si>
  <si>
    <t xml:space="preserve">No Valid Data Denials Equity </t>
  </si>
  <si>
    <t xml:space="preserve">Amerasion Denials Equity </t>
  </si>
  <si>
    <t xml:space="preserve">Chinese Denials Equity </t>
  </si>
  <si>
    <t xml:space="preserve">Cambodian Denials Equity </t>
  </si>
  <si>
    <t xml:space="preserve">Japanese Denials Equity </t>
  </si>
  <si>
    <t xml:space="preserve">Korean Denials Equity </t>
  </si>
  <si>
    <t xml:space="preserve">Samoan Denials Equity </t>
  </si>
  <si>
    <t xml:space="preserve">Asian Indian Denials Equity </t>
  </si>
  <si>
    <t xml:space="preserve">Hawaiian Denials Equity </t>
  </si>
  <si>
    <t xml:space="preserve">Guamanian Denials Equity </t>
  </si>
  <si>
    <t xml:space="preserve">Laotian Denials Equity </t>
  </si>
  <si>
    <t xml:space="preserve">Vietnamese Denials Equity </t>
  </si>
  <si>
    <t xml:space="preserve">Other Denials Equity </t>
  </si>
  <si>
    <t xml:space="preserve">White Auth Hours Equity </t>
  </si>
  <si>
    <t xml:space="preserve">Hispanic Auth Hours Equity </t>
  </si>
  <si>
    <t xml:space="preserve">Black Auth Hours Equity </t>
  </si>
  <si>
    <t xml:space="preserve">Asian Pacific Auth Hours Equity </t>
  </si>
  <si>
    <t xml:space="preserve">Alaskan Native Auth Hours Equity </t>
  </si>
  <si>
    <t xml:space="preserve">Filipino Auth Hours Equity </t>
  </si>
  <si>
    <t xml:space="preserve">No Valid Data Auth Hours Equity </t>
  </si>
  <si>
    <t xml:space="preserve">Amerasion Auth Hours Equity </t>
  </si>
  <si>
    <t xml:space="preserve">Chinese Auth Hours Equity </t>
  </si>
  <si>
    <t xml:space="preserve">Cambodian Auth Hours Equity </t>
  </si>
  <si>
    <t xml:space="preserve">Japanese Auth Hours Equity </t>
  </si>
  <si>
    <t xml:space="preserve">Korean Auth Hours Equity </t>
  </si>
  <si>
    <t xml:space="preserve">Samoan Auth Hours Equity </t>
  </si>
  <si>
    <t xml:space="preserve">Asian Indian Auth Hours Equity </t>
  </si>
  <si>
    <t xml:space="preserve">Hawaiian Auth Hours Equity </t>
  </si>
  <si>
    <t xml:space="preserve">Guamanian Auth Hours Equity </t>
  </si>
  <si>
    <t xml:space="preserve">Laotian Auth Hours Equity </t>
  </si>
  <si>
    <t xml:space="preserve">Vietnamese Auth Hours Equity </t>
  </si>
  <si>
    <t xml:space="preserve">Other Auth Hours Equity </t>
  </si>
  <si>
    <t xml:space="preserve">White PS Equity </t>
  </si>
  <si>
    <t xml:space="preserve">Hispanic PS Equity </t>
  </si>
  <si>
    <t xml:space="preserve">Black PS Equity </t>
  </si>
  <si>
    <t xml:space="preserve">Asian Pacific PS Equity </t>
  </si>
  <si>
    <t xml:space="preserve">Alaskan Native PS Equity </t>
  </si>
  <si>
    <t xml:space="preserve">Filipino PS Equity </t>
  </si>
  <si>
    <t xml:space="preserve">No Valid Data PS Equity </t>
  </si>
  <si>
    <t xml:space="preserve">Amerasion PS Equity </t>
  </si>
  <si>
    <t xml:space="preserve">Chinese PS Equity </t>
  </si>
  <si>
    <t xml:space="preserve">Cambodian PS Equity </t>
  </si>
  <si>
    <t xml:space="preserve">Japanese PS Equity </t>
  </si>
  <si>
    <t xml:space="preserve">Korean PS Equity </t>
  </si>
  <si>
    <t xml:space="preserve">Samoan PS Equity </t>
  </si>
  <si>
    <t xml:space="preserve">Asian Indian PS Equity </t>
  </si>
  <si>
    <t xml:space="preserve">Hawaiian PS Equity </t>
  </si>
  <si>
    <t xml:space="preserve">Guamanian PS Equity </t>
  </si>
  <si>
    <t xml:space="preserve">Laotian PS Equity </t>
  </si>
  <si>
    <t xml:space="preserve">Vietnamese PS Equity </t>
  </si>
  <si>
    <t xml:space="preserve">Other PS Equity </t>
  </si>
  <si>
    <t xml:space="preserve">White PM Equity </t>
  </si>
  <si>
    <t xml:space="preserve">Hispanic PM Equity </t>
  </si>
  <si>
    <t xml:space="preserve">Black PM Equity </t>
  </si>
  <si>
    <t xml:space="preserve">Asian Pacific PM Equity </t>
  </si>
  <si>
    <t xml:space="preserve">Alaskan Native PM Equity </t>
  </si>
  <si>
    <t xml:space="preserve">Filipino PM Equity </t>
  </si>
  <si>
    <t xml:space="preserve">No Valid Data PM Equity </t>
  </si>
  <si>
    <t xml:space="preserve">Amerasion PM Equity </t>
  </si>
  <si>
    <t xml:space="preserve">Chinese PM Equity </t>
  </si>
  <si>
    <t xml:space="preserve">Cambodian PM Equity </t>
  </si>
  <si>
    <t xml:space="preserve">Japanese PM Equity </t>
  </si>
  <si>
    <t xml:space="preserve">Korean PM Equity </t>
  </si>
  <si>
    <t xml:space="preserve">Samoan PM Equity </t>
  </si>
  <si>
    <t xml:space="preserve">Asian Indian PM Equity </t>
  </si>
  <si>
    <t xml:space="preserve">Hawaiian PM Equity </t>
  </si>
  <si>
    <t xml:space="preserve">Guamanian PM Equity </t>
  </si>
  <si>
    <t xml:space="preserve">Laotian PM Equity </t>
  </si>
  <si>
    <t xml:space="preserve">Vietnamese PM Equity </t>
  </si>
  <si>
    <t xml:space="preserve">Other PM Equity </t>
  </si>
  <si>
    <t xml:space="preserve">White NSI Equity </t>
  </si>
  <si>
    <t xml:space="preserve">Hispanic NSI Equity </t>
  </si>
  <si>
    <t xml:space="preserve">Black NSI Equity </t>
  </si>
  <si>
    <t xml:space="preserve">Asian Pacific NSI Equity </t>
  </si>
  <si>
    <t xml:space="preserve">Alaskan Native NSI Equity </t>
  </si>
  <si>
    <t xml:space="preserve">Filipino NSI Equity </t>
  </si>
  <si>
    <t xml:space="preserve">No Valid Data NSI Equity </t>
  </si>
  <si>
    <t xml:space="preserve">Amerasion NSI Equity </t>
  </si>
  <si>
    <t xml:space="preserve">Chinese NSI Equity </t>
  </si>
  <si>
    <t xml:space="preserve">Cambodian NSI Equity </t>
  </si>
  <si>
    <t xml:space="preserve">Japanese NSI Equity </t>
  </si>
  <si>
    <t xml:space="preserve">Korean NSI Equity </t>
  </si>
  <si>
    <t xml:space="preserve">Samoan NSI Equity </t>
  </si>
  <si>
    <t xml:space="preserve">Asian Indian NSI Equity </t>
  </si>
  <si>
    <t xml:space="preserve">Hawaiian NSI Equity </t>
  </si>
  <si>
    <t xml:space="preserve">Guamanian NSI Equity </t>
  </si>
  <si>
    <t xml:space="preserve">Laotian NSI Equity </t>
  </si>
  <si>
    <t xml:space="preserve">Vietnamese NSI Equity </t>
  </si>
  <si>
    <t xml:space="preserve">Other NSI Equity </t>
  </si>
  <si>
    <t xml:space="preserve">White SI Equity </t>
  </si>
  <si>
    <t xml:space="preserve">Hispanic SI Equity </t>
  </si>
  <si>
    <t xml:space="preserve">Black SI Equity </t>
  </si>
  <si>
    <t xml:space="preserve">Asian Pacific SI Equity </t>
  </si>
  <si>
    <t xml:space="preserve">Alaskan Native SI Equity </t>
  </si>
  <si>
    <t xml:space="preserve">Filipino SI Equity </t>
  </si>
  <si>
    <t xml:space="preserve">No Valid Data SI Equity </t>
  </si>
  <si>
    <t xml:space="preserve">Amerasion SI Equity </t>
  </si>
  <si>
    <t xml:space="preserve">Chinese SI Equity </t>
  </si>
  <si>
    <t xml:space="preserve">Cambodian SI Equity </t>
  </si>
  <si>
    <t xml:space="preserve">Japanese SI Equity </t>
  </si>
  <si>
    <t xml:space="preserve">Korean SI Equity </t>
  </si>
  <si>
    <t xml:space="preserve">Samoan SI Equity </t>
  </si>
  <si>
    <t xml:space="preserve">Asian Indian SI Equity </t>
  </si>
  <si>
    <t xml:space="preserve">Hawaiian SI Equity </t>
  </si>
  <si>
    <t xml:space="preserve">Guamanian SI Equity </t>
  </si>
  <si>
    <t xml:space="preserve">Laotian SI Equity </t>
  </si>
  <si>
    <t xml:space="preserve">Vietnamese SI Equity </t>
  </si>
  <si>
    <t xml:space="preserve">Other SI Equity </t>
  </si>
  <si>
    <t>IHSS Program Data (08-2022)</t>
  </si>
  <si>
    <r>
      <rPr>
        <b/>
        <sz val="12"/>
        <color theme="4" tint="-0.499984740745262"/>
        <rFont val="Arial"/>
        <family val="2"/>
      </rPr>
      <t>Average Hours per Recipient:</t>
    </r>
    <r>
      <rPr>
        <sz val="12"/>
        <color theme="4" tint="-0.499984740745262"/>
        <rFont val="Arial"/>
        <family val="2"/>
      </rPr>
      <t xml:space="preserve"> </t>
    </r>
    <r>
      <rPr>
        <sz val="12"/>
        <rFont val="Arial"/>
        <family val="2"/>
      </rPr>
      <t xml:space="preserve">Authorized Hours per Recipient is an average that is calculated using the total number of Authorized Hours divided by the Total number of Recipients.  </t>
    </r>
  </si>
  <si>
    <r>
      <t>1. Rounded Numbers</t>
    </r>
    <r>
      <rPr>
        <sz val="12"/>
        <rFont val="Arial"/>
        <family val="2"/>
      </rPr>
      <t>:  Calculations may result in multiple values to the right of the decimal.  These values will be shorten to zero or one digit after the decimal. Here are two examples:
a.  Charts - a calculated result of 3.1415 would be rounded to 3.1 for the unit of hours or a whole number of 3 for all other data.  There may be instances where a chart might show 3.1 for both the county and average of similar sized counties.  Rounding may cause one bar to be higher than the other. The actual number being graphed is: County = 3.14 and Avg. of Similar Sized Counties = 3.06.  
b.  Tables - a calucated result of 0.45 would be rounded to .4 for the unit of hours or a whole number of 0 for all other data.  In this instance .4 will show on the table as 0.  However, the table will also show 42.9% of the population.  The number being used to calculate the percentage of 42.9% from .4.</t>
    </r>
  </si>
  <si>
    <t xml:space="preserve">Electronic Timesheet System (ETS) and Electronic Visit Verification (EVV) is no longer being provided by the vendor.  Due to using available data (DDL's) the ETS and EVV numbers have changed slightly.  </t>
  </si>
  <si>
    <r>
      <rPr>
        <b/>
        <sz val="12"/>
        <color theme="4" tint="-0.499984740745262"/>
        <rFont val="Arial"/>
        <family val="2"/>
      </rPr>
      <t xml:space="preserve">Electronic Timesheet - Enrolled </t>
    </r>
    <r>
      <rPr>
        <sz val="12"/>
        <color theme="1"/>
        <rFont val="Arial"/>
        <family val="2"/>
      </rPr>
      <t>: A Recipient/Provider who is enrolled in submitting timesheets electronically through the Electronic Services Portal (ESP) website and/or telephonically through the Telephone Timesheet System (TTS). These numbers are reported to CDSS by the vendor and may exceed 100%.</t>
    </r>
    <r>
      <rPr>
        <sz val="12"/>
        <color theme="4" tint="-0.499984740745262"/>
        <rFont val="Arial"/>
        <family val="2"/>
      </rPr>
      <t xml:space="preserve"> </t>
    </r>
    <r>
      <rPr>
        <sz val="12"/>
        <rFont val="Arial"/>
        <family val="2"/>
      </rPr>
      <t>(See Change Log below 6/2023.)</t>
    </r>
  </si>
  <si>
    <r>
      <rPr>
        <b/>
        <sz val="12"/>
        <color theme="4" tint="-0.499984740745262"/>
        <rFont val="Arial"/>
        <family val="2"/>
      </rPr>
      <t>Electronic Visit Verification (EVV)</t>
    </r>
    <r>
      <rPr>
        <sz val="12"/>
        <rFont val="Arial"/>
        <family val="2"/>
      </rPr>
      <t>: is a telephone and computer-based solution that electronically verifies in-home service visits</t>
    </r>
    <r>
      <rPr>
        <sz val="12"/>
        <color theme="1"/>
        <rFont val="Arial"/>
        <family val="2"/>
      </rPr>
      <t>.  These numbers are reported to CDSS by the vendor and may exceed 100%.</t>
    </r>
    <r>
      <rPr>
        <sz val="12"/>
        <color theme="4" tint="-0.499984740745262"/>
        <rFont val="Arial"/>
        <family val="2"/>
      </rPr>
      <t xml:space="preserve"> (</t>
    </r>
    <r>
      <rPr>
        <sz val="12"/>
        <color theme="1"/>
        <rFont val="Arial"/>
        <family val="2"/>
      </rPr>
      <t>See Change Log below 6/2023</t>
    </r>
    <r>
      <rPr>
        <sz val="12"/>
        <color theme="4" tint="-0.49998474074526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</si>
</sst>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quot;$&quot;#,##0.00"/>
    <numFmt numFmtId="168" formatCode="#,##0.0_);\(#,##0.0\)"/>
    <numFmt numFmtId="169" formatCode="#,##0.0"/>
    <numFmt numFmtId="170" formatCode="mmmm\ yyyy"/>
  </numFmts>
  <fonts count="5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0"/>
      <color indexed="8"/>
      <name val="Arial"/>
      <family val="2"/>
    </font>
    <font>
      <sz val="10"/>
      <color theme="1"/>
      <name val="Arial"/>
      <family val="2"/>
    </font>
    <font>
      <sz val="12"/>
      <color theme="1"/>
      <name val="Arial"/>
      <family val="2"/>
    </font>
    <font>
      <b/>
      <sz val="12"/>
      <color theme="1"/>
      <name val="Arial"/>
      <family val="2"/>
    </font>
    <font>
      <sz val="16"/>
      <color theme="1"/>
      <name val="Arial"/>
      <family val="2"/>
    </font>
    <font>
      <b/>
      <sz val="12"/>
      <color theme="0"/>
      <name val="Arial"/>
      <family val="2"/>
    </font>
    <font>
      <i/>
      <sz val="12"/>
      <color theme="1"/>
      <name val="Arial"/>
      <family val="2"/>
    </font>
    <font>
      <sz val="10"/>
      <color indexed="8"/>
      <name val="Arial"/>
      <family val="2"/>
    </font>
    <font>
      <b/>
      <sz val="16"/>
      <color theme="1"/>
      <name val="Arial"/>
      <family val="2"/>
    </font>
    <font>
      <b/>
      <sz val="14"/>
      <color theme="0"/>
      <name val="Arial"/>
      <family val="2"/>
    </font>
    <font>
      <b/>
      <sz val="11"/>
      <color theme="1"/>
      <name val="Calibri"/>
      <family val="2"/>
      <scheme val="minor"/>
    </font>
    <font>
      <b/>
      <sz val="14"/>
      <color theme="1"/>
      <name val="Arial"/>
      <family val="2"/>
    </font>
    <font>
      <b/>
      <u/>
      <sz val="12"/>
      <color theme="1"/>
      <name val="Arial"/>
      <family val="2"/>
    </font>
    <font>
      <sz val="12"/>
      <color theme="4" tint="-0.499984740745262"/>
      <name val="Arial"/>
      <family val="2"/>
    </font>
    <font>
      <b/>
      <sz val="12"/>
      <color theme="4" tint="-0.499984740745262"/>
      <name val="Arial"/>
      <family val="2"/>
    </font>
    <font>
      <sz val="8"/>
      <color theme="1"/>
      <name val="Arial"/>
      <family val="2"/>
    </font>
    <font>
      <sz val="1"/>
      <color theme="0"/>
      <name val="Arial"/>
      <family val="2"/>
    </font>
    <font>
      <b/>
      <sz val="1"/>
      <color theme="0"/>
      <name val="Arial"/>
      <family val="2"/>
    </font>
    <font>
      <sz val="11"/>
      <color theme="0"/>
      <name val="Arial"/>
      <family val="2"/>
    </font>
    <font>
      <sz val="12"/>
      <color theme="0"/>
      <name val="Arial"/>
      <family val="2"/>
    </font>
    <font>
      <sz val="1"/>
      <color theme="0"/>
      <name val="Calibri"/>
      <family val="2"/>
      <scheme val="minor"/>
    </font>
    <font>
      <sz val="11"/>
      <color theme="0"/>
      <name val="Calibri"/>
      <family val="2"/>
      <scheme val="minor"/>
    </font>
    <font>
      <sz val="1"/>
      <color theme="1"/>
      <name val="Arial"/>
      <family val="2"/>
    </font>
    <font>
      <sz val="10"/>
      <color theme="0"/>
      <name val="Arial"/>
      <family val="2"/>
    </font>
    <font>
      <sz val="11.5"/>
      <color theme="1"/>
      <name val="Arial"/>
      <family val="2"/>
    </font>
    <font>
      <b/>
      <sz val="11.5"/>
      <color theme="1"/>
      <name val="Arial"/>
      <family val="2"/>
    </font>
    <font>
      <sz val="12"/>
      <name val="Arial"/>
      <family val="2"/>
    </font>
    <font>
      <sz val="11.5"/>
      <name val="Arial"/>
      <family val="2"/>
    </font>
    <font>
      <b/>
      <sz val="20"/>
      <color theme="1"/>
      <name val="Arial"/>
      <family val="2"/>
    </font>
    <font>
      <b/>
      <sz val="12"/>
      <name val="Arial"/>
      <family val="2"/>
    </font>
    <font>
      <sz val="8"/>
      <name val="Calibri"/>
      <family val="2"/>
      <scheme val="minor"/>
    </font>
    <font>
      <sz val="12"/>
      <color rgb="FF000000"/>
      <name val="Arial"/>
      <family val="2"/>
    </font>
    <font>
      <sz val="12"/>
      <color indexed="8"/>
      <name val="Arial"/>
      <family val="2"/>
    </font>
    <font>
      <b/>
      <sz val="12"/>
      <color indexed="8"/>
      <name val="Arial"/>
      <family val="2"/>
    </font>
    <font>
      <sz val="12"/>
      <color theme="1"/>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gray0625"/>
    </fill>
    <fill>
      <patternFill patternType="solid">
        <fgColor theme="0"/>
        <bgColor indexed="64"/>
      </patternFill>
    </fill>
    <fill>
      <patternFill patternType="solid">
        <fgColor theme="4" tint="0.79998168889431442"/>
        <bgColor theme="4" tint="0.79998168889431442"/>
      </patternFill>
    </fill>
    <fill>
      <patternFill patternType="solid">
        <fgColor rgb="FFFFFF00"/>
        <bgColor indexed="64"/>
      </patternFill>
    </fill>
  </fills>
  <borders count="133">
    <border>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auto="1"/>
      </right>
      <top style="thin">
        <color auto="1"/>
      </top>
      <bottom/>
      <diagonal/>
    </border>
    <border>
      <left/>
      <right/>
      <top style="thin">
        <color indexed="64"/>
      </top>
      <bottom/>
      <diagonal/>
    </border>
    <border>
      <left style="thin">
        <color indexed="22"/>
      </left>
      <right style="thin">
        <color indexed="22"/>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indexed="64"/>
      </left>
      <right/>
      <top style="thin">
        <color theme="2" tint="-0.24994659260841701"/>
      </top>
      <bottom/>
      <diagonal/>
    </border>
    <border>
      <left/>
      <right/>
      <top style="thin">
        <color theme="2" tint="-0.24994659260841701"/>
      </top>
      <bottom/>
      <diagonal/>
    </border>
    <border>
      <left/>
      <right style="thin">
        <color indexed="64"/>
      </right>
      <top style="thin">
        <color theme="2" tint="-0.24994659260841701"/>
      </top>
      <bottom/>
      <diagonal/>
    </border>
    <border>
      <left style="thin">
        <color auto="1"/>
      </left>
      <right/>
      <top/>
      <bottom style="thin">
        <color theme="2" tint="-0.24994659260841701"/>
      </bottom>
      <diagonal/>
    </border>
    <border>
      <left/>
      <right/>
      <top/>
      <bottom style="thin">
        <color theme="2" tint="-0.24994659260841701"/>
      </bottom>
      <diagonal/>
    </border>
    <border>
      <left/>
      <right style="thin">
        <color auto="1"/>
      </right>
      <top/>
      <bottom style="thin">
        <color theme="2" tint="-0.24994659260841701"/>
      </bottom>
      <diagonal/>
    </border>
    <border>
      <left/>
      <right/>
      <top style="thin">
        <color indexed="64"/>
      </top>
      <bottom/>
      <diagonal/>
    </border>
    <border>
      <left/>
      <right style="thin">
        <color indexed="64"/>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style="thin">
        <color auto="1"/>
      </bottom>
      <diagonal/>
    </border>
    <border>
      <left style="thin">
        <color theme="2" tint="-0.24994659260841701"/>
      </left>
      <right/>
      <top/>
      <bottom/>
      <diagonal/>
    </border>
    <border>
      <left/>
      <right style="thin">
        <color theme="2" tint="-0.2499465926084170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auto="1"/>
      </right>
      <top style="thin">
        <color auto="1"/>
      </top>
      <bottom/>
      <diagonal/>
    </border>
    <border>
      <left style="thin">
        <color theme="2" tint="-0.24994659260841701"/>
      </left>
      <right style="thin">
        <color auto="1"/>
      </right>
      <top/>
      <bottom/>
      <diagonal/>
    </border>
    <border>
      <left style="thin">
        <color theme="2" tint="-0.24994659260841701"/>
      </left>
      <right style="thin">
        <color auto="1"/>
      </right>
      <top/>
      <bottom style="thin">
        <color auto="1"/>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theme="2" tint="-0.24994659260841701"/>
      </left>
      <right/>
      <top style="thin">
        <color indexed="64"/>
      </top>
      <bottom/>
      <diagonal/>
    </border>
    <border>
      <left/>
      <right style="thin">
        <color theme="2" tint="-0.24994659260841701"/>
      </right>
      <top style="thin">
        <color indexed="64"/>
      </top>
      <bottom/>
      <diagonal/>
    </border>
    <border>
      <left style="thin">
        <color theme="2" tint="-0.24994659260841701"/>
      </left>
      <right/>
      <top/>
      <bottom style="thin">
        <color indexed="64"/>
      </bottom>
      <diagonal/>
    </border>
    <border>
      <left/>
      <right style="thin">
        <color theme="2" tint="-0.24994659260841701"/>
      </right>
      <top/>
      <bottom style="thin">
        <color indexed="64"/>
      </bottom>
      <diagonal/>
    </border>
    <border>
      <left/>
      <right/>
      <top style="thin">
        <color indexed="64"/>
      </top>
      <bottom style="thin">
        <color auto="1"/>
      </bottom>
      <diagonal/>
    </border>
    <border>
      <left style="thin">
        <color indexed="64"/>
      </left>
      <right style="thin">
        <color indexed="64"/>
      </right>
      <top/>
      <bottom style="thin">
        <color indexed="64"/>
      </bottom>
      <diagonal/>
    </border>
    <border>
      <left style="thin">
        <color indexed="64"/>
      </left>
      <right style="thin">
        <color theme="2" tint="-0.24994659260841701"/>
      </right>
      <top/>
      <bottom style="thin">
        <color indexed="64"/>
      </bottom>
      <diagonal/>
    </border>
    <border>
      <left/>
      <right/>
      <top/>
      <bottom style="double">
        <color auto="1"/>
      </bottom>
      <diagonal/>
    </border>
    <border>
      <left/>
      <right/>
      <top/>
      <bottom style="double">
        <color theme="4" tint="-0.499984740745262"/>
      </bottom>
      <diagonal/>
    </border>
    <border>
      <left/>
      <right/>
      <top style="thin">
        <color indexed="64"/>
      </top>
      <bottom/>
      <diagonal/>
    </border>
    <border>
      <left/>
      <right style="thin">
        <color auto="1"/>
      </right>
      <top style="thin">
        <color auto="1"/>
      </top>
      <bottom style="thin">
        <color theme="2" tint="-0.24994659260841701"/>
      </bottom>
      <diagonal/>
    </border>
    <border>
      <left/>
      <right/>
      <top style="thin">
        <color auto="1"/>
      </top>
      <bottom style="thin">
        <color theme="2" tint="-0.24994659260841701"/>
      </bottom>
      <diagonal/>
    </border>
    <border>
      <left style="thin">
        <color theme="1"/>
      </left>
      <right/>
      <top/>
      <bottom/>
      <diagonal/>
    </border>
    <border>
      <left style="thin">
        <color indexed="64"/>
      </left>
      <right/>
      <top style="thin">
        <color indexed="64"/>
      </top>
      <bottom style="thin">
        <color indexed="64"/>
      </bottom>
      <diagonal/>
    </border>
    <border>
      <left/>
      <right/>
      <top style="thin">
        <color indexed="64"/>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theme="2" tint="-0.24994659260841701"/>
      </right>
      <top style="thin">
        <color indexed="64"/>
      </top>
      <bottom/>
      <diagonal/>
    </border>
    <border>
      <left style="thin">
        <color theme="2" tint="-0.24994659260841701"/>
      </left>
      <right/>
      <top style="thin">
        <color indexed="64"/>
      </top>
      <bottom/>
      <diagonal/>
    </border>
    <border>
      <left/>
      <right style="thin">
        <color indexed="64"/>
      </right>
      <top style="thin">
        <color indexed="64"/>
      </top>
      <bottom/>
      <diagonal/>
    </border>
    <border>
      <left style="thin">
        <color rgb="FF000000"/>
      </left>
      <right/>
      <top style="thin">
        <color rgb="FF000000"/>
      </top>
      <bottom/>
      <diagonal/>
    </border>
    <border>
      <left/>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theme="0" tint="-0.24994659260841701"/>
      </top>
      <bottom/>
      <diagonal/>
    </border>
    <border>
      <left style="thin">
        <color indexed="64"/>
      </left>
      <right/>
      <top/>
      <bottom style="thin">
        <color theme="0" tint="-0.24994659260841701"/>
      </bottom>
      <diagonal/>
    </border>
    <border>
      <left style="thin">
        <color indexed="64"/>
      </left>
      <right/>
      <top style="thin">
        <color theme="0" tint="-0.24994659260841701"/>
      </top>
      <bottom style="thin">
        <color theme="2" tint="-0.24994659260841701"/>
      </bottom>
      <diagonal/>
    </border>
    <border>
      <left/>
      <right/>
      <top style="thin">
        <color theme="0" tint="-0.24994659260841701"/>
      </top>
      <bottom style="thin">
        <color theme="2" tint="-0.24994659260841701"/>
      </bottom>
      <diagonal/>
    </border>
    <border>
      <left/>
      <right style="thin">
        <color indexed="64"/>
      </right>
      <top style="thin">
        <color theme="0" tint="-0.24994659260841701"/>
      </top>
      <bottom style="thin">
        <color theme="2" tint="-0.24994659260841701"/>
      </bottom>
      <diagonal/>
    </border>
    <border>
      <left/>
      <right/>
      <top style="thin">
        <color theme="0" tint="-0.24994659260841701"/>
      </top>
      <bottom/>
      <diagonal/>
    </border>
    <border>
      <left/>
      <right style="thin">
        <color indexed="64"/>
      </right>
      <top style="thin">
        <color theme="0" tint="-0.24994659260841701"/>
      </top>
      <bottom/>
      <diagonal/>
    </border>
    <border>
      <left style="thin">
        <color indexed="64"/>
      </left>
      <right/>
      <top style="thin">
        <color theme="0" tint="-0.24994659260841701"/>
      </top>
      <bottom style="thin">
        <color theme="0" tint="-0.24994659260841701"/>
      </bottom>
      <diagonal/>
    </border>
    <border>
      <left style="thin">
        <color rgb="FF000000"/>
      </left>
      <right/>
      <top/>
      <bottom/>
      <diagonal/>
    </border>
    <border>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indexed="64"/>
      </left>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top style="thin">
        <color auto="1"/>
      </top>
      <bottom style="thin">
        <color theme="0" tint="-0.24994659260841701"/>
      </bottom>
      <diagonal/>
    </border>
    <border>
      <left style="thin">
        <color theme="2" tint="-0.24994659260841701"/>
      </left>
      <right/>
      <top style="thin">
        <color indexed="64"/>
      </top>
      <bottom/>
      <diagonal/>
    </border>
    <border>
      <left/>
      <right style="thin">
        <color theme="2" tint="-0.24994659260841701"/>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theme="2" tint="-0.24994659260841701"/>
      </right>
      <top style="thin">
        <color indexed="64"/>
      </top>
      <bottom/>
      <diagonal/>
    </border>
    <border>
      <left style="thin">
        <color theme="0" tint="-0.24994659260841701"/>
      </left>
      <right style="thin">
        <color theme="0" tint="-0.24994659260841701"/>
      </right>
      <top style="thin">
        <color indexed="64"/>
      </top>
      <bottom/>
      <diagonal/>
    </border>
    <border>
      <left style="thin">
        <color indexed="64"/>
      </left>
      <right/>
      <top style="thin">
        <color indexed="64"/>
      </top>
      <bottom/>
      <diagonal/>
    </border>
    <border>
      <left/>
      <right/>
      <top style="thin">
        <color indexed="64"/>
      </top>
      <bottom style="double">
        <color theme="1"/>
      </bottom>
      <diagonal/>
    </border>
    <border>
      <left style="thin">
        <color indexed="64"/>
      </left>
      <right/>
      <top style="thin">
        <color indexed="64"/>
      </top>
      <bottom style="double">
        <color theme="1"/>
      </bottom>
      <diagonal/>
    </border>
    <border>
      <left style="thin">
        <color theme="1"/>
      </left>
      <right style="thin">
        <color theme="1"/>
      </right>
      <top style="thin">
        <color theme="1"/>
      </top>
      <bottom style="double">
        <color theme="1"/>
      </bottom>
      <diagonal/>
    </border>
    <border>
      <left style="thin">
        <color theme="1"/>
      </left>
      <right style="thin">
        <color theme="1"/>
      </right>
      <top/>
      <bottom style="double">
        <color theme="1"/>
      </bottom>
      <diagonal/>
    </border>
    <border>
      <left/>
      <right/>
      <top style="double">
        <color theme="1"/>
      </top>
      <bottom/>
      <diagonal/>
    </border>
    <border>
      <left style="thin">
        <color indexed="64"/>
      </left>
      <right/>
      <top style="double">
        <color theme="1"/>
      </top>
      <bottom/>
      <diagonal/>
    </border>
    <border>
      <left style="thin">
        <color theme="1"/>
      </left>
      <right style="thin">
        <color theme="1"/>
      </right>
      <top style="double">
        <color theme="1"/>
      </top>
      <bottom style="thin">
        <color theme="1"/>
      </bottom>
      <diagonal/>
    </border>
    <border>
      <left/>
      <right style="thin">
        <color indexed="64"/>
      </right>
      <top style="thin">
        <color theme="0" tint="-0.24994659260841701"/>
      </top>
      <bottom style="thin">
        <color theme="0" tint="-0.24994659260841701"/>
      </bottom>
      <diagonal/>
    </border>
    <border>
      <left/>
      <right style="thin">
        <color auto="1"/>
      </right>
      <top style="thin">
        <color indexed="64"/>
      </top>
      <bottom style="thin">
        <color theme="0" tint="-0.24994659260841701"/>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double">
        <color theme="4" tint="-0.499984740745262"/>
      </top>
      <bottom/>
      <diagonal/>
    </border>
    <border>
      <left style="thin">
        <color indexed="64"/>
      </left>
      <right/>
      <top style="thin">
        <color rgb="FF000000"/>
      </top>
      <bottom/>
      <diagonal/>
    </border>
    <border>
      <left/>
      <right/>
      <top style="medium">
        <color theme="0" tint="-0.24994659260841701"/>
      </top>
      <bottom/>
      <diagonal/>
    </border>
    <border>
      <left/>
      <right style="thin">
        <color theme="1"/>
      </right>
      <top/>
      <bottom/>
      <diagonal/>
    </border>
    <border>
      <left style="thin">
        <color theme="1"/>
      </left>
      <right style="thin">
        <color theme="2" tint="-0.24994659260841701"/>
      </right>
      <top/>
      <bottom style="thin">
        <color theme="1"/>
      </bottom>
      <diagonal/>
    </border>
    <border>
      <left style="thin">
        <color theme="2" tint="-0.24994659260841701"/>
      </left>
      <right/>
      <top/>
      <bottom style="thin">
        <color theme="1"/>
      </bottom>
      <diagonal/>
    </border>
    <border>
      <left/>
      <right style="thin">
        <color theme="2" tint="-0.24994659260841701"/>
      </right>
      <top/>
      <bottom style="thin">
        <color theme="1"/>
      </bottom>
      <diagonal/>
    </border>
    <border>
      <left style="thin">
        <color theme="2" tint="-0.24994659260841701"/>
      </left>
      <right style="thin">
        <color auto="1"/>
      </right>
      <top/>
      <bottom style="thin">
        <color theme="1"/>
      </bottom>
      <diagonal/>
    </border>
    <border>
      <left/>
      <right/>
      <top style="thin">
        <color theme="4" tint="0.39997558519241921"/>
      </top>
      <bottom style="thin">
        <color theme="4" tint="0.39997558519241921"/>
      </bottom>
      <diagonal/>
    </border>
    <border>
      <left style="thin">
        <color theme="4" tint="0.39994506668294322"/>
      </left>
      <right/>
      <top style="thin">
        <color theme="4" tint="0.39994506668294322"/>
      </top>
      <bottom/>
      <diagonal/>
    </border>
    <border>
      <left/>
      <right/>
      <top style="thin">
        <color theme="4" tint="0.39994506668294322"/>
      </top>
      <bottom/>
      <diagonal/>
    </border>
    <border>
      <left/>
      <right style="thin">
        <color theme="4" tint="0.39994506668294322"/>
      </right>
      <top style="thin">
        <color theme="4" tint="0.39994506668294322"/>
      </top>
      <bottom/>
      <diagonal/>
    </border>
    <border>
      <left style="thin">
        <color theme="4" tint="0.39997558519241921"/>
      </left>
      <right/>
      <top style="thin">
        <color theme="4" tint="0.39994506668294322"/>
      </top>
      <bottom/>
      <diagonal/>
    </border>
    <border>
      <left/>
      <right style="thin">
        <color theme="4" tint="0.39997558519241921"/>
      </right>
      <top style="thin">
        <color theme="4" tint="0.39994506668294322"/>
      </top>
      <bottom/>
      <diagonal/>
    </border>
    <border>
      <left style="thin">
        <color theme="4" tint="0.39997558519241921"/>
      </left>
      <right/>
      <top style="thin">
        <color theme="4" tint="0.39997558519241921"/>
      </top>
      <bottom/>
      <diagonal/>
    </border>
    <border>
      <left style="thin">
        <color theme="4" tint="0.39994506668294322"/>
      </left>
      <right/>
      <top style="thin">
        <color theme="4" tint="0.39997558519241921"/>
      </top>
      <bottom/>
      <diagonal/>
    </border>
    <border>
      <left/>
      <right/>
      <top style="thin">
        <color theme="4" tint="0.39997558519241921"/>
      </top>
      <bottom/>
      <diagonal/>
    </border>
    <border>
      <left/>
      <right style="thin">
        <color theme="4" tint="0.39994506668294322"/>
      </right>
      <top style="thin">
        <color theme="4" tint="0.39997558519241921"/>
      </top>
      <bottom/>
      <diagonal/>
    </border>
    <border>
      <left/>
      <right style="thin">
        <color theme="4" tint="0.39997558519241921"/>
      </right>
      <top style="thin">
        <color theme="4" tint="0.39997558519241921"/>
      </top>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indexed="64"/>
      </left>
      <right/>
      <top style="thin">
        <color rgb="FF000000"/>
      </top>
      <bottom style="medium">
        <color auto="1"/>
      </bottom>
      <diagonal/>
    </border>
    <border>
      <left style="thin">
        <color indexed="64"/>
      </left>
      <right style="thin">
        <color indexed="64"/>
      </right>
      <top style="thin">
        <color indexed="64"/>
      </top>
      <bottom style="medium">
        <color auto="1"/>
      </bottom>
      <diagonal/>
    </border>
    <border>
      <left/>
      <right/>
      <top style="medium">
        <color auto="1"/>
      </top>
      <bottom/>
      <diagonal/>
    </border>
    <border>
      <left style="thin">
        <color indexed="64"/>
      </left>
      <right/>
      <top style="medium">
        <color auto="1"/>
      </top>
      <bottom/>
      <diagonal/>
    </border>
    <border>
      <left style="thin">
        <color theme="1"/>
      </left>
      <right style="thin">
        <color theme="1"/>
      </right>
      <top style="medium">
        <color auto="1"/>
      </top>
      <bottom style="thin">
        <color theme="1"/>
      </bottom>
      <diagonal/>
    </border>
  </borders>
  <cellStyleXfs count="9">
    <xf numFmtId="0" fontId="0" fillId="0" borderId="0"/>
    <xf numFmtId="43" fontId="18" fillId="0" borderId="0" applyFont="0" applyFill="0" applyBorder="0" applyAlignment="0" applyProtection="0"/>
    <xf numFmtId="44" fontId="18" fillId="0" borderId="0" applyFont="0" applyFill="0" applyBorder="0" applyAlignment="0" applyProtection="0"/>
    <xf numFmtId="0" fontId="19" fillId="0" borderId="0"/>
    <xf numFmtId="9" fontId="18" fillId="0" borderId="0" applyFont="0" applyFill="0" applyBorder="0" applyAlignment="0" applyProtection="0"/>
    <xf numFmtId="0" fontId="26" fillId="0" borderId="0"/>
    <xf numFmtId="0" fontId="19" fillId="0" borderId="0"/>
    <xf numFmtId="0" fontId="32" fillId="0" borderId="0" applyNumberFormat="0" applyFill="0" applyBorder="0" applyAlignment="0" applyProtection="0"/>
    <xf numFmtId="0" fontId="32" fillId="0" borderId="0" applyNumberFormat="0" applyFill="0" applyBorder="0" applyAlignment="0" applyProtection="0"/>
  </cellStyleXfs>
  <cellXfs count="798">
    <xf numFmtId="0" fontId="0" fillId="0" borderId="0" xfId="0"/>
    <xf numFmtId="0" fontId="0" fillId="0" borderId="51" xfId="0" applyBorder="1"/>
    <xf numFmtId="0" fontId="35" fillId="0" borderId="0" xfId="0" applyFont="1"/>
    <xf numFmtId="0" fontId="35" fillId="0" borderId="0" xfId="7" applyFont="1" applyProtection="1"/>
    <xf numFmtId="0" fontId="32" fillId="0" borderId="0" xfId="7" applyProtection="1"/>
    <xf numFmtId="0" fontId="21" fillId="0" borderId="0" xfId="0" applyFont="1"/>
    <xf numFmtId="0" fontId="21" fillId="0" borderId="0" xfId="0" applyFont="1" applyAlignment="1">
      <alignment horizontal="center" vertical="top"/>
    </xf>
    <xf numFmtId="0" fontId="43" fillId="0" borderId="0" xfId="0" applyFont="1" applyAlignment="1">
      <alignment horizontal="left" vertical="top" wrapText="1"/>
    </xf>
    <xf numFmtId="0" fontId="28" fillId="2" borderId="0" xfId="0" applyFont="1" applyFill="1" applyAlignment="1" applyProtection="1">
      <alignment horizontal="center" vertical="center"/>
      <protection locked="0"/>
    </xf>
    <xf numFmtId="0" fontId="21" fillId="0" borderId="17" xfId="0" applyFont="1" applyBorder="1" applyAlignment="1" applyProtection="1">
      <alignment horizontal="right" vertical="center"/>
      <protection hidden="1"/>
    </xf>
    <xf numFmtId="37" fontId="21" fillId="0" borderId="29" xfId="0" applyNumberFormat="1" applyFont="1" applyBorder="1" applyAlignment="1" applyProtection="1">
      <alignment horizontal="center" vertical="center" wrapText="1"/>
      <protection hidden="1"/>
    </xf>
    <xf numFmtId="166" fontId="21" fillId="0" borderId="30" xfId="4" applyNumberFormat="1" applyFont="1" applyBorder="1" applyAlignment="1" applyProtection="1">
      <alignment horizontal="center" vertical="center" wrapText="1"/>
      <protection hidden="1"/>
    </xf>
    <xf numFmtId="166" fontId="21" fillId="0" borderId="9" xfId="4" applyNumberFormat="1" applyFont="1" applyBorder="1" applyAlignment="1" applyProtection="1">
      <alignment horizontal="center" vertical="center" wrapText="1"/>
      <protection hidden="1"/>
    </xf>
    <xf numFmtId="37" fontId="21" fillId="0" borderId="46" xfId="0" applyNumberFormat="1" applyFont="1" applyBorder="1" applyAlignment="1" applyProtection="1">
      <alignment horizontal="center" vertical="center" wrapText="1"/>
      <protection hidden="1"/>
    </xf>
    <xf numFmtId="166" fontId="21" fillId="0" borderId="42" xfId="7" applyNumberFormat="1" applyFont="1" applyBorder="1" applyAlignment="1" applyProtection="1">
      <alignment horizontal="center" vertical="center" wrapText="1"/>
      <protection hidden="1"/>
    </xf>
    <xf numFmtId="0" fontId="36" fillId="0" borderId="26" xfId="0" applyFont="1" applyBorder="1" applyAlignment="1" applyProtection="1">
      <alignment horizontal="right" vertical="center"/>
      <protection hidden="1"/>
    </xf>
    <xf numFmtId="0" fontId="22" fillId="0" borderId="44" xfId="0" applyFont="1" applyBorder="1" applyAlignment="1" applyProtection="1">
      <alignment horizontal="centerContinuous" vertical="center"/>
      <protection hidden="1"/>
    </xf>
    <xf numFmtId="0" fontId="22" fillId="0" borderId="45" xfId="0" applyFont="1" applyBorder="1" applyAlignment="1" applyProtection="1">
      <alignment horizontal="centerContinuous" vertical="center"/>
      <protection hidden="1"/>
    </xf>
    <xf numFmtId="0" fontId="22" fillId="0" borderId="41" xfId="0" applyFont="1" applyBorder="1" applyAlignment="1" applyProtection="1">
      <alignment horizontal="centerContinuous" vertical="center"/>
      <protection hidden="1"/>
    </xf>
    <xf numFmtId="0" fontId="21" fillId="0" borderId="4" xfId="0" applyFont="1" applyBorder="1" applyAlignment="1" applyProtection="1">
      <alignment horizontal="right" vertical="center"/>
      <protection hidden="1"/>
    </xf>
    <xf numFmtId="3" fontId="21" fillId="0" borderId="29" xfId="0" applyNumberFormat="1" applyFont="1" applyBorder="1" applyAlignment="1" applyProtection="1">
      <alignment horizontal="center" vertical="center" wrapText="1"/>
      <protection hidden="1"/>
    </xf>
    <xf numFmtId="3" fontId="21" fillId="0" borderId="29" xfId="1" applyNumberFormat="1" applyFont="1" applyBorder="1" applyAlignment="1" applyProtection="1">
      <alignment horizontal="center" vertical="center" wrapText="1"/>
      <protection hidden="1"/>
    </xf>
    <xf numFmtId="0" fontId="21" fillId="0" borderId="43" xfId="0" applyFont="1" applyBorder="1" applyAlignment="1" applyProtection="1">
      <alignment horizontal="right" vertical="center"/>
      <protection hidden="1"/>
    </xf>
    <xf numFmtId="3" fontId="21" fillId="0" borderId="46" xfId="0" applyNumberFormat="1" applyFont="1" applyBorder="1" applyAlignment="1" applyProtection="1">
      <alignment horizontal="center" vertical="center" wrapText="1"/>
      <protection hidden="1"/>
    </xf>
    <xf numFmtId="166" fontId="21" fillId="0" borderId="47" xfId="4" applyNumberFormat="1" applyFont="1" applyBorder="1" applyAlignment="1" applyProtection="1">
      <alignment horizontal="center" vertical="center" wrapText="1"/>
      <protection hidden="1"/>
    </xf>
    <xf numFmtId="3" fontId="21" fillId="0" borderId="46" xfId="1" applyNumberFormat="1" applyFont="1" applyBorder="1" applyAlignment="1" applyProtection="1">
      <alignment horizontal="center" vertical="center" wrapText="1"/>
      <protection hidden="1"/>
    </xf>
    <xf numFmtId="0" fontId="35" fillId="0" borderId="0" xfId="7" applyFont="1" applyProtection="1">
      <protection hidden="1"/>
    </xf>
    <xf numFmtId="0" fontId="32" fillId="0" borderId="0" xfId="7" applyProtection="1">
      <protection hidden="1"/>
    </xf>
    <xf numFmtId="0" fontId="0" fillId="0" borderId="0" xfId="0" applyProtection="1">
      <protection hidden="1"/>
    </xf>
    <xf numFmtId="0" fontId="30" fillId="0" borderId="0" xfId="7" applyFont="1" applyAlignment="1" applyProtection="1">
      <alignment horizontal="left" vertical="center"/>
      <protection hidden="1"/>
    </xf>
    <xf numFmtId="0" fontId="35" fillId="0" borderId="0" xfId="0" applyFont="1" applyProtection="1">
      <protection hidden="1"/>
    </xf>
    <xf numFmtId="0" fontId="21" fillId="0" borderId="0" xfId="0" applyFont="1" applyProtection="1">
      <protection hidden="1"/>
    </xf>
    <xf numFmtId="0" fontId="0" fillId="0" borderId="52" xfId="0" applyBorder="1" applyProtection="1">
      <protection hidden="1"/>
    </xf>
    <xf numFmtId="0" fontId="23" fillId="0" borderId="52" xfId="0" applyFont="1" applyBorder="1" applyAlignment="1" applyProtection="1">
      <alignment horizontal="left"/>
      <protection hidden="1"/>
    </xf>
    <xf numFmtId="0" fontId="23" fillId="0" borderId="0" xfId="0" applyFont="1" applyAlignment="1" applyProtection="1">
      <alignment horizontal="left"/>
      <protection hidden="1"/>
    </xf>
    <xf numFmtId="0" fontId="24" fillId="2" borderId="31" xfId="0" applyFont="1" applyFill="1" applyBorder="1" applyAlignment="1" applyProtection="1">
      <alignment horizontal="centerContinuous" vertical="center" wrapText="1"/>
      <protection hidden="1"/>
    </xf>
    <xf numFmtId="0" fontId="28" fillId="2" borderId="28" xfId="0" applyFont="1" applyFill="1" applyBorder="1" applyAlignment="1" applyProtection="1">
      <alignment horizontal="centerContinuous" vertical="center"/>
      <protection hidden="1"/>
    </xf>
    <xf numFmtId="0" fontId="0" fillId="2" borderId="28" xfId="0" applyFill="1" applyBorder="1" applyAlignment="1" applyProtection="1">
      <alignment horizontal="centerContinuous" vertical="center"/>
      <protection hidden="1"/>
    </xf>
    <xf numFmtId="0" fontId="22" fillId="2" borderId="28" xfId="0" applyFont="1" applyFill="1" applyBorder="1" applyAlignment="1" applyProtection="1">
      <alignment horizontal="centerContinuous" vertical="center" wrapText="1"/>
      <protection hidden="1"/>
    </xf>
    <xf numFmtId="166" fontId="21" fillId="2" borderId="32" xfId="1" applyNumberFormat="1" applyFont="1" applyFill="1" applyBorder="1" applyAlignment="1" applyProtection="1">
      <alignment horizontal="centerContinuous" vertical="center" wrapText="1"/>
      <protection hidden="1"/>
    </xf>
    <xf numFmtId="166" fontId="21" fillId="0" borderId="0" xfId="1" applyNumberFormat="1" applyFont="1" applyBorder="1" applyAlignment="1" applyProtection="1">
      <alignment horizontal="center" vertical="center" wrapText="1"/>
      <protection hidden="1"/>
    </xf>
    <xf numFmtId="0" fontId="22" fillId="0" borderId="87" xfId="0" applyFont="1" applyBorder="1" applyAlignment="1" applyProtection="1">
      <alignment horizontal="centerContinuous" vertical="center"/>
      <protection hidden="1"/>
    </xf>
    <xf numFmtId="0" fontId="22" fillId="0" borderId="88" xfId="0" applyFont="1" applyBorder="1" applyAlignment="1" applyProtection="1">
      <alignment horizontal="centerContinuous" vertical="center"/>
      <protection hidden="1"/>
    </xf>
    <xf numFmtId="44" fontId="21" fillId="0" borderId="0" xfId="0" applyNumberFormat="1" applyFont="1" applyAlignment="1" applyProtection="1">
      <alignment horizontal="right"/>
      <protection hidden="1"/>
    </xf>
    <xf numFmtId="44" fontId="21" fillId="0" borderId="0" xfId="0" applyNumberFormat="1" applyFont="1" applyProtection="1">
      <protection hidden="1"/>
    </xf>
    <xf numFmtId="0" fontId="21" fillId="0" borderId="0" xfId="0" applyFont="1" applyAlignment="1" applyProtection="1">
      <alignment horizontal="justify" vertical="center"/>
      <protection hidden="1"/>
    </xf>
    <xf numFmtId="164" fontId="21" fillId="0" borderId="0" xfId="1" applyNumberFormat="1" applyFont="1" applyBorder="1" applyAlignment="1" applyProtection="1">
      <alignment wrapText="1"/>
      <protection hidden="1"/>
    </xf>
    <xf numFmtId="0" fontId="0" fillId="0" borderId="53" xfId="0" applyBorder="1" applyProtection="1">
      <protection hidden="1"/>
    </xf>
    <xf numFmtId="0" fontId="29" fillId="0" borderId="0" xfId="0" applyFont="1" applyAlignment="1" applyProtection="1">
      <alignment horizontal="right"/>
      <protection hidden="1"/>
    </xf>
    <xf numFmtId="0" fontId="29" fillId="0" borderId="0" xfId="0" applyFont="1" applyProtection="1">
      <protection hidden="1"/>
    </xf>
    <xf numFmtId="0" fontId="18" fillId="0" borderId="0" xfId="0" applyFont="1" applyProtection="1">
      <protection hidden="1"/>
    </xf>
    <xf numFmtId="37" fontId="0" fillId="0" borderId="0" xfId="0" applyNumberFormat="1" applyProtection="1">
      <protection hidden="1"/>
    </xf>
    <xf numFmtId="166" fontId="21" fillId="0" borderId="0" xfId="4" applyNumberFormat="1" applyFont="1" applyBorder="1" applyAlignment="1" applyProtection="1">
      <alignment horizontal="center" vertical="center" wrapText="1"/>
      <protection hidden="1"/>
    </xf>
    <xf numFmtId="3" fontId="21" fillId="0" borderId="0" xfId="0" applyNumberFormat="1" applyFont="1" applyAlignment="1" applyProtection="1">
      <alignment horizontal="center" vertical="center" wrapText="1"/>
      <protection hidden="1"/>
    </xf>
    <xf numFmtId="166" fontId="21" fillId="0" borderId="0" xfId="4" applyNumberFormat="1" applyFont="1" applyFill="1" applyBorder="1" applyAlignment="1" applyProtection="1">
      <alignment horizontal="center" vertical="center" wrapText="1"/>
      <protection hidden="1"/>
    </xf>
    <xf numFmtId="3" fontId="21" fillId="0" borderId="0" xfId="1" applyNumberFormat="1" applyFont="1" applyFill="1" applyBorder="1" applyAlignment="1" applyProtection="1">
      <alignment horizontal="center" vertical="center" wrapText="1"/>
      <protection hidden="1"/>
    </xf>
    <xf numFmtId="0" fontId="21" fillId="0" borderId="0" xfId="0" applyFont="1" applyAlignment="1" applyProtection="1">
      <alignment horizontal="right" vertical="center"/>
      <protection hidden="1"/>
    </xf>
    <xf numFmtId="0" fontId="30" fillId="0" borderId="0" xfId="0" applyFont="1" applyAlignment="1" applyProtection="1">
      <alignment horizontal="left" vertical="center"/>
      <protection hidden="1"/>
    </xf>
    <xf numFmtId="0" fontId="35" fillId="0" borderId="0" xfId="7" applyFont="1" applyBorder="1" applyProtection="1">
      <protection hidden="1"/>
    </xf>
    <xf numFmtId="0" fontId="35" fillId="0" borderId="0" xfId="7" applyNumberFormat="1" applyFont="1" applyBorder="1" applyAlignment="1" applyProtection="1">
      <alignment horizontal="right" vertical="center"/>
      <protection hidden="1"/>
    </xf>
    <xf numFmtId="0" fontId="39" fillId="0" borderId="0" xfId="0" applyFont="1" applyProtection="1">
      <protection hidden="1"/>
    </xf>
    <xf numFmtId="0" fontId="23" fillId="0" borderId="52" xfId="0" applyFont="1" applyBorder="1" applyAlignment="1" applyProtection="1">
      <alignment vertical="center"/>
      <protection hidden="1"/>
    </xf>
    <xf numFmtId="0" fontId="22" fillId="0" borderId="0" xfId="0" applyFont="1" applyProtection="1">
      <protection hidden="1"/>
    </xf>
    <xf numFmtId="0" fontId="24" fillId="2" borderId="14" xfId="0" applyFont="1" applyFill="1" applyBorder="1" applyAlignment="1" applyProtection="1">
      <alignment horizontal="centerContinuous" wrapText="1"/>
      <protection hidden="1"/>
    </xf>
    <xf numFmtId="0" fontId="28" fillId="2" borderId="15" xfId="0" applyFont="1" applyFill="1" applyBorder="1" applyAlignment="1" applyProtection="1">
      <alignment horizontal="centerContinuous"/>
      <protection hidden="1"/>
    </xf>
    <xf numFmtId="0" fontId="28" fillId="2" borderId="16" xfId="0" applyFont="1" applyFill="1" applyBorder="1" applyAlignment="1" applyProtection="1">
      <alignment horizontal="centerContinuous"/>
      <protection hidden="1"/>
    </xf>
    <xf numFmtId="0" fontId="24" fillId="2" borderId="5" xfId="0" applyFont="1" applyFill="1" applyBorder="1" applyAlignment="1" applyProtection="1">
      <alignment horizontal="centerContinuous" wrapText="1"/>
      <protection hidden="1"/>
    </xf>
    <xf numFmtId="0" fontId="28" fillId="2" borderId="7" xfId="0" applyFont="1" applyFill="1" applyBorder="1" applyAlignment="1" applyProtection="1">
      <alignment horizontal="centerContinuous"/>
      <protection hidden="1"/>
    </xf>
    <xf numFmtId="0" fontId="28" fillId="2" borderId="6" xfId="0" applyFont="1" applyFill="1" applyBorder="1" applyAlignment="1" applyProtection="1">
      <alignment horizontal="centerContinuous"/>
      <protection hidden="1"/>
    </xf>
    <xf numFmtId="0" fontId="36" fillId="0" borderId="5" xfId="0" applyFont="1" applyBorder="1" applyAlignment="1" applyProtection="1">
      <alignment horizontal="right" vertical="center"/>
      <protection hidden="1"/>
    </xf>
    <xf numFmtId="0" fontId="22" fillId="0" borderId="7" xfId="0" applyFont="1" applyBorder="1" applyAlignment="1" applyProtection="1">
      <alignment horizontal="center" vertical="center"/>
      <protection hidden="1"/>
    </xf>
    <xf numFmtId="0" fontId="22" fillId="0" borderId="6" xfId="0" applyFont="1" applyBorder="1" applyAlignment="1" applyProtection="1">
      <alignment horizontal="center" vertical="center"/>
      <protection hidden="1"/>
    </xf>
    <xf numFmtId="44" fontId="25" fillId="0" borderId="17" xfId="0" applyNumberFormat="1" applyFont="1" applyBorder="1" applyAlignment="1" applyProtection="1">
      <alignment horizontal="right" vertical="center" wrapText="1"/>
      <protection hidden="1"/>
    </xf>
    <xf numFmtId="37" fontId="25" fillId="0" borderId="0" xfId="1" applyNumberFormat="1" applyFont="1" applyBorder="1" applyAlignment="1" applyProtection="1">
      <alignment horizontal="center" vertical="center" wrapText="1"/>
      <protection hidden="1"/>
    </xf>
    <xf numFmtId="37" fontId="25" fillId="0" borderId="9" xfId="1" applyNumberFormat="1" applyFont="1" applyBorder="1" applyAlignment="1" applyProtection="1">
      <alignment horizontal="center" vertical="center"/>
      <protection hidden="1"/>
    </xf>
    <xf numFmtId="0" fontId="0" fillId="0" borderId="0" xfId="0" applyAlignment="1" applyProtection="1">
      <alignment vertical="center"/>
      <protection hidden="1"/>
    </xf>
    <xf numFmtId="44" fontId="25" fillId="0" borderId="4" xfId="0" applyNumberFormat="1" applyFont="1" applyBorder="1" applyAlignment="1" applyProtection="1">
      <alignment horizontal="right" vertical="center" wrapText="1"/>
      <protection hidden="1"/>
    </xf>
    <xf numFmtId="37" fontId="25" fillId="0" borderId="0" xfId="0" applyNumberFormat="1" applyFont="1" applyAlignment="1" applyProtection="1">
      <alignment horizontal="center" vertical="center"/>
      <protection hidden="1"/>
    </xf>
    <xf numFmtId="37" fontId="25" fillId="0" borderId="9" xfId="0" applyNumberFormat="1" applyFont="1" applyBorder="1" applyAlignment="1" applyProtection="1">
      <alignment horizontal="center" vertical="center"/>
      <protection hidden="1"/>
    </xf>
    <xf numFmtId="0" fontId="21" fillId="0" borderId="18" xfId="0" applyFont="1" applyBorder="1" applyAlignment="1" applyProtection="1">
      <alignment horizontal="right" wrapText="1"/>
      <protection hidden="1"/>
    </xf>
    <xf numFmtId="37" fontId="21" fillId="0" borderId="19" xfId="1" applyNumberFormat="1" applyFont="1" applyBorder="1" applyAlignment="1" applyProtection="1">
      <alignment horizontal="center" vertical="center" wrapText="1"/>
      <protection hidden="1"/>
    </xf>
    <xf numFmtId="37" fontId="21" fillId="0" borderId="20" xfId="1" applyNumberFormat="1" applyFont="1" applyBorder="1" applyAlignment="1" applyProtection="1">
      <alignment horizontal="center" vertical="center"/>
      <protection hidden="1"/>
    </xf>
    <xf numFmtId="0" fontId="21" fillId="0" borderId="18" xfId="0" applyFont="1" applyBorder="1" applyAlignment="1" applyProtection="1">
      <alignment horizontal="right" vertical="center"/>
      <protection hidden="1"/>
    </xf>
    <xf numFmtId="0" fontId="21" fillId="0" borderId="21" xfId="0" applyFont="1" applyBorder="1" applyAlignment="1" applyProtection="1">
      <alignment horizontal="right" wrapText="1"/>
      <protection hidden="1"/>
    </xf>
    <xf numFmtId="166" fontId="21" fillId="0" borderId="22" xfId="4" applyNumberFormat="1" applyFont="1" applyBorder="1" applyAlignment="1" applyProtection="1">
      <alignment horizontal="center" wrapText="1"/>
      <protection hidden="1"/>
    </xf>
    <xf numFmtId="166" fontId="21" fillId="0" borderId="23" xfId="4" applyNumberFormat="1" applyFont="1" applyBorder="1" applyAlignment="1" applyProtection="1">
      <alignment horizontal="center" wrapText="1"/>
      <protection hidden="1"/>
    </xf>
    <xf numFmtId="37" fontId="21" fillId="0" borderId="0" xfId="1" applyNumberFormat="1" applyFont="1" applyBorder="1" applyAlignment="1" applyProtection="1">
      <alignment horizontal="center" vertical="center" wrapText="1"/>
      <protection hidden="1"/>
    </xf>
    <xf numFmtId="37" fontId="21" fillId="0" borderId="9" xfId="1" applyNumberFormat="1" applyFont="1" applyBorder="1" applyAlignment="1" applyProtection="1">
      <alignment horizontal="center" vertical="center"/>
      <protection hidden="1"/>
    </xf>
    <xf numFmtId="0" fontId="21" fillId="0" borderId="43" xfId="0" applyFont="1" applyBorder="1" applyAlignment="1" applyProtection="1">
      <alignment horizontal="right" wrapText="1"/>
      <protection hidden="1"/>
    </xf>
    <xf numFmtId="166" fontId="21" fillId="0" borderId="8" xfId="4" applyNumberFormat="1" applyFont="1" applyBorder="1" applyAlignment="1" applyProtection="1">
      <alignment horizontal="center" wrapText="1"/>
      <protection hidden="1"/>
    </xf>
    <xf numFmtId="166" fontId="21" fillId="0" borderId="38" xfId="4" applyNumberFormat="1" applyFont="1" applyBorder="1" applyAlignment="1" applyProtection="1">
      <alignment horizontal="center" wrapText="1"/>
      <protection hidden="1"/>
    </xf>
    <xf numFmtId="0" fontId="24" fillId="2" borderId="57" xfId="0" applyFont="1" applyFill="1" applyBorder="1" applyAlignment="1" applyProtection="1">
      <alignment horizontal="centerContinuous" vertical="center" wrapText="1"/>
      <protection hidden="1"/>
    </xf>
    <xf numFmtId="0" fontId="28" fillId="2" borderId="58" xfId="0" applyFont="1" applyFill="1" applyBorder="1" applyAlignment="1" applyProtection="1">
      <alignment horizontal="centerContinuous" vertical="center"/>
      <protection hidden="1"/>
    </xf>
    <xf numFmtId="0" fontId="0" fillId="2" borderId="58" xfId="0" applyFill="1" applyBorder="1" applyAlignment="1" applyProtection="1">
      <alignment horizontal="centerContinuous" vertical="center"/>
      <protection hidden="1"/>
    </xf>
    <xf numFmtId="0" fontId="22" fillId="2" borderId="58" xfId="0" applyFont="1" applyFill="1" applyBorder="1" applyAlignment="1" applyProtection="1">
      <alignment horizontal="centerContinuous" vertical="center" wrapText="1"/>
      <protection hidden="1"/>
    </xf>
    <xf numFmtId="166" fontId="21" fillId="2" borderId="59" xfId="1" applyNumberFormat="1" applyFont="1" applyFill="1" applyBorder="1" applyAlignment="1" applyProtection="1">
      <alignment horizontal="centerContinuous" vertical="center" wrapText="1"/>
      <protection hidden="1"/>
    </xf>
    <xf numFmtId="0" fontId="36" fillId="0" borderId="60" xfId="0" applyFont="1" applyBorder="1" applyAlignment="1" applyProtection="1">
      <alignment horizontal="left" vertical="center"/>
      <protection hidden="1"/>
    </xf>
    <xf numFmtId="0" fontId="22" fillId="0" borderId="61" xfId="0" applyFont="1" applyBorder="1" applyAlignment="1" applyProtection="1">
      <alignment horizontal="centerContinuous" vertical="center"/>
      <protection hidden="1"/>
    </xf>
    <xf numFmtId="0" fontId="22" fillId="0" borderId="62" xfId="0" applyFont="1" applyBorder="1" applyAlignment="1" applyProtection="1">
      <alignment horizontal="centerContinuous" vertical="center"/>
      <protection hidden="1"/>
    </xf>
    <xf numFmtId="0" fontId="22" fillId="0" borderId="63" xfId="0" applyFont="1" applyBorder="1" applyAlignment="1" applyProtection="1">
      <alignment horizontal="centerContinuous" vertical="center"/>
      <protection hidden="1"/>
    </xf>
    <xf numFmtId="0" fontId="22" fillId="0" borderId="64" xfId="0" applyFont="1" applyBorder="1" applyAlignment="1" applyProtection="1">
      <alignment horizontal="centerContinuous" vertical="center"/>
      <protection hidden="1"/>
    </xf>
    <xf numFmtId="166" fontId="45" fillId="0" borderId="42" xfId="7" applyNumberFormat="1" applyFont="1" applyBorder="1" applyAlignment="1" applyProtection="1">
      <alignment horizontal="center" vertical="center" wrapText="1"/>
      <protection hidden="1"/>
    </xf>
    <xf numFmtId="0" fontId="29" fillId="0" borderId="0" xfId="0" applyFont="1" applyAlignment="1" applyProtection="1">
      <alignment horizontal="right" vertical="top"/>
      <protection hidden="1"/>
    </xf>
    <xf numFmtId="0" fontId="24" fillId="2" borderId="14" xfId="0" applyFont="1" applyFill="1" applyBorder="1" applyAlignment="1" applyProtection="1">
      <alignment horizontal="centerContinuous" vertical="center" wrapText="1"/>
      <protection hidden="1"/>
    </xf>
    <xf numFmtId="0" fontId="22" fillId="0" borderId="15" xfId="0" applyFont="1" applyBorder="1" applyAlignment="1" applyProtection="1">
      <alignment horizontal="center" vertical="center"/>
      <protection hidden="1"/>
    </xf>
    <xf numFmtId="0" fontId="22" fillId="0" borderId="15" xfId="0" applyFont="1" applyBorder="1" applyAlignment="1" applyProtection="1">
      <alignment horizontal="center" vertical="center" wrapText="1"/>
      <protection hidden="1"/>
    </xf>
    <xf numFmtId="0" fontId="22" fillId="0" borderId="16" xfId="0" applyFont="1" applyBorder="1" applyAlignment="1" applyProtection="1">
      <alignment horizontal="center" vertical="center"/>
      <protection hidden="1"/>
    </xf>
    <xf numFmtId="0" fontId="36" fillId="0" borderId="14" xfId="0" applyFont="1" applyBorder="1" applyAlignment="1" applyProtection="1">
      <alignment horizontal="right" vertical="center"/>
      <protection hidden="1"/>
    </xf>
    <xf numFmtId="44" fontId="21" fillId="0" borderId="2" xfId="0" applyNumberFormat="1" applyFont="1" applyBorder="1" applyAlignment="1" applyProtection="1">
      <alignment horizontal="right" wrapText="1"/>
      <protection hidden="1"/>
    </xf>
    <xf numFmtId="167" fontId="21" fillId="0" borderId="8" xfId="2" applyNumberFormat="1" applyFont="1" applyBorder="1" applyAlignment="1" applyProtection="1">
      <alignment horizontal="center" vertical="center" wrapText="1"/>
      <protection hidden="1"/>
    </xf>
    <xf numFmtId="166" fontId="45" fillId="0" borderId="42" xfId="7" applyNumberFormat="1" applyFont="1" applyBorder="1" applyAlignment="1" applyProtection="1">
      <alignment horizontal="center" wrapText="1"/>
      <protection hidden="1"/>
    </xf>
    <xf numFmtId="0" fontId="32" fillId="0" borderId="0" xfId="7" applyAlignment="1" applyProtection="1">
      <protection hidden="1"/>
    </xf>
    <xf numFmtId="0" fontId="36" fillId="0" borderId="86" xfId="0" applyFont="1" applyBorder="1" applyAlignment="1" applyProtection="1">
      <alignment horizontal="right" vertical="center"/>
      <protection hidden="1"/>
    </xf>
    <xf numFmtId="0" fontId="21" fillId="0" borderId="70" xfId="0" applyFont="1" applyBorder="1" applyAlignment="1" applyProtection="1">
      <alignment horizontal="right"/>
      <protection hidden="1"/>
    </xf>
    <xf numFmtId="37" fontId="21" fillId="0" borderId="20" xfId="1" applyNumberFormat="1" applyFont="1" applyBorder="1" applyAlignment="1" applyProtection="1">
      <alignment horizontal="center" vertical="center" wrapText="1"/>
      <protection hidden="1"/>
    </xf>
    <xf numFmtId="0" fontId="21" fillId="0" borderId="75" xfId="0" applyFont="1" applyBorder="1" applyAlignment="1" applyProtection="1">
      <alignment horizontal="right"/>
      <protection hidden="1"/>
    </xf>
    <xf numFmtId="0" fontId="21" fillId="0" borderId="68" xfId="0" applyFont="1" applyBorder="1" applyAlignment="1" applyProtection="1">
      <alignment horizontal="right"/>
      <protection hidden="1"/>
    </xf>
    <xf numFmtId="0" fontId="21" fillId="0" borderId="4" xfId="0" applyFont="1" applyBorder="1" applyAlignment="1" applyProtection="1">
      <alignment horizontal="right"/>
      <protection hidden="1"/>
    </xf>
    <xf numFmtId="166" fontId="21" fillId="0" borderId="0" xfId="4" applyNumberFormat="1" applyFont="1" applyBorder="1" applyAlignment="1" applyProtection="1">
      <alignment horizontal="center" wrapText="1"/>
      <protection hidden="1"/>
    </xf>
    <xf numFmtId="166" fontId="21" fillId="0" borderId="9" xfId="4" applyNumberFormat="1" applyFont="1" applyBorder="1" applyAlignment="1" applyProtection="1">
      <alignment horizontal="center" wrapText="1"/>
      <protection hidden="1"/>
    </xf>
    <xf numFmtId="0" fontId="21" fillId="0" borderId="68" xfId="0" applyFont="1" applyBorder="1" applyAlignment="1" applyProtection="1">
      <alignment horizontal="right" wrapText="1"/>
      <protection hidden="1"/>
    </xf>
    <xf numFmtId="37" fontId="21" fillId="0" borderId="73" xfId="1" applyNumberFormat="1" applyFont="1" applyBorder="1" applyAlignment="1" applyProtection="1">
      <alignment horizontal="center" vertical="center" wrapText="1"/>
      <protection hidden="1"/>
    </xf>
    <xf numFmtId="37" fontId="21" fillId="0" borderId="74" xfId="1" applyNumberFormat="1" applyFont="1" applyBorder="1" applyAlignment="1" applyProtection="1">
      <alignment horizontal="center" vertical="center" wrapText="1"/>
      <protection hidden="1"/>
    </xf>
    <xf numFmtId="166" fontId="21" fillId="0" borderId="66" xfId="4" applyNumberFormat="1" applyFont="1" applyBorder="1" applyAlignment="1" applyProtection="1">
      <alignment horizontal="center" wrapText="1"/>
      <protection hidden="1"/>
    </xf>
    <xf numFmtId="166" fontId="21" fillId="0" borderId="67" xfId="4" applyNumberFormat="1" applyFont="1" applyBorder="1" applyAlignment="1" applyProtection="1">
      <alignment horizontal="center" wrapText="1"/>
      <protection hidden="1"/>
    </xf>
    <xf numFmtId="0" fontId="21" fillId="0" borderId="43" xfId="0" applyFont="1" applyBorder="1" applyAlignment="1" applyProtection="1">
      <alignment horizontal="right"/>
      <protection hidden="1"/>
    </xf>
    <xf numFmtId="166" fontId="21" fillId="0" borderId="38" xfId="4" applyNumberFormat="1" applyFont="1" applyBorder="1" applyAlignment="1" applyProtection="1">
      <alignment horizontal="center" vertical="center" wrapText="1"/>
      <protection hidden="1"/>
    </xf>
    <xf numFmtId="37" fontId="21" fillId="0" borderId="9" xfId="1" applyNumberFormat="1" applyFont="1" applyBorder="1" applyAlignment="1" applyProtection="1">
      <alignment horizontal="center" vertical="center" wrapText="1"/>
      <protection hidden="1"/>
    </xf>
    <xf numFmtId="0" fontId="31" fillId="0" borderId="0" xfId="0" applyFont="1" applyProtection="1">
      <protection hidden="1"/>
    </xf>
    <xf numFmtId="0" fontId="27" fillId="0" borderId="0" xfId="0" applyFont="1" applyProtection="1">
      <protection hidden="1"/>
    </xf>
    <xf numFmtId="0" fontId="32" fillId="0" borderId="0" xfId="7" applyAlignment="1" applyProtection="1">
      <alignment horizontal="left" vertical="center"/>
      <protection hidden="1"/>
    </xf>
    <xf numFmtId="164" fontId="21" fillId="0" borderId="0" xfId="1" applyNumberFormat="1" applyFont="1" applyProtection="1">
      <protection hidden="1"/>
    </xf>
    <xf numFmtId="0" fontId="21" fillId="0" borderId="0" xfId="0" applyFont="1" applyAlignment="1" applyProtection="1">
      <alignment wrapText="1"/>
      <protection hidden="1"/>
    </xf>
    <xf numFmtId="0" fontId="32" fillId="0" borderId="0" xfId="7" applyAlignment="1" applyProtection="1">
      <alignment horizontal="left" vertical="center" wrapText="1"/>
      <protection hidden="1"/>
    </xf>
    <xf numFmtId="0" fontId="33" fillId="0" borderId="0" xfId="7" applyFont="1" applyAlignment="1" applyProtection="1">
      <alignment horizontal="left" vertical="center" wrapText="1"/>
      <protection hidden="1"/>
    </xf>
    <xf numFmtId="165" fontId="21" fillId="0" borderId="0" xfId="1" applyNumberFormat="1" applyFont="1" applyBorder="1" applyAlignment="1" applyProtection="1">
      <alignment wrapText="1"/>
      <protection hidden="1"/>
    </xf>
    <xf numFmtId="0" fontId="33" fillId="0" borderId="0" xfId="7" applyFont="1" applyAlignment="1" applyProtection="1">
      <alignment horizontal="left" vertical="center"/>
      <protection hidden="1"/>
    </xf>
    <xf numFmtId="0" fontId="33" fillId="0" borderId="0" xfId="7" applyFont="1" applyProtection="1">
      <protection hidden="1"/>
    </xf>
    <xf numFmtId="0" fontId="0" fillId="0" borderId="0" xfId="0" applyAlignment="1" applyProtection="1">
      <alignment horizontal="left" vertical="center"/>
      <protection hidden="1"/>
    </xf>
    <xf numFmtId="0" fontId="21" fillId="0" borderId="0" xfId="0" applyFont="1" applyAlignment="1" applyProtection="1">
      <alignment horizontal="left" vertical="center"/>
      <protection hidden="1"/>
    </xf>
    <xf numFmtId="0" fontId="33" fillId="0" borderId="0" xfId="7" applyFont="1" applyFill="1" applyAlignment="1" applyProtection="1">
      <alignment horizontal="left" vertical="center"/>
      <protection hidden="1"/>
    </xf>
    <xf numFmtId="0" fontId="35" fillId="0" borderId="0" xfId="7" applyFont="1" applyAlignment="1" applyProtection="1">
      <alignment horizontal="left"/>
      <protection hidden="1"/>
    </xf>
    <xf numFmtId="0" fontId="20" fillId="0" borderId="0" xfId="0" applyFont="1" applyAlignment="1" applyProtection="1">
      <alignment horizontal="right"/>
      <protection hidden="1"/>
    </xf>
    <xf numFmtId="0" fontId="20" fillId="0" borderId="0" xfId="0" applyFont="1" applyProtection="1">
      <protection hidden="1"/>
    </xf>
    <xf numFmtId="0" fontId="22" fillId="0" borderId="0" xfId="7" applyFont="1" applyAlignment="1" applyProtection="1">
      <alignment horizontal="left" vertical="center" wrapText="1"/>
      <protection hidden="1"/>
    </xf>
    <xf numFmtId="0" fontId="34" fillId="0" borderId="0" xfId="0" applyFont="1" applyProtection="1">
      <protection hidden="1"/>
    </xf>
    <xf numFmtId="0" fontId="41" fillId="0" borderId="0" xfId="0" applyFont="1" applyProtection="1">
      <protection hidden="1"/>
    </xf>
    <xf numFmtId="0" fontId="35" fillId="0" borderId="0" xfId="7" applyFont="1" applyFill="1" applyAlignment="1" applyProtection="1">
      <alignment horizontal="left" vertical="center"/>
      <protection hidden="1"/>
    </xf>
    <xf numFmtId="0" fontId="35" fillId="0" borderId="0" xfId="7" applyFont="1" applyAlignment="1" applyProtection="1">
      <alignment horizontal="left" vertical="center"/>
      <protection hidden="1"/>
    </xf>
    <xf numFmtId="0" fontId="35" fillId="0" borderId="0" xfId="0" applyFont="1" applyAlignment="1" applyProtection="1">
      <alignment horizontal="left" vertical="center"/>
      <protection hidden="1"/>
    </xf>
    <xf numFmtId="0" fontId="42" fillId="0" borderId="0" xfId="0" applyFont="1" applyAlignment="1" applyProtection="1">
      <alignment horizontal="left" vertical="center"/>
      <protection hidden="1"/>
    </xf>
    <xf numFmtId="3" fontId="20" fillId="0" borderId="0" xfId="0" applyNumberFormat="1" applyFont="1" applyProtection="1">
      <protection hidden="1"/>
    </xf>
    <xf numFmtId="0" fontId="20" fillId="0" borderId="0" xfId="0" applyFont="1" applyAlignment="1" applyProtection="1">
      <alignment horizontal="left"/>
      <protection hidden="1"/>
    </xf>
    <xf numFmtId="0" fontId="21" fillId="0" borderId="0" xfId="0" applyFont="1" applyAlignment="1" applyProtection="1">
      <alignment horizontal="left"/>
      <protection hidden="1"/>
    </xf>
    <xf numFmtId="9" fontId="21" fillId="0" borderId="0" xfId="4" applyFont="1" applyBorder="1" applyAlignment="1" applyProtection="1">
      <alignment wrapText="1"/>
      <protection hidden="1"/>
    </xf>
    <xf numFmtId="0" fontId="29" fillId="0" borderId="0" xfId="0" applyFont="1" applyAlignment="1" applyProtection="1">
      <alignment horizontal="left" vertical="center"/>
      <protection hidden="1"/>
    </xf>
    <xf numFmtId="0" fontId="29" fillId="0" borderId="0" xfId="0" applyFont="1" applyAlignment="1" applyProtection="1">
      <alignment vertical="center"/>
      <protection hidden="1"/>
    </xf>
    <xf numFmtId="0" fontId="29" fillId="0" borderId="0" xfId="0" applyFont="1" applyAlignment="1" applyProtection="1">
      <alignment horizontal="right" vertical="center"/>
      <protection hidden="1"/>
    </xf>
    <xf numFmtId="0" fontId="28" fillId="2" borderId="48" xfId="0" applyFont="1" applyFill="1" applyBorder="1" applyAlignment="1" applyProtection="1">
      <alignment horizontal="centerContinuous"/>
      <protection hidden="1"/>
    </xf>
    <xf numFmtId="0" fontId="0" fillId="2" borderId="48" xfId="0" applyFill="1" applyBorder="1" applyAlignment="1" applyProtection="1">
      <alignment horizontal="centerContinuous"/>
      <protection hidden="1"/>
    </xf>
    <xf numFmtId="0" fontId="0" fillId="2" borderId="7" xfId="0" applyFill="1" applyBorder="1" applyAlignment="1" applyProtection="1">
      <alignment horizontal="centerContinuous"/>
      <protection hidden="1"/>
    </xf>
    <xf numFmtId="0" fontId="0" fillId="2" borderId="6" xfId="0" applyFill="1" applyBorder="1" applyAlignment="1" applyProtection="1">
      <alignment horizontal="centerContinuous"/>
      <protection hidden="1"/>
    </xf>
    <xf numFmtId="0" fontId="35" fillId="0" borderId="5" xfId="0" applyFont="1" applyBorder="1" applyAlignment="1" applyProtection="1">
      <alignment horizontal="center" vertical="center"/>
      <protection hidden="1"/>
    </xf>
    <xf numFmtId="0" fontId="22" fillId="0" borderId="7" xfId="0" applyFont="1" applyBorder="1" applyAlignment="1" applyProtection="1">
      <alignment horizontal="centerContinuous" vertical="center"/>
      <protection hidden="1"/>
    </xf>
    <xf numFmtId="0" fontId="22" fillId="0" borderId="6" xfId="0" applyFont="1" applyBorder="1" applyAlignment="1" applyProtection="1">
      <alignment horizontal="centerContinuous" vertical="center"/>
      <protection hidden="1"/>
    </xf>
    <xf numFmtId="0" fontId="22" fillId="0" borderId="4" xfId="0" applyFont="1" applyBorder="1" applyAlignment="1" applyProtection="1">
      <alignment horizontal="right" vertical="center"/>
      <protection hidden="1"/>
    </xf>
    <xf numFmtId="37" fontId="21" fillId="0" borderId="29" xfId="1" applyNumberFormat="1" applyFont="1" applyBorder="1" applyAlignment="1" applyProtection="1">
      <alignment horizontal="center" vertical="center"/>
      <protection hidden="1"/>
    </xf>
    <xf numFmtId="166" fontId="21" fillId="0" borderId="30" xfId="1" applyNumberFormat="1" applyFont="1" applyBorder="1" applyAlignment="1" applyProtection="1">
      <alignment horizontal="center" vertical="center"/>
      <protection hidden="1"/>
    </xf>
    <xf numFmtId="166" fontId="21" fillId="0" borderId="0" xfId="1" applyNumberFormat="1" applyFont="1" applyBorder="1" applyAlignment="1" applyProtection="1">
      <alignment horizontal="center" vertical="center"/>
      <protection hidden="1"/>
    </xf>
    <xf numFmtId="166" fontId="21" fillId="0" borderId="9" xfId="1" applyNumberFormat="1" applyFont="1" applyBorder="1" applyAlignment="1" applyProtection="1">
      <alignment horizontal="center" vertical="center"/>
      <protection hidden="1"/>
    </xf>
    <xf numFmtId="0" fontId="22" fillId="0" borderId="50" xfId="0" applyFont="1" applyBorder="1" applyAlignment="1" applyProtection="1">
      <alignment horizontal="right" vertical="center"/>
      <protection hidden="1"/>
    </xf>
    <xf numFmtId="37" fontId="21" fillId="0" borderId="38" xfId="1" applyNumberFormat="1" applyFont="1" applyBorder="1" applyAlignment="1" applyProtection="1">
      <alignment horizontal="center" vertical="center"/>
      <protection hidden="1"/>
    </xf>
    <xf numFmtId="166" fontId="21" fillId="0" borderId="47" xfId="1" applyNumberFormat="1" applyFont="1" applyBorder="1" applyAlignment="1" applyProtection="1">
      <alignment horizontal="center" vertical="center"/>
      <protection hidden="1"/>
    </xf>
    <xf numFmtId="37" fontId="21" fillId="0" borderId="46" xfId="1" applyNumberFormat="1" applyFont="1" applyBorder="1" applyAlignment="1" applyProtection="1">
      <alignment horizontal="center" vertical="center"/>
      <protection hidden="1"/>
    </xf>
    <xf numFmtId="166" fontId="21" fillId="0" borderId="38" xfId="1" applyNumberFormat="1" applyFont="1" applyBorder="1" applyAlignment="1" applyProtection="1">
      <alignment horizontal="center" vertical="center"/>
      <protection hidden="1"/>
    </xf>
    <xf numFmtId="168" fontId="21" fillId="0" borderId="29" xfId="1" applyNumberFormat="1" applyFont="1" applyBorder="1" applyAlignment="1" applyProtection="1">
      <alignment horizontal="center" vertical="center"/>
      <protection hidden="1"/>
    </xf>
    <xf numFmtId="169" fontId="21" fillId="0" borderId="30" xfId="1" applyNumberFormat="1" applyFont="1" applyBorder="1" applyAlignment="1" applyProtection="1">
      <alignment horizontal="center" vertical="center"/>
      <protection hidden="1"/>
    </xf>
    <xf numFmtId="169" fontId="21" fillId="0" borderId="0" xfId="1" applyNumberFormat="1" applyFont="1" applyBorder="1" applyAlignment="1" applyProtection="1">
      <alignment horizontal="center" vertical="center"/>
      <protection hidden="1"/>
    </xf>
    <xf numFmtId="169" fontId="21" fillId="0" borderId="9" xfId="1" applyNumberFormat="1" applyFont="1" applyBorder="1" applyAlignment="1" applyProtection="1">
      <alignment horizontal="center" vertical="center"/>
      <protection hidden="1"/>
    </xf>
    <xf numFmtId="168" fontId="21" fillId="0" borderId="38" xfId="1" applyNumberFormat="1" applyFont="1" applyBorder="1" applyAlignment="1" applyProtection="1">
      <alignment horizontal="center" vertical="center"/>
      <protection hidden="1"/>
    </xf>
    <xf numFmtId="169" fontId="21" fillId="0" borderId="47" xfId="1" applyNumberFormat="1" applyFont="1" applyBorder="1" applyAlignment="1" applyProtection="1">
      <alignment horizontal="center" vertical="center"/>
      <protection hidden="1"/>
    </xf>
    <xf numFmtId="168" fontId="21" fillId="0" borderId="46" xfId="1" applyNumberFormat="1" applyFont="1" applyBorder="1" applyAlignment="1" applyProtection="1">
      <alignment horizontal="center" vertical="center"/>
      <protection hidden="1"/>
    </xf>
    <xf numFmtId="169" fontId="21" fillId="0" borderId="38" xfId="1" applyNumberFormat="1" applyFont="1" applyBorder="1" applyAlignment="1" applyProtection="1">
      <alignment horizontal="center" vertical="center"/>
      <protection hidden="1"/>
    </xf>
    <xf numFmtId="0" fontId="35" fillId="0" borderId="5" xfId="0" applyFont="1" applyBorder="1" applyAlignment="1" applyProtection="1">
      <alignment horizontal="right" vertical="center"/>
      <protection hidden="1"/>
    </xf>
    <xf numFmtId="44" fontId="21" fillId="0" borderId="18" xfId="0" applyNumberFormat="1" applyFont="1" applyBorder="1" applyAlignment="1" applyProtection="1">
      <alignment horizontal="right" vertical="center" wrapText="1"/>
      <protection hidden="1"/>
    </xf>
    <xf numFmtId="0" fontId="21" fillId="0" borderId="2" xfId="0" applyFont="1" applyBorder="1" applyAlignment="1" applyProtection="1">
      <alignment horizontal="right" vertical="center" wrapText="1"/>
      <protection hidden="1"/>
    </xf>
    <xf numFmtId="166" fontId="21" fillId="0" borderId="8" xfId="4" applyNumberFormat="1" applyFont="1" applyBorder="1" applyAlignment="1" applyProtection="1">
      <alignment horizontal="center" vertical="center" wrapText="1"/>
      <protection hidden="1"/>
    </xf>
    <xf numFmtId="0" fontId="23" fillId="0" borderId="52" xfId="0" applyFont="1" applyBorder="1" applyAlignment="1" applyProtection="1">
      <alignment horizontal="left" vertical="center"/>
      <protection hidden="1"/>
    </xf>
    <xf numFmtId="164" fontId="21" fillId="0" borderId="0" xfId="1" applyNumberFormat="1" applyFont="1" applyBorder="1" applyProtection="1">
      <protection hidden="1"/>
    </xf>
    <xf numFmtId="0" fontId="36" fillId="0" borderId="5" xfId="0" applyFont="1" applyBorder="1" applyAlignment="1" applyProtection="1">
      <alignment horizontal="center" vertical="center"/>
      <protection hidden="1"/>
    </xf>
    <xf numFmtId="0" fontId="22" fillId="0" borderId="12" xfId="0" applyFont="1" applyBorder="1" applyAlignment="1" applyProtection="1">
      <alignment horizontal="center" vertical="center"/>
      <protection hidden="1"/>
    </xf>
    <xf numFmtId="44" fontId="22" fillId="0" borderId="12" xfId="0" applyNumberFormat="1" applyFont="1" applyBorder="1" applyAlignment="1" applyProtection="1">
      <alignment horizontal="center" vertical="center"/>
      <protection hidden="1"/>
    </xf>
    <xf numFmtId="0" fontId="22" fillId="0" borderId="11" xfId="0" applyFont="1" applyBorder="1" applyAlignment="1" applyProtection="1">
      <alignment horizontal="center" vertical="center"/>
      <protection hidden="1"/>
    </xf>
    <xf numFmtId="0" fontId="21" fillId="0" borderId="18" xfId="0" applyFont="1" applyBorder="1" applyAlignment="1" applyProtection="1">
      <alignment horizontal="right"/>
      <protection hidden="1"/>
    </xf>
    <xf numFmtId="3" fontId="21" fillId="0" borderId="19" xfId="1" applyNumberFormat="1" applyFont="1" applyBorder="1" applyAlignment="1" applyProtection="1">
      <alignment horizontal="center" vertical="center"/>
      <protection hidden="1"/>
    </xf>
    <xf numFmtId="3" fontId="21" fillId="0" borderId="20" xfId="1" applyNumberFormat="1" applyFont="1" applyBorder="1" applyAlignment="1" applyProtection="1">
      <alignment horizontal="center" vertical="center"/>
      <protection hidden="1"/>
    </xf>
    <xf numFmtId="169" fontId="21" fillId="0" borderId="19" xfId="1" applyNumberFormat="1" applyFont="1" applyBorder="1" applyAlignment="1" applyProtection="1">
      <alignment horizontal="center" vertical="center"/>
      <protection hidden="1"/>
    </xf>
    <xf numFmtId="169" fontId="21" fillId="0" borderId="20" xfId="1" applyNumberFormat="1" applyFont="1" applyBorder="1" applyAlignment="1" applyProtection="1">
      <alignment horizontal="center" vertical="center"/>
      <protection hidden="1"/>
    </xf>
    <xf numFmtId="0" fontId="21" fillId="0" borderId="21" xfId="0" applyFont="1" applyBorder="1" applyAlignment="1" applyProtection="1">
      <alignment horizontal="right"/>
      <protection hidden="1"/>
    </xf>
    <xf numFmtId="166" fontId="21" fillId="0" borderId="22" xfId="4" applyNumberFormat="1" applyFont="1" applyBorder="1" applyAlignment="1" applyProtection="1">
      <alignment horizontal="center" vertical="center"/>
      <protection hidden="1"/>
    </xf>
    <xf numFmtId="166" fontId="21" fillId="0" borderId="23" xfId="4" applyNumberFormat="1" applyFont="1" applyBorder="1" applyAlignment="1" applyProtection="1">
      <alignment horizontal="center" vertical="center"/>
      <protection hidden="1"/>
    </xf>
    <xf numFmtId="169" fontId="21" fillId="0" borderId="22" xfId="1" applyNumberFormat="1" applyFont="1" applyBorder="1" applyAlignment="1" applyProtection="1">
      <alignment horizontal="center" vertical="center"/>
      <protection hidden="1"/>
    </xf>
    <xf numFmtId="169" fontId="21" fillId="0" borderId="23" xfId="1" applyNumberFormat="1" applyFont="1" applyBorder="1" applyAlignment="1" applyProtection="1">
      <alignment horizontal="center" vertical="center"/>
      <protection hidden="1"/>
    </xf>
    <xf numFmtId="0" fontId="21" fillId="0" borderId="2" xfId="0" applyFont="1" applyBorder="1" applyAlignment="1" applyProtection="1">
      <alignment horizontal="right"/>
      <protection hidden="1"/>
    </xf>
    <xf numFmtId="166" fontId="21" fillId="0" borderId="8" xfId="4" applyNumberFormat="1" applyFont="1" applyBorder="1" applyAlignment="1" applyProtection="1">
      <alignment horizontal="center" vertical="center"/>
      <protection hidden="1"/>
    </xf>
    <xf numFmtId="166" fontId="21" fillId="0" borderId="1" xfId="7" applyNumberFormat="1" applyFont="1" applyBorder="1" applyAlignment="1" applyProtection="1">
      <alignment horizontal="center" vertical="center"/>
      <protection hidden="1"/>
    </xf>
    <xf numFmtId="169" fontId="21" fillId="0" borderId="8" xfId="0" applyNumberFormat="1" applyFont="1" applyBorder="1" applyAlignment="1" applyProtection="1">
      <alignment horizontal="center" vertical="center"/>
      <protection hidden="1"/>
    </xf>
    <xf numFmtId="0" fontId="22" fillId="0" borderId="24" xfId="0" applyFont="1" applyBorder="1" applyAlignment="1" applyProtection="1">
      <alignment horizontal="center" vertical="center" wrapText="1"/>
      <protection hidden="1"/>
    </xf>
    <xf numFmtId="44" fontId="22" fillId="0" borderId="24" xfId="0" applyNumberFormat="1" applyFont="1" applyBorder="1" applyAlignment="1" applyProtection="1">
      <alignment horizontal="center" vertical="center"/>
      <protection hidden="1"/>
    </xf>
    <xf numFmtId="0" fontId="22" fillId="0" borderId="25" xfId="0" applyFont="1" applyBorder="1" applyAlignment="1" applyProtection="1">
      <alignment horizontal="center" vertical="center"/>
      <protection hidden="1"/>
    </xf>
    <xf numFmtId="44" fontId="22" fillId="0" borderId="15" xfId="0" applyNumberFormat="1" applyFont="1" applyBorder="1" applyAlignment="1" applyProtection="1">
      <alignment horizontal="center" vertical="center"/>
      <protection hidden="1"/>
    </xf>
    <xf numFmtId="3" fontId="21" fillId="0" borderId="19" xfId="4" applyNumberFormat="1" applyFont="1" applyBorder="1" applyAlignment="1" applyProtection="1">
      <alignment horizontal="center" vertical="center"/>
      <protection hidden="1"/>
    </xf>
    <xf numFmtId="3" fontId="21" fillId="0" borderId="20" xfId="4" applyNumberFormat="1" applyFont="1" applyBorder="1" applyAlignment="1" applyProtection="1">
      <alignment horizontal="center" vertical="center"/>
      <protection hidden="1"/>
    </xf>
    <xf numFmtId="169" fontId="21" fillId="0" borderId="19" xfId="0" applyNumberFormat="1" applyFont="1" applyBorder="1" applyAlignment="1" applyProtection="1">
      <alignment horizontal="center" vertical="center"/>
      <protection hidden="1"/>
    </xf>
    <xf numFmtId="169" fontId="21" fillId="0" borderId="20" xfId="0" applyNumberFormat="1" applyFont="1" applyBorder="1" applyAlignment="1" applyProtection="1">
      <alignment horizontal="center" vertical="center"/>
      <protection hidden="1"/>
    </xf>
    <xf numFmtId="0" fontId="21" fillId="0" borderId="21" xfId="0" applyFont="1" applyBorder="1" applyAlignment="1" applyProtection="1">
      <alignment horizontal="right" vertical="center"/>
      <protection hidden="1"/>
    </xf>
    <xf numFmtId="169" fontId="21" fillId="0" borderId="22" xfId="0" applyNumberFormat="1" applyFont="1" applyBorder="1" applyAlignment="1" applyProtection="1">
      <alignment horizontal="center" vertical="center"/>
      <protection hidden="1"/>
    </xf>
    <xf numFmtId="169" fontId="21" fillId="0" borderId="23" xfId="0" applyNumberFormat="1" applyFont="1" applyBorder="1" applyAlignment="1" applyProtection="1">
      <alignment horizontal="center" vertical="center"/>
      <protection hidden="1"/>
    </xf>
    <xf numFmtId="169" fontId="21" fillId="0" borderId="0" xfId="0" applyNumberFormat="1" applyFont="1" applyAlignment="1" applyProtection="1">
      <alignment horizontal="center" vertical="center"/>
      <protection hidden="1"/>
    </xf>
    <xf numFmtId="0" fontId="21" fillId="0" borderId="2" xfId="0" applyFont="1" applyBorder="1" applyAlignment="1" applyProtection="1">
      <alignment horizontal="right" vertical="center"/>
      <protection hidden="1"/>
    </xf>
    <xf numFmtId="3" fontId="0" fillId="0" borderId="0" xfId="0" applyNumberFormat="1" applyProtection="1">
      <protection hidden="1"/>
    </xf>
    <xf numFmtId="3" fontId="18" fillId="0" borderId="0" xfId="0" applyNumberFormat="1" applyFont="1" applyProtection="1">
      <protection hidden="1"/>
    </xf>
    <xf numFmtId="3" fontId="0" fillId="0" borderId="0" xfId="0" applyNumberFormat="1" applyAlignment="1" applyProtection="1">
      <alignment vertical="center"/>
      <protection hidden="1"/>
    </xf>
    <xf numFmtId="0" fontId="24" fillId="2" borderId="31" xfId="0" applyFont="1" applyFill="1" applyBorder="1" applyAlignment="1" applyProtection="1">
      <alignment horizontal="centerContinuous" wrapText="1"/>
      <protection hidden="1"/>
    </xf>
    <xf numFmtId="0" fontId="28" fillId="2" borderId="32" xfId="0" applyFont="1" applyFill="1" applyBorder="1" applyAlignment="1" applyProtection="1">
      <alignment horizontal="centerContinuous"/>
      <protection hidden="1"/>
    </xf>
    <xf numFmtId="0" fontId="36" fillId="0" borderId="39" xfId="0" applyFont="1" applyBorder="1" applyAlignment="1" applyProtection="1">
      <alignment horizontal="center" vertical="center"/>
      <protection hidden="1"/>
    </xf>
    <xf numFmtId="0" fontId="22" fillId="0" borderId="55" xfId="0" applyFont="1" applyBorder="1" applyAlignment="1" applyProtection="1">
      <alignment horizontal="center" vertical="center" wrapText="1"/>
      <protection hidden="1"/>
    </xf>
    <xf numFmtId="0" fontId="22" fillId="0" borderId="54" xfId="0" applyFont="1" applyBorder="1" applyAlignment="1" applyProtection="1">
      <alignment horizontal="center" vertical="center" wrapText="1"/>
      <protection hidden="1"/>
    </xf>
    <xf numFmtId="0" fontId="21" fillId="0" borderId="18" xfId="0" applyFont="1" applyBorder="1" applyAlignment="1" applyProtection="1">
      <alignment horizontal="right" vertical="center" wrapText="1"/>
      <protection hidden="1"/>
    </xf>
    <xf numFmtId="0" fontId="21" fillId="0" borderId="21" xfId="0" applyFont="1" applyBorder="1" applyAlignment="1" applyProtection="1">
      <alignment horizontal="right" vertical="center" wrapText="1"/>
      <protection hidden="1"/>
    </xf>
    <xf numFmtId="0" fontId="0" fillId="0" borderId="0" xfId="0" applyAlignment="1" applyProtection="1">
      <alignment horizontal="center" vertical="center"/>
      <protection hidden="1"/>
    </xf>
    <xf numFmtId="0" fontId="21" fillId="0" borderId="17" xfId="0" applyFont="1" applyBorder="1" applyAlignment="1" applyProtection="1">
      <alignment horizontal="right" vertical="center" wrapText="1"/>
      <protection hidden="1"/>
    </xf>
    <xf numFmtId="3" fontId="21" fillId="1" borderId="19" xfId="4" applyNumberFormat="1" applyFont="1" applyFill="1" applyBorder="1" applyAlignment="1" applyProtection="1">
      <alignment horizontal="center" vertical="center"/>
      <protection hidden="1"/>
    </xf>
    <xf numFmtId="3" fontId="21" fillId="1" borderId="20" xfId="4" applyNumberFormat="1" applyFont="1" applyFill="1" applyBorder="1" applyAlignment="1" applyProtection="1">
      <alignment horizontal="center" vertical="center"/>
      <protection hidden="1"/>
    </xf>
    <xf numFmtId="0" fontId="21" fillId="0" borderId="43" xfId="0" applyFont="1" applyBorder="1" applyAlignment="1" applyProtection="1">
      <alignment horizontal="right" vertical="center" wrapText="1"/>
      <protection hidden="1"/>
    </xf>
    <xf numFmtId="166" fontId="21" fillId="0" borderId="38" xfId="4" applyNumberFormat="1" applyFont="1" applyBorder="1" applyAlignment="1" applyProtection="1">
      <alignment horizontal="center" vertical="center"/>
      <protection hidden="1"/>
    </xf>
    <xf numFmtId="3" fontId="21" fillId="1" borderId="8" xfId="4" applyNumberFormat="1" applyFont="1" applyFill="1" applyBorder="1" applyAlignment="1" applyProtection="1">
      <alignment horizontal="center" vertical="center"/>
      <protection hidden="1"/>
    </xf>
    <xf numFmtId="0" fontId="21" fillId="0" borderId="0" xfId="0" applyFont="1" applyAlignment="1" applyProtection="1">
      <alignment horizontal="right" vertical="center" wrapText="1"/>
      <protection hidden="1"/>
    </xf>
    <xf numFmtId="166" fontId="21" fillId="0" borderId="0" xfId="4" applyNumberFormat="1" applyFont="1" applyBorder="1" applyAlignment="1" applyProtection="1">
      <alignment horizontal="center" vertical="center"/>
      <protection hidden="1"/>
    </xf>
    <xf numFmtId="166" fontId="21" fillId="0" borderId="0" xfId="0" applyNumberFormat="1" applyFont="1" applyAlignment="1" applyProtection="1">
      <alignment vertical="center" wrapText="1"/>
      <protection hidden="1"/>
    </xf>
    <xf numFmtId="0" fontId="24" fillId="2" borderId="26" xfId="0" applyFont="1" applyFill="1" applyBorder="1" applyAlignment="1" applyProtection="1">
      <alignment horizontal="centerContinuous" vertical="center" wrapText="1"/>
      <protection hidden="1"/>
    </xf>
    <xf numFmtId="0" fontId="28" fillId="2" borderId="27" xfId="0" applyFont="1" applyFill="1" applyBorder="1" applyAlignment="1" applyProtection="1">
      <alignment horizontal="centerContinuous"/>
      <protection hidden="1"/>
    </xf>
    <xf numFmtId="0" fontId="24" fillId="2" borderId="26" xfId="0" applyFont="1" applyFill="1" applyBorder="1" applyAlignment="1" applyProtection="1">
      <alignment horizontal="centerContinuous" wrapText="1"/>
      <protection hidden="1"/>
    </xf>
    <xf numFmtId="0" fontId="22" fillId="0" borderId="35" xfId="0" applyFont="1" applyBorder="1" applyAlignment="1" applyProtection="1">
      <alignment horizontal="center" vertical="center" wrapText="1"/>
      <protection hidden="1"/>
    </xf>
    <xf numFmtId="0" fontId="22" fillId="0" borderId="41" xfId="0" applyFont="1" applyBorder="1" applyAlignment="1" applyProtection="1">
      <alignment horizontal="center" vertical="center" wrapText="1"/>
      <protection hidden="1"/>
    </xf>
    <xf numFmtId="166" fontId="21" fillId="0" borderId="33" xfId="4" applyNumberFormat="1" applyFont="1" applyBorder="1" applyAlignment="1" applyProtection="1">
      <alignment horizontal="center" vertical="center"/>
      <protection hidden="1"/>
    </xf>
    <xf numFmtId="166" fontId="21" fillId="0" borderId="36" xfId="4" applyNumberFormat="1" applyFont="1" applyBorder="1" applyAlignment="1" applyProtection="1">
      <alignment horizontal="center" vertical="center"/>
      <protection hidden="1"/>
    </xf>
    <xf numFmtId="169" fontId="21" fillId="0" borderId="33" xfId="0" applyNumberFormat="1" applyFont="1" applyBorder="1" applyAlignment="1" applyProtection="1">
      <alignment horizontal="center" vertical="center"/>
      <protection hidden="1"/>
    </xf>
    <xf numFmtId="169" fontId="21" fillId="0" borderId="36" xfId="0" applyNumberFormat="1" applyFont="1" applyBorder="1" applyAlignment="1" applyProtection="1">
      <alignment horizontal="center" vertical="center"/>
      <protection hidden="1"/>
    </xf>
    <xf numFmtId="166" fontId="21" fillId="0" borderId="34" xfId="4" applyNumberFormat="1" applyFont="1" applyBorder="1" applyAlignment="1" applyProtection="1">
      <alignment horizontal="center" vertical="center"/>
      <protection hidden="1"/>
    </xf>
    <xf numFmtId="169" fontId="21" fillId="0" borderId="34" xfId="0" applyNumberFormat="1" applyFont="1" applyBorder="1" applyAlignment="1" applyProtection="1">
      <alignment horizontal="center" vertical="center"/>
      <protection hidden="1"/>
    </xf>
    <xf numFmtId="0" fontId="21" fillId="0" borderId="0" xfId="0" applyFont="1" applyAlignment="1" applyProtection="1">
      <alignment horizontal="right"/>
      <protection hidden="1"/>
    </xf>
    <xf numFmtId="3" fontId="21" fillId="0" borderId="0" xfId="0" applyNumberFormat="1" applyFont="1" applyAlignment="1" applyProtection="1">
      <alignment horizontal="center" vertical="center"/>
      <protection hidden="1"/>
    </xf>
    <xf numFmtId="0" fontId="38" fillId="0" borderId="0" xfId="7" applyFont="1" applyProtection="1">
      <protection hidden="1"/>
    </xf>
    <xf numFmtId="0" fontId="37" fillId="0" borderId="0" xfId="0" applyFont="1" applyProtection="1">
      <protection hidden="1"/>
    </xf>
    <xf numFmtId="0" fontId="30" fillId="0" borderId="0" xfId="7" applyFont="1" applyAlignment="1" applyProtection="1">
      <alignment vertical="center"/>
      <protection hidden="1"/>
    </xf>
    <xf numFmtId="0" fontId="30" fillId="0" borderId="0" xfId="0" applyFont="1" applyAlignment="1" applyProtection="1">
      <alignment vertical="center"/>
      <protection hidden="1"/>
    </xf>
    <xf numFmtId="0" fontId="40" fillId="0" borderId="0" xfId="0" applyFont="1" applyProtection="1">
      <protection hidden="1"/>
    </xf>
    <xf numFmtId="0" fontId="35" fillId="0" borderId="53" xfId="7" applyNumberFormat="1" applyFont="1" applyBorder="1" applyAlignment="1" applyProtection="1">
      <alignment horizontal="right" vertical="center"/>
      <protection hidden="1"/>
    </xf>
    <xf numFmtId="0" fontId="32" fillId="0" borderId="0" xfId="7" applyBorder="1" applyProtection="1">
      <protection hidden="1"/>
    </xf>
    <xf numFmtId="0" fontId="23" fillId="0" borderId="0" xfId="0" applyFont="1" applyAlignment="1" applyProtection="1">
      <alignment vertical="center"/>
      <protection hidden="1"/>
    </xf>
    <xf numFmtId="0" fontId="36" fillId="0" borderId="17" xfId="0" applyFont="1" applyBorder="1" applyAlignment="1" applyProtection="1">
      <alignment horizontal="right" vertical="center"/>
      <protection hidden="1"/>
    </xf>
    <xf numFmtId="0" fontId="22" fillId="0" borderId="0" xfId="0" applyFont="1" applyAlignment="1" applyProtection="1">
      <alignment horizontal="center" vertical="center"/>
      <protection hidden="1"/>
    </xf>
    <xf numFmtId="0" fontId="22" fillId="0" borderId="9" xfId="0" applyFont="1" applyBorder="1" applyAlignment="1" applyProtection="1">
      <alignment horizontal="center" vertical="center"/>
      <protection hidden="1"/>
    </xf>
    <xf numFmtId="3" fontId="21" fillId="0" borderId="19" xfId="1" applyNumberFormat="1" applyFont="1" applyBorder="1" applyAlignment="1" applyProtection="1">
      <alignment horizontal="center" vertical="center" wrapText="1"/>
      <protection hidden="1"/>
    </xf>
    <xf numFmtId="169" fontId="21" fillId="0" borderId="19" xfId="1" applyNumberFormat="1" applyFont="1" applyBorder="1" applyAlignment="1" applyProtection="1">
      <alignment horizontal="center" vertical="center" wrapText="1"/>
      <protection hidden="1"/>
    </xf>
    <xf numFmtId="44" fontId="21" fillId="0" borderId="21" xfId="0" applyNumberFormat="1" applyFont="1" applyBorder="1" applyAlignment="1" applyProtection="1">
      <alignment horizontal="right" vertical="center" wrapText="1"/>
      <protection hidden="1"/>
    </xf>
    <xf numFmtId="169" fontId="21" fillId="0" borderId="22" xfId="1" applyNumberFormat="1" applyFont="1" applyBorder="1" applyAlignment="1" applyProtection="1">
      <alignment horizontal="center" vertical="center" wrapText="1"/>
      <protection hidden="1"/>
    </xf>
    <xf numFmtId="169" fontId="21" fillId="0" borderId="23" xfId="1" applyNumberFormat="1" applyFont="1" applyBorder="1" applyAlignment="1" applyProtection="1">
      <alignment horizontal="center" vertical="center" wrapText="1"/>
      <protection hidden="1"/>
    </xf>
    <xf numFmtId="44" fontId="21" fillId="0" borderId="4" xfId="0" applyNumberFormat="1" applyFont="1" applyBorder="1" applyAlignment="1" applyProtection="1">
      <alignment horizontal="right" vertical="center" wrapText="1"/>
      <protection hidden="1"/>
    </xf>
    <xf numFmtId="3" fontId="21" fillId="0" borderId="0" xfId="1" applyNumberFormat="1" applyFont="1" applyBorder="1" applyAlignment="1" applyProtection="1">
      <alignment horizontal="center" vertical="center" wrapText="1"/>
      <protection hidden="1"/>
    </xf>
    <xf numFmtId="3" fontId="21" fillId="0" borderId="9" xfId="1" applyNumberFormat="1" applyFont="1" applyBorder="1" applyAlignment="1" applyProtection="1">
      <alignment horizontal="center" vertical="center"/>
      <protection hidden="1"/>
    </xf>
    <xf numFmtId="44" fontId="21" fillId="0" borderId="2" xfId="0" applyNumberFormat="1" applyFont="1" applyBorder="1" applyAlignment="1" applyProtection="1">
      <alignment horizontal="right" vertical="center" wrapText="1"/>
      <protection hidden="1"/>
    </xf>
    <xf numFmtId="169" fontId="21" fillId="0" borderId="8" xfId="1" applyNumberFormat="1" applyFont="1" applyBorder="1" applyAlignment="1" applyProtection="1">
      <alignment horizontal="center" vertical="center" wrapText="1"/>
      <protection hidden="1"/>
    </xf>
    <xf numFmtId="169" fontId="21" fillId="0" borderId="1" xfId="7" applyNumberFormat="1" applyFont="1" applyBorder="1" applyAlignment="1" applyProtection="1">
      <alignment horizontal="center" vertical="center" wrapText="1"/>
      <protection hidden="1"/>
    </xf>
    <xf numFmtId="44" fontId="21" fillId="0" borderId="0" xfId="0" applyNumberFormat="1" applyFont="1" applyAlignment="1" applyProtection="1">
      <alignment horizontal="right" vertical="center" wrapText="1"/>
      <protection hidden="1"/>
    </xf>
    <xf numFmtId="9" fontId="21" fillId="0" borderId="0" xfId="4" applyFont="1" applyBorder="1" applyAlignment="1" applyProtection="1">
      <alignment horizontal="center" vertical="center"/>
      <protection hidden="1"/>
    </xf>
    <xf numFmtId="169" fontId="21" fillId="0" borderId="0" xfId="1" applyNumberFormat="1" applyFont="1" applyBorder="1" applyAlignment="1" applyProtection="1">
      <alignment horizontal="center" vertical="center" wrapText="1"/>
      <protection hidden="1"/>
    </xf>
    <xf numFmtId="0" fontId="24" fillId="2" borderId="39" xfId="0" applyFont="1" applyFill="1" applyBorder="1" applyAlignment="1" applyProtection="1">
      <alignment horizontal="centerContinuous" wrapText="1"/>
      <protection hidden="1"/>
    </xf>
    <xf numFmtId="0" fontId="28" fillId="2" borderId="40" xfId="0" applyFont="1" applyFill="1" applyBorder="1" applyAlignment="1" applyProtection="1">
      <alignment horizontal="centerContinuous"/>
      <protection hidden="1"/>
    </xf>
    <xf numFmtId="0" fontId="28" fillId="2" borderId="41" xfId="0" applyFont="1" applyFill="1" applyBorder="1" applyAlignment="1" applyProtection="1">
      <alignment horizontal="centerContinuous"/>
      <protection hidden="1"/>
    </xf>
    <xf numFmtId="0" fontId="22" fillId="0" borderId="40" xfId="0" applyFont="1" applyBorder="1" applyAlignment="1" applyProtection="1">
      <alignment horizontal="center" vertical="center"/>
      <protection hidden="1"/>
    </xf>
    <xf numFmtId="0" fontId="22" fillId="0" borderId="41" xfId="0" applyFont="1" applyBorder="1" applyAlignment="1" applyProtection="1">
      <alignment horizontal="center" vertical="center"/>
      <protection hidden="1"/>
    </xf>
    <xf numFmtId="3" fontId="21" fillId="0" borderId="0" xfId="4" applyNumberFormat="1" applyFont="1" applyBorder="1" applyAlignment="1" applyProtection="1">
      <alignment horizontal="center" vertical="center"/>
      <protection hidden="1"/>
    </xf>
    <xf numFmtId="3" fontId="21" fillId="0" borderId="9" xfId="4" applyNumberFormat="1" applyFont="1" applyBorder="1" applyAlignment="1" applyProtection="1">
      <alignment horizontal="center" vertical="center"/>
      <protection hidden="1"/>
    </xf>
    <xf numFmtId="44" fontId="21" fillId="0" borderId="43" xfId="0" applyNumberFormat="1" applyFont="1" applyBorder="1" applyAlignment="1" applyProtection="1">
      <alignment horizontal="right" vertical="center" wrapText="1"/>
      <protection hidden="1"/>
    </xf>
    <xf numFmtId="0" fontId="36" fillId="0" borderId="21" xfId="0" applyFont="1" applyBorder="1" applyAlignment="1" applyProtection="1">
      <alignment horizontal="left" vertical="center"/>
      <protection hidden="1"/>
    </xf>
    <xf numFmtId="3" fontId="21" fillId="0" borderId="18" xfId="1" applyNumberFormat="1" applyFont="1" applyBorder="1" applyAlignment="1" applyProtection="1">
      <alignment horizontal="right" vertical="center"/>
      <protection hidden="1"/>
    </xf>
    <xf numFmtId="166" fontId="21" fillId="0" borderId="22" xfId="4" applyNumberFormat="1" applyFont="1" applyBorder="1" applyAlignment="1" applyProtection="1">
      <alignment horizontal="center" vertical="center" wrapText="1"/>
      <protection hidden="1"/>
    </xf>
    <xf numFmtId="166" fontId="21" fillId="0" borderId="23" xfId="4" applyNumberFormat="1" applyFont="1" applyBorder="1" applyAlignment="1" applyProtection="1">
      <alignment horizontal="center" vertical="center" wrapText="1"/>
      <protection hidden="1"/>
    </xf>
    <xf numFmtId="0" fontId="35" fillId="0" borderId="0" xfId="7" applyFont="1" applyBorder="1" applyAlignment="1" applyProtection="1">
      <alignment horizontal="left" vertical="top"/>
      <protection hidden="1"/>
    </xf>
    <xf numFmtId="0" fontId="22" fillId="0" borderId="0" xfId="0" applyFont="1" applyAlignment="1" applyProtection="1">
      <alignment horizontal="left" vertical="center"/>
      <protection hidden="1"/>
    </xf>
    <xf numFmtId="0" fontId="21" fillId="0" borderId="8" xfId="0" applyFont="1" applyBorder="1" applyProtection="1">
      <protection hidden="1"/>
    </xf>
    <xf numFmtId="0" fontId="21" fillId="0" borderId="8" xfId="0" applyFont="1" applyBorder="1" applyAlignment="1" applyProtection="1">
      <alignment wrapText="1"/>
      <protection hidden="1"/>
    </xf>
    <xf numFmtId="0" fontId="35" fillId="0" borderId="5" xfId="0" applyFont="1" applyBorder="1" applyAlignment="1" applyProtection="1">
      <alignment horizontal="left" vertical="top"/>
      <protection hidden="1"/>
    </xf>
    <xf numFmtId="44" fontId="21" fillId="0" borderId="0" xfId="0" applyNumberFormat="1" applyFont="1" applyAlignment="1" applyProtection="1">
      <alignment wrapText="1"/>
      <protection hidden="1"/>
    </xf>
    <xf numFmtId="0" fontId="21" fillId="0" borderId="4" xfId="0" applyFont="1" applyBorder="1" applyAlignment="1" applyProtection="1">
      <alignment horizontal="right" wrapText="1"/>
      <protection hidden="1"/>
    </xf>
    <xf numFmtId="168" fontId="21" fillId="0" borderId="0" xfId="1" applyNumberFormat="1" applyFont="1" applyBorder="1" applyAlignment="1" applyProtection="1">
      <alignment horizontal="center" vertical="center" wrapText="1"/>
      <protection hidden="1"/>
    </xf>
    <xf numFmtId="168" fontId="21" fillId="0" borderId="9" xfId="1" applyNumberFormat="1" applyFont="1" applyBorder="1" applyAlignment="1" applyProtection="1">
      <alignment horizontal="center" vertical="center" wrapText="1"/>
      <protection hidden="1"/>
    </xf>
    <xf numFmtId="168" fontId="21" fillId="0" borderId="38" xfId="1" applyNumberFormat="1" applyFont="1" applyBorder="1" applyAlignment="1" applyProtection="1">
      <alignment horizontal="center" vertical="center" wrapText="1"/>
      <protection hidden="1"/>
    </xf>
    <xf numFmtId="168" fontId="21" fillId="0" borderId="42" xfId="7" applyNumberFormat="1" applyFont="1" applyBorder="1" applyAlignment="1" applyProtection="1">
      <alignment horizontal="center" vertical="center" wrapText="1"/>
      <protection hidden="1"/>
    </xf>
    <xf numFmtId="0" fontId="32" fillId="0" borderId="0" xfId="7" applyFill="1" applyProtection="1">
      <protection hidden="1"/>
    </xf>
    <xf numFmtId="3" fontId="21" fillId="0" borderId="19" xfId="0" applyNumberFormat="1" applyFont="1" applyBorder="1" applyAlignment="1" applyProtection="1">
      <alignment horizontal="center" vertical="center"/>
      <protection hidden="1"/>
    </xf>
    <xf numFmtId="3" fontId="21" fillId="0" borderId="20" xfId="0" applyNumberFormat="1" applyFont="1" applyBorder="1" applyAlignment="1" applyProtection="1">
      <alignment horizontal="center" vertical="center"/>
      <protection hidden="1"/>
    </xf>
    <xf numFmtId="169" fontId="21" fillId="0" borderId="20" xfId="1" applyNumberFormat="1" applyFont="1" applyBorder="1" applyAlignment="1" applyProtection="1">
      <alignment horizontal="center" vertical="center" wrapText="1"/>
      <protection hidden="1"/>
    </xf>
    <xf numFmtId="44" fontId="21" fillId="0" borderId="21" xfId="0" applyNumberFormat="1" applyFont="1" applyBorder="1" applyAlignment="1" applyProtection="1">
      <alignment horizontal="right" vertical="center"/>
      <protection hidden="1"/>
    </xf>
    <xf numFmtId="44" fontId="21" fillId="0" borderId="43" xfId="0" applyNumberFormat="1" applyFont="1" applyBorder="1" applyAlignment="1" applyProtection="1">
      <alignment horizontal="right" vertical="center"/>
      <protection hidden="1"/>
    </xf>
    <xf numFmtId="0" fontId="21" fillId="0" borderId="70" xfId="0" applyFont="1" applyBorder="1" applyAlignment="1" applyProtection="1">
      <alignment horizontal="right" vertical="center"/>
      <protection hidden="1"/>
    </xf>
    <xf numFmtId="3" fontId="21" fillId="0" borderId="71" xfId="0" applyNumberFormat="1" applyFont="1" applyBorder="1" applyAlignment="1" applyProtection="1">
      <alignment horizontal="center" vertical="center"/>
      <protection hidden="1"/>
    </xf>
    <xf numFmtId="3" fontId="21" fillId="0" borderId="72" xfId="0" applyNumberFormat="1" applyFont="1" applyBorder="1" applyAlignment="1" applyProtection="1">
      <alignment horizontal="center" vertical="center"/>
      <protection hidden="1"/>
    </xf>
    <xf numFmtId="44" fontId="21" fillId="0" borderId="70" xfId="0" applyNumberFormat="1" applyFont="1" applyBorder="1" applyAlignment="1" applyProtection="1">
      <alignment horizontal="right" vertical="center" wrapText="1"/>
      <protection hidden="1"/>
    </xf>
    <xf numFmtId="166" fontId="21" fillId="0" borderId="9" xfId="4" applyNumberFormat="1" applyFont="1" applyBorder="1" applyAlignment="1" applyProtection="1">
      <alignment horizontal="center" vertical="center"/>
      <protection hidden="1"/>
    </xf>
    <xf numFmtId="44" fontId="21" fillId="0" borderId="68" xfId="0" applyNumberFormat="1" applyFont="1" applyBorder="1" applyAlignment="1" applyProtection="1">
      <alignment horizontal="right" vertical="center" wrapText="1"/>
      <protection hidden="1"/>
    </xf>
    <xf numFmtId="0" fontId="21" fillId="0" borderId="69" xfId="0" applyFont="1" applyBorder="1" applyAlignment="1" applyProtection="1">
      <alignment horizontal="right"/>
      <protection hidden="1"/>
    </xf>
    <xf numFmtId="166" fontId="21" fillId="0" borderId="66" xfId="4" applyNumberFormat="1" applyFont="1" applyBorder="1" applyAlignment="1" applyProtection="1">
      <alignment horizontal="center" vertical="center"/>
      <protection hidden="1"/>
    </xf>
    <xf numFmtId="166" fontId="21" fillId="0" borderId="67" xfId="4" applyNumberFormat="1" applyFont="1" applyBorder="1" applyAlignment="1" applyProtection="1">
      <alignment horizontal="center" vertical="center"/>
      <protection hidden="1"/>
    </xf>
    <xf numFmtId="3" fontId="21" fillId="0" borderId="9" xfId="0" applyNumberFormat="1" applyFont="1" applyBorder="1" applyAlignment="1" applyProtection="1">
      <alignment horizontal="center" vertical="center"/>
      <protection hidden="1"/>
    </xf>
    <xf numFmtId="170" fontId="22" fillId="0" borderId="0" xfId="0" applyNumberFormat="1" applyFont="1" applyAlignment="1" applyProtection="1">
      <alignment horizontal="left" vertical="top"/>
      <protection hidden="1"/>
    </xf>
    <xf numFmtId="0" fontId="32" fillId="0" borderId="0" xfId="7" applyAlignment="1" applyProtection="1">
      <alignment wrapText="1"/>
      <protection hidden="1"/>
    </xf>
    <xf numFmtId="170" fontId="22" fillId="0" borderId="0" xfId="0" applyNumberFormat="1" applyFont="1" applyAlignment="1" applyProtection="1">
      <alignment horizontal="left" vertical="center"/>
      <protection hidden="1"/>
    </xf>
    <xf numFmtId="0" fontId="47" fillId="0" borderId="0" xfId="0" applyFont="1" applyAlignment="1" applyProtection="1">
      <alignment horizontal="left"/>
      <protection hidden="1"/>
    </xf>
    <xf numFmtId="0" fontId="35" fillId="0" borderId="0" xfId="7" applyFont="1" applyAlignment="1" applyProtection="1">
      <alignment wrapText="1"/>
      <protection hidden="1"/>
    </xf>
    <xf numFmtId="0" fontId="33" fillId="0" borderId="0" xfId="7" applyFont="1" applyFill="1" applyAlignment="1" applyProtection="1">
      <alignment horizontal="left" vertical="center" wrapText="1"/>
      <protection hidden="1"/>
    </xf>
    <xf numFmtId="0" fontId="21" fillId="0" borderId="5" xfId="0" applyFont="1" applyBorder="1" applyProtection="1">
      <protection hidden="1"/>
    </xf>
    <xf numFmtId="164" fontId="21" fillId="0" borderId="7" xfId="1" applyNumberFormat="1" applyFont="1" applyBorder="1" applyAlignment="1" applyProtection="1">
      <protection hidden="1"/>
    </xf>
    <xf numFmtId="0" fontId="21" fillId="0" borderId="7" xfId="0" applyFont="1" applyBorder="1" applyProtection="1">
      <protection hidden="1"/>
    </xf>
    <xf numFmtId="0" fontId="21" fillId="0" borderId="7" xfId="0" applyFont="1" applyBorder="1" applyAlignment="1" applyProtection="1">
      <alignment horizontal="right"/>
      <protection hidden="1"/>
    </xf>
    <xf numFmtId="0" fontId="21" fillId="0" borderId="6" xfId="0" applyFont="1" applyBorder="1" applyAlignment="1" applyProtection="1">
      <alignment horizontal="right" vertical="center"/>
      <protection hidden="1"/>
    </xf>
    <xf numFmtId="0" fontId="21" fillId="0" borderId="4" xfId="0" applyFont="1" applyBorder="1" applyProtection="1">
      <protection hidden="1"/>
    </xf>
    <xf numFmtId="0" fontId="21" fillId="0" borderId="5" xfId="0" applyFont="1" applyBorder="1" applyAlignment="1" applyProtection="1">
      <alignment vertical="center"/>
      <protection hidden="1"/>
    </xf>
    <xf numFmtId="0" fontId="21" fillId="0" borderId="5" xfId="0" applyFont="1" applyBorder="1" applyAlignment="1" applyProtection="1">
      <alignment horizontal="centerContinuous" vertical="center"/>
      <protection hidden="1"/>
    </xf>
    <xf numFmtId="0" fontId="21" fillId="0" borderId="6" xfId="0" applyFont="1" applyBorder="1" applyAlignment="1" applyProtection="1">
      <alignment horizontal="centerContinuous" vertical="center"/>
      <protection hidden="1"/>
    </xf>
    <xf numFmtId="0" fontId="21" fillId="0" borderId="5" xfId="0" applyFont="1" applyBorder="1" applyAlignment="1" applyProtection="1">
      <alignment horizontal="right" vertical="center"/>
      <protection hidden="1"/>
    </xf>
    <xf numFmtId="0" fontId="21" fillId="0" borderId="49" xfId="0" applyFont="1" applyBorder="1" applyProtection="1">
      <protection hidden="1"/>
    </xf>
    <xf numFmtId="164" fontId="21" fillId="0" borderId="4" xfId="0" applyNumberFormat="1" applyFont="1" applyBorder="1" applyAlignment="1" applyProtection="1">
      <alignment horizontal="center" vertical="center"/>
      <protection hidden="1"/>
    </xf>
    <xf numFmtId="164" fontId="21" fillId="0" borderId="4" xfId="1" applyNumberFormat="1" applyFont="1" applyBorder="1" applyAlignment="1" applyProtection="1">
      <alignment horizontal="center" vertical="center"/>
      <protection hidden="1"/>
    </xf>
    <xf numFmtId="164" fontId="21" fillId="0" borderId="9" xfId="1" applyNumberFormat="1" applyFont="1" applyBorder="1" applyAlignment="1" applyProtection="1">
      <alignment horizontal="center"/>
      <protection hidden="1"/>
    </xf>
    <xf numFmtId="166" fontId="21" fillId="0" borderId="4" xfId="4" applyNumberFormat="1" applyFont="1" applyBorder="1" applyAlignment="1" applyProtection="1">
      <alignment horizontal="center" vertical="center"/>
      <protection hidden="1"/>
    </xf>
    <xf numFmtId="164" fontId="21" fillId="0" borderId="0" xfId="0" applyNumberFormat="1" applyFont="1" applyProtection="1">
      <protection hidden="1"/>
    </xf>
    <xf numFmtId="44" fontId="21" fillId="0" borderId="7" xfId="0" applyNumberFormat="1" applyFont="1" applyBorder="1" applyProtection="1">
      <protection hidden="1"/>
    </xf>
    <xf numFmtId="164" fontId="21" fillId="0" borderId="0" xfId="1" applyNumberFormat="1" applyFont="1" applyBorder="1" applyAlignment="1" applyProtection="1">
      <protection hidden="1"/>
    </xf>
    <xf numFmtId="166" fontId="21" fillId="0" borderId="0" xfId="4" applyNumberFormat="1" applyFont="1" applyAlignment="1" applyProtection="1">
      <alignment horizontal="right"/>
      <protection hidden="1"/>
    </xf>
    <xf numFmtId="164" fontId="21" fillId="0" borderId="4" xfId="1" applyNumberFormat="1" applyFont="1" applyBorder="1" applyAlignment="1" applyProtection="1">
      <alignment horizontal="right" vertical="center"/>
      <protection hidden="1"/>
    </xf>
    <xf numFmtId="166" fontId="21" fillId="0" borderId="0" xfId="4" applyNumberFormat="1" applyFont="1" applyAlignment="1" applyProtection="1">
      <alignment horizontal="right" vertical="center"/>
      <protection hidden="1"/>
    </xf>
    <xf numFmtId="164" fontId="21" fillId="0" borderId="42" xfId="1" applyNumberFormat="1" applyFont="1" applyBorder="1" applyAlignment="1" applyProtection="1">
      <protection hidden="1"/>
    </xf>
    <xf numFmtId="166" fontId="21" fillId="0" borderId="0" xfId="4" applyNumberFormat="1" applyFont="1" applyAlignment="1" applyProtection="1">
      <protection hidden="1"/>
    </xf>
    <xf numFmtId="44" fontId="21" fillId="0" borderId="6" xfId="0" applyNumberFormat="1" applyFont="1" applyBorder="1" applyProtection="1">
      <protection hidden="1"/>
    </xf>
    <xf numFmtId="164" fontId="21" fillId="0" borderId="9" xfId="1" applyNumberFormat="1" applyFont="1" applyBorder="1" applyAlignment="1" applyProtection="1">
      <protection hidden="1"/>
    </xf>
    <xf numFmtId="164" fontId="21" fillId="0" borderId="0" xfId="0" applyNumberFormat="1" applyFont="1" applyAlignment="1" applyProtection="1">
      <alignment horizontal="center" vertical="center"/>
      <protection hidden="1"/>
    </xf>
    <xf numFmtId="164" fontId="21" fillId="0" borderId="0" xfId="1" applyNumberFormat="1" applyFont="1" applyBorder="1" applyAlignment="1" applyProtection="1">
      <alignment horizontal="center" vertical="center"/>
      <protection hidden="1"/>
    </xf>
    <xf numFmtId="164" fontId="21" fillId="0" borderId="0" xfId="1" applyNumberFormat="1" applyFont="1" applyBorder="1" applyAlignment="1" applyProtection="1">
      <alignment horizontal="center"/>
      <protection hidden="1"/>
    </xf>
    <xf numFmtId="164" fontId="21" fillId="0" borderId="9" xfId="1" applyNumberFormat="1" applyFont="1" applyBorder="1" applyAlignment="1" applyProtection="1">
      <alignment horizontal="right" vertical="center"/>
      <protection hidden="1"/>
    </xf>
    <xf numFmtId="0" fontId="21" fillId="0" borderId="9" xfId="0" applyFont="1" applyBorder="1" applyAlignment="1" applyProtection="1">
      <alignment horizontal="right" vertical="center"/>
      <protection hidden="1"/>
    </xf>
    <xf numFmtId="0" fontId="21" fillId="0" borderId="3" xfId="0" applyFont="1" applyBorder="1" applyAlignment="1" applyProtection="1">
      <alignment vertical="center"/>
      <protection hidden="1"/>
    </xf>
    <xf numFmtId="0" fontId="21" fillId="0" borderId="7" xfId="0" applyFont="1" applyBorder="1" applyAlignment="1" applyProtection="1">
      <alignment horizontal="centerContinuous" vertical="center"/>
      <protection hidden="1"/>
    </xf>
    <xf numFmtId="0" fontId="21" fillId="0" borderId="10" xfId="0" applyFont="1" applyBorder="1" applyAlignment="1" applyProtection="1">
      <alignment horizontal="right" vertical="center"/>
      <protection hidden="1"/>
    </xf>
    <xf numFmtId="164" fontId="21" fillId="0" borderId="4" xfId="0" applyNumberFormat="1" applyFont="1" applyBorder="1" applyAlignment="1" applyProtection="1">
      <alignment horizontal="right" vertical="center"/>
      <protection hidden="1"/>
    </xf>
    <xf numFmtId="166" fontId="21" fillId="0" borderId="9" xfId="4" applyNumberFormat="1" applyFont="1" applyBorder="1" applyAlignment="1" applyProtection="1">
      <alignment horizontal="right" vertical="center"/>
      <protection hidden="1"/>
    </xf>
    <xf numFmtId="164" fontId="21" fillId="0" borderId="0" xfId="1" applyNumberFormat="1" applyFont="1" applyBorder="1" applyAlignment="1" applyProtection="1">
      <alignment horizontal="right" vertical="center"/>
      <protection hidden="1"/>
    </xf>
    <xf numFmtId="0" fontId="21" fillId="0" borderId="0" xfId="1" applyNumberFormat="1" applyFont="1" applyBorder="1" applyAlignment="1" applyProtection="1">
      <alignment horizontal="left" vertical="center"/>
      <protection hidden="1"/>
    </xf>
    <xf numFmtId="1" fontId="21" fillId="0" borderId="0" xfId="0" applyNumberFormat="1" applyFont="1" applyAlignment="1" applyProtection="1">
      <alignment horizontal="left" vertical="center"/>
      <protection hidden="1"/>
    </xf>
    <xf numFmtId="3" fontId="21" fillId="0" borderId="0" xfId="0" applyNumberFormat="1" applyFont="1" applyAlignment="1" applyProtection="1">
      <alignment horizontal="right" vertical="center"/>
      <protection hidden="1"/>
    </xf>
    <xf numFmtId="0" fontId="21" fillId="0" borderId="7" xfId="0" applyFont="1" applyBorder="1" applyAlignment="1" applyProtection="1">
      <alignment horizontal="right" vertical="center"/>
      <protection hidden="1"/>
    </xf>
    <xf numFmtId="3" fontId="21" fillId="0" borderId="7" xfId="0" applyNumberFormat="1" applyFont="1" applyBorder="1" applyAlignment="1" applyProtection="1">
      <alignment horizontal="right" vertical="center"/>
      <protection hidden="1"/>
    </xf>
    <xf numFmtId="166" fontId="21" fillId="0" borderId="59" xfId="4" applyNumberFormat="1" applyFont="1" applyBorder="1" applyAlignment="1" applyProtection="1">
      <alignment horizontal="center" vertical="center"/>
      <protection hidden="1"/>
    </xf>
    <xf numFmtId="166" fontId="21" fillId="0" borderId="7" xfId="4" applyNumberFormat="1" applyFont="1" applyBorder="1" applyAlignment="1" applyProtection="1">
      <alignment horizontal="center" vertical="center"/>
      <protection hidden="1"/>
    </xf>
    <xf numFmtId="166" fontId="21" fillId="0" borderId="64" xfId="4" applyNumberFormat="1" applyFont="1" applyBorder="1" applyAlignment="1" applyProtection="1">
      <alignment horizontal="centerContinuous" vertical="center"/>
      <protection hidden="1"/>
    </xf>
    <xf numFmtId="1" fontId="25" fillId="0" borderId="0" xfId="0" applyNumberFormat="1" applyFont="1" applyAlignment="1" applyProtection="1">
      <alignment horizontal="left" vertical="center"/>
      <protection hidden="1"/>
    </xf>
    <xf numFmtId="3" fontId="21" fillId="0" borderId="4" xfId="0" applyNumberFormat="1" applyFont="1" applyBorder="1" applyAlignment="1" applyProtection="1">
      <alignment horizontal="right" vertical="center"/>
      <protection hidden="1"/>
    </xf>
    <xf numFmtId="3" fontId="21" fillId="0" borderId="9" xfId="0" applyNumberFormat="1" applyFont="1" applyBorder="1" applyProtection="1">
      <protection hidden="1"/>
    </xf>
    <xf numFmtId="0" fontId="0" fillId="0" borderId="0" xfId="0" applyAlignment="1" applyProtection="1">
      <alignment horizontal="right" vertical="center"/>
      <protection hidden="1"/>
    </xf>
    <xf numFmtId="0" fontId="33" fillId="0" borderId="0" xfId="7" applyFont="1" applyAlignment="1" applyProtection="1">
      <alignment vertical="center" wrapText="1"/>
      <protection hidden="1"/>
    </xf>
    <xf numFmtId="0" fontId="32" fillId="0" borderId="0" xfId="7" applyAlignment="1" applyProtection="1">
      <alignment vertical="center" wrapText="1"/>
      <protection hidden="1"/>
    </xf>
    <xf numFmtId="0" fontId="32" fillId="0" borderId="0" xfId="7"/>
    <xf numFmtId="0" fontId="22" fillId="0" borderId="0" xfId="7" applyFont="1" applyFill="1" applyAlignment="1" applyProtection="1">
      <alignment horizontal="left" vertical="center" wrapText="1"/>
      <protection hidden="1"/>
    </xf>
    <xf numFmtId="170" fontId="22" fillId="0" borderId="0" xfId="7" applyNumberFormat="1" applyFont="1" applyFill="1" applyAlignment="1" applyProtection="1">
      <alignment horizontal="left" vertical="center" wrapText="1"/>
      <protection hidden="1"/>
    </xf>
    <xf numFmtId="0" fontId="30" fillId="0" borderId="0" xfId="7" applyFont="1" applyFill="1" applyAlignment="1" applyProtection="1">
      <alignment horizontal="left" vertical="center" wrapText="1"/>
      <protection hidden="1"/>
    </xf>
    <xf numFmtId="166" fontId="21" fillId="0" borderId="0" xfId="7" applyNumberFormat="1" applyFont="1" applyBorder="1" applyAlignment="1" applyProtection="1">
      <alignment horizontal="center" vertical="center"/>
      <protection hidden="1"/>
    </xf>
    <xf numFmtId="0" fontId="32" fillId="0" borderId="0" xfId="7" applyAlignment="1">
      <alignment vertical="center"/>
    </xf>
    <xf numFmtId="0" fontId="17" fillId="0" borderId="0" xfId="7" applyFont="1" applyFill="1" applyAlignment="1" applyProtection="1">
      <alignment horizontal="left" vertical="center" wrapText="1"/>
      <protection hidden="1"/>
    </xf>
    <xf numFmtId="0" fontId="24" fillId="2" borderId="90" xfId="0" applyFont="1" applyFill="1" applyBorder="1" applyAlignment="1" applyProtection="1">
      <alignment horizontal="centerContinuous" wrapText="1"/>
      <protection hidden="1"/>
    </xf>
    <xf numFmtId="0" fontId="28" fillId="2" borderId="91" xfId="0" applyFont="1" applyFill="1" applyBorder="1" applyAlignment="1" applyProtection="1">
      <alignment horizontal="centerContinuous"/>
      <protection hidden="1"/>
    </xf>
    <xf numFmtId="0" fontId="28" fillId="2" borderId="92" xfId="0" applyFont="1" applyFill="1" applyBorder="1" applyAlignment="1" applyProtection="1">
      <alignment horizontal="centerContinuous"/>
      <protection hidden="1"/>
    </xf>
    <xf numFmtId="0" fontId="36" fillId="0" borderId="90" xfId="0" applyFont="1" applyBorder="1" applyAlignment="1" applyProtection="1">
      <alignment horizontal="left" vertical="center"/>
      <protection hidden="1"/>
    </xf>
    <xf numFmtId="0" fontId="22" fillId="0" borderId="91" xfId="0" applyFont="1" applyBorder="1" applyAlignment="1" applyProtection="1">
      <alignment horizontal="center" vertical="center"/>
      <protection hidden="1"/>
    </xf>
    <xf numFmtId="0" fontId="22" fillId="0" borderId="92" xfId="0" applyFont="1" applyBorder="1" applyAlignment="1" applyProtection="1">
      <alignment horizontal="center" vertical="center"/>
      <protection hidden="1"/>
    </xf>
    <xf numFmtId="170" fontId="16" fillId="0" borderId="0" xfId="7" applyNumberFormat="1" applyFont="1" applyFill="1" applyAlignment="1" applyProtection="1">
      <alignment horizontal="left" vertical="center" wrapText="1"/>
      <protection hidden="1"/>
    </xf>
    <xf numFmtId="0" fontId="50" fillId="0" borderId="0" xfId="0" applyFont="1" applyAlignment="1">
      <alignment horizontal="left" vertical="center" wrapText="1" readingOrder="1"/>
    </xf>
    <xf numFmtId="44" fontId="21" fillId="0" borderId="17" xfId="0" applyNumberFormat="1" applyFont="1" applyBorder="1" applyAlignment="1" applyProtection="1">
      <alignment horizontal="right" vertical="center" wrapText="1"/>
      <protection hidden="1"/>
    </xf>
    <xf numFmtId="166" fontId="21" fillId="0" borderId="9" xfId="7" applyNumberFormat="1" applyFont="1" applyBorder="1" applyAlignment="1" applyProtection="1">
      <alignment horizontal="center" vertical="center"/>
      <protection hidden="1"/>
    </xf>
    <xf numFmtId="0" fontId="22" fillId="0" borderId="93" xfId="0" applyFont="1" applyBorder="1" applyAlignment="1" applyProtection="1">
      <alignment horizontal="center" vertical="center" wrapText="1"/>
      <protection hidden="1"/>
    </xf>
    <xf numFmtId="0" fontId="22" fillId="0" borderId="94" xfId="0" applyFont="1" applyBorder="1" applyAlignment="1" applyProtection="1">
      <alignment horizontal="center" vertical="center" wrapText="1"/>
      <protection hidden="1"/>
    </xf>
    <xf numFmtId="3" fontId="21" fillId="0" borderId="43" xfId="1" applyNumberFormat="1" applyFont="1" applyBorder="1" applyAlignment="1" applyProtection="1">
      <alignment horizontal="right" vertical="center"/>
      <protection hidden="1"/>
    </xf>
    <xf numFmtId="3" fontId="22" fillId="0" borderId="15" xfId="0" applyNumberFormat="1" applyFont="1" applyBorder="1" applyAlignment="1" applyProtection="1">
      <alignment horizontal="center" vertical="center"/>
      <protection hidden="1"/>
    </xf>
    <xf numFmtId="0" fontId="22" fillId="0" borderId="0" xfId="0" applyFont="1"/>
    <xf numFmtId="0" fontId="15" fillId="0" borderId="0" xfId="0" applyFont="1"/>
    <xf numFmtId="0" fontId="14" fillId="0" borderId="0" xfId="0" applyFont="1" applyAlignment="1">
      <alignment vertical="center" wrapText="1"/>
    </xf>
    <xf numFmtId="0" fontId="32" fillId="0" borderId="0" xfId="7" applyAlignment="1" applyProtection="1">
      <alignment vertical="center"/>
      <protection hidden="1"/>
    </xf>
    <xf numFmtId="164" fontId="21" fillId="0" borderId="0" xfId="1" applyNumberFormat="1" applyFont="1" applyAlignment="1" applyProtection="1">
      <alignment vertical="center"/>
      <protection hidden="1"/>
    </xf>
    <xf numFmtId="0" fontId="21" fillId="0" borderId="0" xfId="0" applyFont="1" applyAlignment="1" applyProtection="1">
      <alignment vertical="center" wrapText="1"/>
      <protection hidden="1"/>
    </xf>
    <xf numFmtId="0" fontId="21" fillId="0" borderId="0" xfId="0" applyFont="1" applyAlignment="1" applyProtection="1">
      <alignment vertical="center"/>
      <protection hidden="1"/>
    </xf>
    <xf numFmtId="165" fontId="21" fillId="0" borderId="0" xfId="1" applyNumberFormat="1" applyFont="1" applyBorder="1" applyAlignment="1" applyProtection="1">
      <alignment vertical="center" wrapText="1"/>
      <protection hidden="1"/>
    </xf>
    <xf numFmtId="44" fontId="21" fillId="0" borderId="0" xfId="0" applyNumberFormat="1" applyFont="1" applyAlignment="1" applyProtection="1">
      <alignment vertical="center"/>
      <protection hidden="1"/>
    </xf>
    <xf numFmtId="9" fontId="21" fillId="0" borderId="0" xfId="4" applyFont="1" applyAlignment="1" applyProtection="1">
      <alignment vertical="center"/>
      <protection hidden="1"/>
    </xf>
    <xf numFmtId="0" fontId="33" fillId="0" borderId="0" xfId="7" applyFont="1" applyAlignment="1" applyProtection="1">
      <alignment vertical="center"/>
      <protection hidden="1"/>
    </xf>
    <xf numFmtId="9" fontId="21" fillId="0" borderId="0" xfId="4" applyFont="1" applyAlignment="1" applyProtection="1">
      <alignment vertical="center" wrapText="1"/>
      <protection hidden="1"/>
    </xf>
    <xf numFmtId="0" fontId="35" fillId="0" borderId="0" xfId="0" applyFont="1" applyAlignment="1" applyProtection="1">
      <alignment vertical="center"/>
      <protection hidden="1"/>
    </xf>
    <xf numFmtId="0" fontId="45" fillId="0" borderId="17" xfId="0" applyFont="1" applyBorder="1" applyAlignment="1" applyProtection="1">
      <alignment horizontal="right" vertical="center"/>
      <protection hidden="1"/>
    </xf>
    <xf numFmtId="37" fontId="21" fillId="0" borderId="29" xfId="0" applyNumberFormat="1" applyFont="1" applyBorder="1" applyAlignment="1" applyProtection="1">
      <alignment horizontal="center" vertical="center"/>
      <protection hidden="1"/>
    </xf>
    <xf numFmtId="166" fontId="21" fillId="0" borderId="30" xfId="4" applyNumberFormat="1" applyFont="1" applyBorder="1" applyAlignment="1" applyProtection="1">
      <alignment horizontal="center" vertical="center"/>
      <protection hidden="1"/>
    </xf>
    <xf numFmtId="0" fontId="13" fillId="0" borderId="5" xfId="0" applyFont="1" applyBorder="1" applyProtection="1">
      <protection hidden="1"/>
    </xf>
    <xf numFmtId="0" fontId="21" fillId="0" borderId="17" xfId="0" applyFont="1" applyBorder="1" applyProtection="1">
      <protection hidden="1"/>
    </xf>
    <xf numFmtId="0" fontId="21" fillId="0" borderId="10" xfId="0" applyFont="1" applyBorder="1" applyAlignment="1" applyProtection="1">
      <alignment vertical="center"/>
      <protection hidden="1"/>
    </xf>
    <xf numFmtId="0" fontId="21" fillId="0" borderId="0" xfId="0" applyFont="1" applyAlignment="1" applyProtection="1">
      <alignment horizontal="centerContinuous" vertical="center"/>
      <protection hidden="1"/>
    </xf>
    <xf numFmtId="166" fontId="21" fillId="0" borderId="9" xfId="4" applyNumberFormat="1" applyFont="1" applyBorder="1" applyAlignment="1" applyProtection="1">
      <alignment horizontal="centerContinuous" vertical="center"/>
      <protection hidden="1"/>
    </xf>
    <xf numFmtId="0" fontId="21" fillId="0" borderId="17" xfId="0" applyFont="1" applyBorder="1" applyAlignment="1" applyProtection="1">
      <alignment horizontal="centerContinuous" vertical="center"/>
      <protection hidden="1"/>
    </xf>
    <xf numFmtId="0" fontId="21" fillId="0" borderId="9" xfId="0" applyFont="1" applyBorder="1" applyAlignment="1" applyProtection="1">
      <alignment horizontal="centerContinuous" vertical="center"/>
      <protection hidden="1"/>
    </xf>
    <xf numFmtId="166" fontId="21" fillId="0" borderId="0" xfId="4" applyNumberFormat="1" applyFont="1" applyBorder="1" applyAlignment="1" applyProtection="1">
      <alignment horizontal="right" vertical="center"/>
      <protection hidden="1"/>
    </xf>
    <xf numFmtId="166" fontId="21" fillId="0" borderId="29" xfId="4" applyNumberFormat="1" applyFont="1" applyBorder="1" applyAlignment="1" applyProtection="1">
      <alignment horizontal="center" vertical="center"/>
      <protection hidden="1"/>
    </xf>
    <xf numFmtId="37" fontId="21" fillId="0" borderId="46" xfId="0" applyNumberFormat="1" applyFont="1" applyBorder="1" applyAlignment="1" applyProtection="1">
      <alignment horizontal="center" vertical="center"/>
      <protection hidden="1"/>
    </xf>
    <xf numFmtId="166" fontId="21" fillId="0" borderId="46" xfId="4" applyNumberFormat="1" applyFont="1" applyBorder="1" applyAlignment="1" applyProtection="1">
      <alignment horizontal="center" vertical="center"/>
      <protection hidden="1"/>
    </xf>
    <xf numFmtId="0" fontId="38" fillId="2" borderId="91" xfId="0" applyFont="1" applyFill="1" applyBorder="1" applyAlignment="1" applyProtection="1">
      <alignment horizontal="centerContinuous"/>
      <protection hidden="1"/>
    </xf>
    <xf numFmtId="0" fontId="38" fillId="2" borderId="92" xfId="0" applyFont="1" applyFill="1" applyBorder="1" applyAlignment="1" applyProtection="1">
      <alignment horizontal="centerContinuous"/>
      <protection hidden="1"/>
    </xf>
    <xf numFmtId="0" fontId="36" fillId="0" borderId="95" xfId="0" applyFont="1" applyBorder="1" applyAlignment="1" applyProtection="1">
      <alignment horizontal="center" vertical="center"/>
      <protection hidden="1"/>
    </xf>
    <xf numFmtId="37" fontId="21" fillId="0" borderId="17" xfId="0" applyNumberFormat="1" applyFont="1" applyBorder="1" applyAlignment="1" applyProtection="1">
      <alignment horizontal="right" vertical="center"/>
      <protection hidden="1"/>
    </xf>
    <xf numFmtId="37" fontId="21" fillId="0" borderId="43" xfId="0" applyNumberFormat="1" applyFont="1" applyBorder="1" applyAlignment="1" applyProtection="1">
      <alignment horizontal="right" vertical="center"/>
      <protection hidden="1"/>
    </xf>
    <xf numFmtId="0" fontId="0" fillId="0" borderId="91" xfId="0" applyBorder="1"/>
    <xf numFmtId="37" fontId="21" fillId="0" borderId="91" xfId="0" applyNumberFormat="1" applyFont="1" applyBorder="1" applyAlignment="1" applyProtection="1">
      <alignment horizontal="center" vertical="center"/>
      <protection hidden="1"/>
    </xf>
    <xf numFmtId="166" fontId="21" fillId="0" borderId="91" xfId="4" applyNumberFormat="1" applyFont="1" applyBorder="1" applyAlignment="1" applyProtection="1">
      <alignment horizontal="center" vertical="center"/>
      <protection hidden="1"/>
    </xf>
    <xf numFmtId="37" fontId="21" fillId="0" borderId="0" xfId="0" applyNumberFormat="1" applyFont="1" applyAlignment="1" applyProtection="1">
      <alignment horizontal="center" vertical="center"/>
      <protection hidden="1"/>
    </xf>
    <xf numFmtId="0" fontId="33" fillId="0" borderId="0" xfId="7" applyFont="1" applyAlignment="1">
      <alignment vertical="center"/>
    </xf>
    <xf numFmtId="0" fontId="45" fillId="0" borderId="75" xfId="0" applyFont="1" applyBorder="1" applyAlignment="1" applyProtection="1">
      <alignment horizontal="right" vertical="center"/>
      <protection hidden="1"/>
    </xf>
    <xf numFmtId="166" fontId="21" fillId="0" borderId="103" xfId="4" applyNumberFormat="1" applyFont="1" applyBorder="1" applyAlignment="1" applyProtection="1">
      <alignment horizontal="center" vertical="center"/>
      <protection hidden="1"/>
    </xf>
    <xf numFmtId="0" fontId="22" fillId="0" borderId="105" xfId="0" applyFont="1" applyBorder="1" applyAlignment="1" applyProtection="1">
      <alignment horizontal="centerContinuous" vertical="center"/>
      <protection hidden="1"/>
    </xf>
    <xf numFmtId="0" fontId="22" fillId="0" borderId="104" xfId="0" applyFont="1" applyBorder="1" applyAlignment="1" applyProtection="1">
      <alignment horizontal="centerContinuous" vertical="center"/>
      <protection hidden="1"/>
    </xf>
    <xf numFmtId="166" fontId="21" fillId="0" borderId="106" xfId="4" applyNumberFormat="1" applyFont="1" applyBorder="1" applyAlignment="1" applyProtection="1">
      <alignment horizontal="center" vertical="center"/>
      <protection hidden="1"/>
    </xf>
    <xf numFmtId="37" fontId="21" fillId="0" borderId="106" xfId="0" applyNumberFormat="1" applyFont="1" applyBorder="1" applyAlignment="1" applyProtection="1">
      <alignment horizontal="center" vertical="center"/>
      <protection hidden="1"/>
    </xf>
    <xf numFmtId="0" fontId="22" fillId="0" borderId="91" xfId="0" applyFont="1" applyBorder="1" applyAlignment="1" applyProtection="1">
      <alignment horizontal="centerContinuous" vertical="center"/>
      <protection hidden="1"/>
    </xf>
    <xf numFmtId="0" fontId="24" fillId="2" borderId="95" xfId="0" applyFont="1" applyFill="1" applyBorder="1" applyAlignment="1" applyProtection="1">
      <alignment horizontal="centerContinuous" vertical="center" wrapText="1"/>
      <protection hidden="1"/>
    </xf>
    <xf numFmtId="166" fontId="45" fillId="0" borderId="37" xfId="7" applyNumberFormat="1" applyFont="1" applyBorder="1" applyAlignment="1" applyProtection="1">
      <alignment horizontal="center" vertical="center"/>
      <protection hidden="1"/>
    </xf>
    <xf numFmtId="166" fontId="45" fillId="0" borderId="1" xfId="7" applyNumberFormat="1" applyFont="1" applyBorder="1" applyAlignment="1" applyProtection="1">
      <alignment horizontal="center" vertical="center"/>
      <protection hidden="1"/>
    </xf>
    <xf numFmtId="169" fontId="45" fillId="0" borderId="1" xfId="7" applyNumberFormat="1" applyFont="1" applyBorder="1" applyAlignment="1" applyProtection="1">
      <alignment horizontal="center" vertical="center" wrapText="1"/>
      <protection hidden="1"/>
    </xf>
    <xf numFmtId="166" fontId="45" fillId="0" borderId="42" xfId="7" applyNumberFormat="1" applyFont="1" applyBorder="1" applyAlignment="1" applyProtection="1">
      <alignment horizontal="center" vertical="center"/>
      <protection hidden="1"/>
    </xf>
    <xf numFmtId="169" fontId="45" fillId="0" borderId="1" xfId="7" applyNumberFormat="1" applyFont="1" applyBorder="1" applyAlignment="1" applyProtection="1">
      <alignment horizontal="center" vertical="center"/>
      <protection hidden="1"/>
    </xf>
    <xf numFmtId="3" fontId="45" fillId="1" borderId="42" xfId="7" applyNumberFormat="1" applyFont="1" applyFill="1" applyBorder="1" applyAlignment="1" applyProtection="1">
      <alignment horizontal="center" vertical="center"/>
      <protection hidden="1"/>
    </xf>
    <xf numFmtId="169" fontId="45" fillId="0" borderId="37" xfId="7" applyNumberFormat="1" applyFont="1" applyBorder="1" applyAlignment="1" applyProtection="1">
      <alignment horizontal="center" vertical="center"/>
      <protection hidden="1"/>
    </xf>
    <xf numFmtId="169" fontId="45" fillId="0" borderId="42" xfId="7" applyNumberFormat="1" applyFont="1" applyBorder="1" applyAlignment="1" applyProtection="1">
      <alignment horizontal="center" vertical="center"/>
      <protection hidden="1"/>
    </xf>
    <xf numFmtId="166" fontId="45" fillId="0" borderId="1" xfId="7" applyNumberFormat="1" applyFont="1" applyBorder="1" applyAlignment="1" applyProtection="1">
      <alignment horizontal="center" vertical="center" wrapText="1"/>
      <protection hidden="1"/>
    </xf>
    <xf numFmtId="166" fontId="45" fillId="0" borderId="1" xfId="7" applyNumberFormat="1" applyFont="1" applyBorder="1" applyAlignment="1" applyProtection="1">
      <alignment horizontal="center" wrapText="1"/>
      <protection hidden="1"/>
    </xf>
    <xf numFmtId="167" fontId="45" fillId="0" borderId="1" xfId="7" applyNumberFormat="1" applyFont="1" applyBorder="1" applyAlignment="1" applyProtection="1">
      <alignment horizontal="center" vertical="center" wrapText="1"/>
      <protection hidden="1"/>
    </xf>
    <xf numFmtId="0" fontId="48" fillId="0" borderId="84" xfId="7" applyNumberFormat="1" applyFont="1" applyFill="1" applyBorder="1" applyAlignment="1" applyProtection="1">
      <alignment horizontal="center" vertical="center" wrapText="1"/>
      <protection hidden="1"/>
    </xf>
    <xf numFmtId="44" fontId="48" fillId="0" borderId="84" xfId="7" applyNumberFormat="1" applyFont="1" applyFill="1" applyBorder="1" applyAlignment="1" applyProtection="1">
      <alignment horizontal="center" vertical="center" wrapText="1"/>
      <protection hidden="1"/>
    </xf>
    <xf numFmtId="0" fontId="0" fillId="0" borderId="52" xfId="0" applyBorder="1"/>
    <xf numFmtId="0" fontId="35" fillId="0" borderId="107" xfId="0" applyFont="1" applyBorder="1" applyAlignment="1" applyProtection="1">
      <alignment vertical="center"/>
      <protection hidden="1"/>
    </xf>
    <xf numFmtId="0" fontId="0" fillId="0" borderId="107" xfId="0" applyBorder="1" applyProtection="1">
      <protection hidden="1"/>
    </xf>
    <xf numFmtId="0" fontId="0" fillId="0" borderId="107" xfId="0" applyBorder="1"/>
    <xf numFmtId="0" fontId="35" fillId="0" borderId="107" xfId="7" applyFont="1" applyFill="1" applyBorder="1" applyProtection="1">
      <protection hidden="1"/>
    </xf>
    <xf numFmtId="0" fontId="35" fillId="0" borderId="107" xfId="0" applyFont="1" applyBorder="1" applyProtection="1">
      <protection hidden="1"/>
    </xf>
    <xf numFmtId="0" fontId="23" fillId="0" borderId="107" xfId="0" applyFont="1" applyBorder="1" applyAlignment="1" applyProtection="1">
      <alignment vertical="center"/>
      <protection hidden="1"/>
    </xf>
    <xf numFmtId="0" fontId="23" fillId="0" borderId="107" xfId="0" applyFont="1" applyBorder="1" applyAlignment="1" applyProtection="1">
      <alignment horizontal="left"/>
      <protection hidden="1"/>
    </xf>
    <xf numFmtId="37" fontId="45" fillId="0" borderId="33" xfId="0" applyNumberFormat="1" applyFont="1" applyBorder="1" applyAlignment="1" applyProtection="1">
      <alignment horizontal="center" vertical="center"/>
      <protection hidden="1"/>
    </xf>
    <xf numFmtId="166" fontId="45" fillId="0" borderId="36" xfId="4" applyNumberFormat="1" applyFont="1" applyBorder="1" applyAlignment="1" applyProtection="1">
      <alignment horizontal="center" vertical="center"/>
      <protection hidden="1"/>
    </xf>
    <xf numFmtId="37" fontId="45" fillId="0" borderId="34" xfId="0" applyNumberFormat="1" applyFont="1" applyBorder="1" applyAlignment="1" applyProtection="1">
      <alignment horizontal="center" vertical="center"/>
      <protection hidden="1"/>
    </xf>
    <xf numFmtId="0" fontId="12" fillId="0" borderId="0" xfId="7" applyFont="1" applyFill="1" applyAlignment="1" applyProtection="1">
      <alignment horizontal="left" vertical="center" wrapText="1"/>
      <protection hidden="1"/>
    </xf>
    <xf numFmtId="0" fontId="11" fillId="0" borderId="5" xfId="0" applyFont="1" applyBorder="1" applyProtection="1">
      <protection hidden="1"/>
    </xf>
    <xf numFmtId="0" fontId="10" fillId="0" borderId="0" xfId="0" applyFont="1" applyAlignment="1" applyProtection="1">
      <alignment horizontal="left" vertical="center"/>
      <protection hidden="1"/>
    </xf>
    <xf numFmtId="37" fontId="21" fillId="0" borderId="4" xfId="0" applyNumberFormat="1" applyFont="1" applyBorder="1" applyAlignment="1" applyProtection="1">
      <alignment horizontal="right" vertical="center"/>
      <protection hidden="1"/>
    </xf>
    <xf numFmtId="3" fontId="21" fillId="0" borderId="9" xfId="1" applyNumberFormat="1" applyFont="1" applyBorder="1" applyAlignment="1" applyProtection="1">
      <protection hidden="1"/>
    </xf>
    <xf numFmtId="3" fontId="21" fillId="0" borderId="0" xfId="1" applyNumberFormat="1" applyFont="1" applyBorder="1" applyAlignment="1" applyProtection="1">
      <alignment horizontal="right"/>
      <protection hidden="1"/>
    </xf>
    <xf numFmtId="3" fontId="21" fillId="0" borderId="0" xfId="0" applyNumberFormat="1" applyFont="1" applyAlignment="1" applyProtection="1">
      <alignment horizontal="right"/>
      <protection hidden="1"/>
    </xf>
    <xf numFmtId="0" fontId="10" fillId="0" borderId="0" xfId="7" applyFont="1" applyFill="1" applyAlignment="1" applyProtection="1">
      <alignment horizontal="left" vertical="center" wrapText="1"/>
      <protection hidden="1"/>
    </xf>
    <xf numFmtId="166" fontId="45" fillId="0" borderId="37" xfId="4" applyNumberFormat="1" applyFont="1" applyBorder="1" applyAlignment="1" applyProtection="1">
      <alignment horizontal="center" vertical="center"/>
      <protection hidden="1"/>
    </xf>
    <xf numFmtId="0" fontId="9" fillId="0" borderId="0" xfId="7" applyFont="1" applyFill="1" applyAlignment="1" applyProtection="1">
      <alignment horizontal="left" vertical="center" wrapText="1"/>
      <protection hidden="1"/>
    </xf>
    <xf numFmtId="168" fontId="9" fillId="0" borderId="90" xfId="1" applyNumberFormat="1" applyFont="1" applyFill="1" applyBorder="1" applyAlignment="1">
      <alignment horizontal="right" vertical="center"/>
    </xf>
    <xf numFmtId="3" fontId="9" fillId="0" borderId="90" xfId="1" applyNumberFormat="1" applyFont="1" applyFill="1" applyBorder="1" applyAlignment="1">
      <alignment horizontal="right" vertical="center"/>
    </xf>
    <xf numFmtId="3" fontId="51" fillId="0" borderId="79" xfId="3" applyNumberFormat="1" applyFont="1" applyBorder="1" applyAlignment="1" applyProtection="1">
      <alignment horizontal="right" wrapText="1"/>
      <protection hidden="1"/>
    </xf>
    <xf numFmtId="166" fontId="51" fillId="0" borderId="79" xfId="4" applyNumberFormat="1" applyFont="1" applyFill="1" applyBorder="1" applyAlignment="1" applyProtection="1">
      <alignment horizontal="right" wrapText="1"/>
      <protection hidden="1"/>
    </xf>
    <xf numFmtId="3" fontId="51" fillId="0" borderId="61" xfId="3" applyNumberFormat="1" applyFont="1" applyBorder="1" applyAlignment="1" applyProtection="1">
      <alignment horizontal="left" vertical="center"/>
      <protection hidden="1"/>
    </xf>
    <xf numFmtId="3" fontId="51" fillId="0" borderId="14" xfId="3" applyNumberFormat="1" applyFont="1" applyBorder="1" applyAlignment="1" applyProtection="1">
      <alignment horizontal="center" vertical="center" wrapText="1"/>
      <protection hidden="1"/>
    </xf>
    <xf numFmtId="4" fontId="51" fillId="0" borderId="14" xfId="2" applyNumberFormat="1" applyFont="1" applyFill="1" applyBorder="1" applyAlignment="1" applyProtection="1">
      <alignment horizontal="right" vertical="center" wrapText="1"/>
      <protection hidden="1"/>
    </xf>
    <xf numFmtId="3" fontId="9" fillId="0" borderId="14" xfId="1" applyNumberFormat="1" applyFont="1" applyFill="1" applyBorder="1" applyAlignment="1" applyProtection="1">
      <alignment horizontal="right" vertical="center"/>
      <protection hidden="1"/>
    </xf>
    <xf numFmtId="169" fontId="9" fillId="0" borderId="14" xfId="1" applyNumberFormat="1" applyFont="1" applyFill="1" applyBorder="1" applyAlignment="1" applyProtection="1">
      <alignment horizontal="right" vertical="center"/>
      <protection hidden="1"/>
    </xf>
    <xf numFmtId="3" fontId="51" fillId="0" borderId="14" xfId="1" applyNumberFormat="1" applyFont="1" applyFill="1" applyBorder="1" applyAlignment="1" applyProtection="1">
      <alignment horizontal="right" vertical="center" wrapText="1"/>
      <protection hidden="1"/>
    </xf>
    <xf numFmtId="3" fontId="51" fillId="0" borderId="95" xfId="1" applyNumberFormat="1" applyFont="1" applyFill="1" applyBorder="1" applyAlignment="1" applyProtection="1">
      <alignment horizontal="right" vertical="center" wrapText="1"/>
      <protection hidden="1"/>
    </xf>
    <xf numFmtId="169" fontId="51" fillId="0" borderId="14" xfId="1" applyNumberFormat="1" applyFont="1" applyFill="1" applyBorder="1" applyAlignment="1" applyProtection="1">
      <alignment horizontal="right" vertical="center" wrapText="1"/>
      <protection hidden="1"/>
    </xf>
    <xf numFmtId="3" fontId="51" fillId="0" borderId="78" xfId="6" applyNumberFormat="1" applyFont="1" applyBorder="1" applyAlignment="1" applyProtection="1">
      <alignment horizontal="right" wrapText="1"/>
      <protection hidden="1"/>
    </xf>
    <xf numFmtId="169" fontId="51" fillId="0" borderId="78" xfId="6" applyNumberFormat="1" applyFont="1" applyBorder="1" applyAlignment="1" applyProtection="1">
      <alignment horizontal="right" wrapText="1"/>
      <protection hidden="1"/>
    </xf>
    <xf numFmtId="3" fontId="9" fillId="2" borderId="78" xfId="1" applyNumberFormat="1" applyFont="1" applyFill="1" applyBorder="1" applyProtection="1">
      <protection hidden="1"/>
    </xf>
    <xf numFmtId="3" fontId="9" fillId="0" borderId="78" xfId="1" applyNumberFormat="1" applyFont="1" applyFill="1" applyBorder="1" applyProtection="1">
      <protection hidden="1"/>
    </xf>
    <xf numFmtId="3" fontId="9" fillId="0" borderId="78" xfId="0" applyNumberFormat="1" applyFont="1" applyBorder="1" applyProtection="1">
      <protection hidden="1"/>
    </xf>
    <xf numFmtId="3" fontId="51" fillId="0" borderId="78" xfId="1" applyNumberFormat="1" applyFont="1" applyFill="1" applyBorder="1" applyAlignment="1" applyProtection="1">
      <alignment horizontal="right" wrapText="1"/>
      <protection hidden="1"/>
    </xf>
    <xf numFmtId="3" fontId="51" fillId="0" borderId="78" xfId="3" applyNumberFormat="1" applyFont="1" applyBorder="1" applyAlignment="1" applyProtection="1">
      <alignment horizontal="right" wrapText="1"/>
      <protection hidden="1"/>
    </xf>
    <xf numFmtId="3" fontId="51" fillId="0" borderId="60" xfId="3" applyNumberFormat="1" applyFont="1" applyBorder="1" applyAlignment="1" applyProtection="1">
      <alignment horizontal="center" vertical="center" wrapText="1"/>
      <protection hidden="1"/>
    </xf>
    <xf numFmtId="4" fontId="51" fillId="0" borderId="60" xfId="2" applyNumberFormat="1" applyFont="1" applyFill="1" applyBorder="1" applyAlignment="1" applyProtection="1">
      <alignment horizontal="right" vertical="center" wrapText="1"/>
      <protection hidden="1"/>
    </xf>
    <xf numFmtId="3" fontId="9" fillId="0" borderId="60" xfId="1" applyNumberFormat="1" applyFont="1" applyFill="1" applyBorder="1" applyAlignment="1" applyProtection="1">
      <alignment horizontal="right" vertical="center"/>
      <protection hidden="1"/>
    </xf>
    <xf numFmtId="169" fontId="9" fillId="0" borderId="60" xfId="1" applyNumberFormat="1" applyFont="1" applyFill="1" applyBorder="1" applyAlignment="1" applyProtection="1">
      <alignment horizontal="right" vertical="center"/>
      <protection hidden="1"/>
    </xf>
    <xf numFmtId="3" fontId="51" fillId="0" borderId="60" xfId="1" applyNumberFormat="1" applyFont="1" applyFill="1" applyBorder="1" applyAlignment="1" applyProtection="1">
      <alignment horizontal="right" vertical="center" wrapText="1"/>
      <protection hidden="1"/>
    </xf>
    <xf numFmtId="169" fontId="51" fillId="0" borderId="60" xfId="1" applyNumberFormat="1" applyFont="1" applyFill="1" applyBorder="1" applyAlignment="1" applyProtection="1">
      <alignment horizontal="right" vertical="center" wrapText="1"/>
      <protection hidden="1"/>
    </xf>
    <xf numFmtId="3" fontId="51" fillId="0" borderId="96" xfId="3" applyNumberFormat="1" applyFont="1" applyBorder="1" applyAlignment="1" applyProtection="1">
      <alignment horizontal="left" vertical="center"/>
      <protection hidden="1"/>
    </xf>
    <xf numFmtId="3" fontId="51" fillId="0" borderId="97" xfId="3" applyNumberFormat="1" applyFont="1" applyBorder="1" applyAlignment="1" applyProtection="1">
      <alignment horizontal="center" vertical="center" wrapText="1"/>
      <protection hidden="1"/>
    </xf>
    <xf numFmtId="4" fontId="51" fillId="0" borderId="97" xfId="2" applyNumberFormat="1" applyFont="1" applyFill="1" applyBorder="1" applyAlignment="1" applyProtection="1">
      <alignment horizontal="right" vertical="center" wrapText="1"/>
      <protection hidden="1"/>
    </xf>
    <xf numFmtId="3" fontId="9" fillId="0" borderId="97" xfId="1" applyNumberFormat="1" applyFont="1" applyFill="1" applyBorder="1" applyAlignment="1" applyProtection="1">
      <alignment horizontal="right" vertical="center"/>
      <protection hidden="1"/>
    </xf>
    <xf numFmtId="168" fontId="9" fillId="0" borderId="97" xfId="1" applyNumberFormat="1" applyFont="1" applyFill="1" applyBorder="1" applyAlignment="1">
      <alignment horizontal="right" vertical="center"/>
    </xf>
    <xf numFmtId="3" fontId="9" fillId="0" borderId="97" xfId="1" applyNumberFormat="1" applyFont="1" applyFill="1" applyBorder="1" applyAlignment="1">
      <alignment horizontal="right" vertical="center"/>
    </xf>
    <xf numFmtId="169" fontId="9" fillId="0" borderId="97" xfId="1" applyNumberFormat="1" applyFont="1" applyFill="1" applyBorder="1" applyAlignment="1" applyProtection="1">
      <alignment horizontal="right" vertical="center"/>
      <protection hidden="1"/>
    </xf>
    <xf numFmtId="3" fontId="51" fillId="0" borderId="97" xfId="1" applyNumberFormat="1" applyFont="1" applyFill="1" applyBorder="1" applyAlignment="1" applyProtection="1">
      <alignment horizontal="right" vertical="center" wrapText="1"/>
      <protection hidden="1"/>
    </xf>
    <xf numFmtId="169" fontId="51" fillId="0" borderId="97" xfId="1" applyNumberFormat="1" applyFont="1" applyFill="1" applyBorder="1" applyAlignment="1" applyProtection="1">
      <alignment horizontal="right" vertical="center" wrapText="1"/>
      <protection hidden="1"/>
    </xf>
    <xf numFmtId="3" fontId="51" fillId="0" borderId="98" xfId="6" applyNumberFormat="1" applyFont="1" applyBorder="1" applyAlignment="1" applyProtection="1">
      <alignment horizontal="right" wrapText="1"/>
      <protection hidden="1"/>
    </xf>
    <xf numFmtId="169" fontId="51" fillId="0" borderId="98" xfId="6" applyNumberFormat="1" applyFont="1" applyBorder="1" applyAlignment="1" applyProtection="1">
      <alignment horizontal="right" wrapText="1"/>
      <protection hidden="1"/>
    </xf>
    <xf numFmtId="3" fontId="9" fillId="2" borderId="98" xfId="1" applyNumberFormat="1" applyFont="1" applyFill="1" applyBorder="1" applyProtection="1">
      <protection hidden="1"/>
    </xf>
    <xf numFmtId="3" fontId="9" fillId="0" borderId="98" xfId="1" applyNumberFormat="1" applyFont="1" applyFill="1" applyBorder="1" applyProtection="1">
      <protection hidden="1"/>
    </xf>
    <xf numFmtId="3" fontId="9" fillId="0" borderId="98" xfId="0" applyNumberFormat="1" applyFont="1" applyBorder="1" applyProtection="1">
      <protection hidden="1"/>
    </xf>
    <xf numFmtId="3" fontId="51" fillId="0" borderId="98" xfId="1" applyNumberFormat="1" applyFont="1" applyFill="1" applyBorder="1" applyAlignment="1" applyProtection="1">
      <alignment horizontal="right" wrapText="1"/>
      <protection hidden="1"/>
    </xf>
    <xf numFmtId="3" fontId="51" fillId="0" borderId="98" xfId="3" applyNumberFormat="1" applyFont="1" applyBorder="1" applyAlignment="1" applyProtection="1">
      <alignment horizontal="right" wrapText="1"/>
      <protection hidden="1"/>
    </xf>
    <xf numFmtId="3" fontId="51" fillId="0" borderId="99" xfId="3" applyNumberFormat="1" applyFont="1" applyBorder="1" applyAlignment="1" applyProtection="1">
      <alignment horizontal="right" wrapText="1"/>
      <protection hidden="1"/>
    </xf>
    <xf numFmtId="166" fontId="51" fillId="0" borderId="99" xfId="4" applyNumberFormat="1" applyFont="1" applyFill="1" applyBorder="1" applyAlignment="1" applyProtection="1">
      <alignment horizontal="right" wrapText="1"/>
      <protection hidden="1"/>
    </xf>
    <xf numFmtId="3" fontId="52" fillId="0" borderId="100" xfId="3" applyNumberFormat="1" applyFont="1" applyBorder="1" applyAlignment="1">
      <alignment horizontal="left" vertical="center"/>
    </xf>
    <xf numFmtId="3" fontId="52" fillId="0" borderId="101" xfId="3" applyNumberFormat="1" applyFont="1" applyBorder="1" applyAlignment="1">
      <alignment horizontal="center" vertical="center" wrapText="1"/>
    </xf>
    <xf numFmtId="2" fontId="22" fillId="0" borderId="101" xfId="2" applyNumberFormat="1" applyFont="1" applyFill="1" applyBorder="1" applyAlignment="1">
      <alignment horizontal="right" vertical="center"/>
    </xf>
    <xf numFmtId="3" fontId="22" fillId="0" borderId="101" xfId="1" applyNumberFormat="1" applyFont="1" applyFill="1" applyBorder="1" applyAlignment="1">
      <alignment horizontal="right" vertical="center"/>
    </xf>
    <xf numFmtId="168" fontId="22" fillId="0" borderId="101" xfId="1" applyNumberFormat="1" applyFont="1" applyFill="1" applyBorder="1" applyAlignment="1">
      <alignment horizontal="right" vertical="center"/>
    </xf>
    <xf numFmtId="169" fontId="22" fillId="0" borderId="101" xfId="1" applyNumberFormat="1" applyFont="1" applyFill="1" applyBorder="1" applyAlignment="1">
      <alignment horizontal="right" vertical="center"/>
    </xf>
    <xf numFmtId="3" fontId="52" fillId="0" borderId="101" xfId="1" applyNumberFormat="1" applyFont="1" applyFill="1" applyBorder="1" applyAlignment="1">
      <alignment horizontal="right" vertical="center" wrapText="1"/>
    </xf>
    <xf numFmtId="169" fontId="52" fillId="0" borderId="101" xfId="1" applyNumberFormat="1" applyFont="1" applyFill="1" applyBorder="1" applyAlignment="1">
      <alignment horizontal="right" vertical="center" wrapText="1"/>
    </xf>
    <xf numFmtId="0" fontId="52" fillId="0" borderId="84" xfId="3" applyFont="1" applyBorder="1" applyAlignment="1" applyProtection="1">
      <alignment horizontal="center" vertical="center" wrapText="1"/>
      <protection hidden="1"/>
    </xf>
    <xf numFmtId="44" fontId="22" fillId="0" borderId="84" xfId="2" applyFont="1" applyFill="1" applyBorder="1" applyAlignment="1" applyProtection="1">
      <alignment horizontal="center" vertical="center" wrapText="1"/>
      <protection hidden="1"/>
    </xf>
    <xf numFmtId="164" fontId="22" fillId="0" borderId="84" xfId="1" applyNumberFormat="1" applyFont="1" applyFill="1" applyBorder="1" applyAlignment="1" applyProtection="1">
      <alignment horizontal="center" vertical="center" wrapText="1"/>
      <protection hidden="1"/>
    </xf>
    <xf numFmtId="168" fontId="22" fillId="0" borderId="84" xfId="1" applyNumberFormat="1" applyFont="1" applyFill="1" applyBorder="1" applyAlignment="1" applyProtection="1">
      <alignment horizontal="center" vertical="center" wrapText="1"/>
      <protection hidden="1"/>
    </xf>
    <xf numFmtId="37" fontId="22" fillId="0" borderId="84" xfId="1" applyNumberFormat="1" applyFont="1" applyFill="1" applyBorder="1" applyAlignment="1" applyProtection="1">
      <alignment horizontal="center" vertical="center" wrapText="1"/>
      <protection hidden="1"/>
    </xf>
    <xf numFmtId="165" fontId="48" fillId="0" borderId="108" xfId="1" applyNumberFormat="1" applyFont="1" applyFill="1" applyBorder="1" applyAlignment="1" applyProtection="1">
      <alignment horizontal="center" vertical="center" wrapText="1"/>
      <protection hidden="1"/>
    </xf>
    <xf numFmtId="165" fontId="48" fillId="0" borderId="0" xfId="1" applyNumberFormat="1" applyFont="1" applyFill="1" applyBorder="1" applyAlignment="1" applyProtection="1">
      <alignment horizontal="center" vertical="center" wrapText="1"/>
      <protection hidden="1"/>
    </xf>
    <xf numFmtId="169" fontId="22" fillId="0" borderId="84" xfId="1" applyNumberFormat="1" applyFont="1" applyFill="1" applyBorder="1" applyAlignment="1" applyProtection="1">
      <alignment horizontal="center" vertical="center" wrapText="1"/>
      <protection hidden="1"/>
    </xf>
    <xf numFmtId="165" fontId="52" fillId="0" borderId="84" xfId="1" applyNumberFormat="1" applyFont="1" applyFill="1" applyBorder="1" applyAlignment="1" applyProtection="1">
      <alignment horizontal="center" vertical="center" wrapText="1"/>
      <protection hidden="1"/>
    </xf>
    <xf numFmtId="169" fontId="52" fillId="0" borderId="84" xfId="1" applyNumberFormat="1" applyFont="1" applyFill="1" applyBorder="1" applyAlignment="1" applyProtection="1">
      <alignment horizontal="center" vertical="center" wrapText="1"/>
      <protection hidden="1"/>
    </xf>
    <xf numFmtId="0" fontId="22" fillId="0" borderId="84" xfId="1" applyNumberFormat="1" applyFont="1" applyFill="1" applyBorder="1" applyAlignment="1" applyProtection="1">
      <alignment horizontal="center" vertical="center" wrapText="1"/>
      <protection hidden="1"/>
    </xf>
    <xf numFmtId="3" fontId="52" fillId="0" borderId="84" xfId="6" applyNumberFormat="1" applyFont="1" applyBorder="1" applyAlignment="1" applyProtection="1">
      <alignment horizontal="center" vertical="center" wrapText="1"/>
      <protection hidden="1"/>
    </xf>
    <xf numFmtId="169" fontId="52" fillId="0" borderId="84" xfId="6" applyNumberFormat="1" applyFont="1" applyBorder="1" applyAlignment="1" applyProtection="1">
      <alignment horizontal="center" vertical="center" wrapText="1"/>
      <protection hidden="1"/>
    </xf>
    <xf numFmtId="166" fontId="52" fillId="0" borderId="84" xfId="5" applyNumberFormat="1" applyFont="1" applyBorder="1" applyAlignment="1" applyProtection="1">
      <alignment horizontal="center" vertical="center" wrapText="1"/>
      <protection hidden="1"/>
    </xf>
    <xf numFmtId="166" fontId="52" fillId="0" borderId="84" xfId="6" applyNumberFormat="1" applyFont="1" applyBorder="1" applyAlignment="1" applyProtection="1">
      <alignment horizontal="center" vertical="center" wrapText="1"/>
      <protection hidden="1"/>
    </xf>
    <xf numFmtId="164" fontId="24" fillId="2" borderId="89" xfId="1" applyNumberFormat="1" applyFont="1" applyFill="1" applyBorder="1" applyAlignment="1" applyProtection="1">
      <alignment horizontal="center" vertical="center" wrapText="1"/>
      <protection hidden="1"/>
    </xf>
    <xf numFmtId="164" fontId="48" fillId="0" borderId="89" xfId="1" applyNumberFormat="1" applyFont="1" applyFill="1" applyBorder="1" applyAlignment="1" applyProtection="1">
      <alignment horizontal="center" vertical="center" wrapText="1"/>
      <protection hidden="1"/>
    </xf>
    <xf numFmtId="164" fontId="52" fillId="0" borderId="84" xfId="1" applyNumberFormat="1" applyFont="1" applyFill="1" applyBorder="1" applyAlignment="1" applyProtection="1">
      <alignment horizontal="center" vertical="center" wrapText="1"/>
      <protection hidden="1"/>
    </xf>
    <xf numFmtId="3" fontId="22" fillId="0" borderId="84" xfId="1" applyNumberFormat="1" applyFont="1" applyFill="1" applyBorder="1" applyAlignment="1" applyProtection="1">
      <alignment horizontal="center" vertical="center" wrapText="1"/>
      <protection hidden="1"/>
    </xf>
    <xf numFmtId="166" fontId="48" fillId="0" borderId="89" xfId="0" applyNumberFormat="1" applyFont="1" applyBorder="1" applyAlignment="1" applyProtection="1">
      <alignment horizontal="center" vertical="center" wrapText="1"/>
      <protection hidden="1"/>
    </xf>
    <xf numFmtId="3" fontId="52" fillId="0" borderId="84" xfId="3" applyNumberFormat="1" applyFont="1" applyBorder="1" applyAlignment="1" applyProtection="1">
      <alignment horizontal="center" vertical="center" wrapText="1"/>
      <protection hidden="1"/>
    </xf>
    <xf numFmtId="3" fontId="52" fillId="0" borderId="0" xfId="3" applyNumberFormat="1" applyFont="1" applyAlignment="1" applyProtection="1">
      <alignment horizontal="center" vertical="center" wrapText="1"/>
      <protection hidden="1"/>
    </xf>
    <xf numFmtId="164" fontId="22" fillId="0" borderId="5" xfId="1" applyNumberFormat="1" applyFont="1" applyFill="1" applyBorder="1" applyAlignment="1" applyProtection="1">
      <alignment horizontal="center" vertical="center" wrapText="1"/>
      <protection hidden="1"/>
    </xf>
    <xf numFmtId="0" fontId="22" fillId="0" borderId="5" xfId="1" applyNumberFormat="1" applyFont="1" applyFill="1" applyBorder="1" applyAlignment="1" applyProtection="1">
      <alignment horizontal="center" vertical="center" wrapText="1"/>
      <protection hidden="1"/>
    </xf>
    <xf numFmtId="0" fontId="22" fillId="0" borderId="95" xfId="1" applyNumberFormat="1" applyFont="1" applyFill="1" applyBorder="1" applyAlignment="1" applyProtection="1">
      <alignment horizontal="center" vertical="center" wrapText="1"/>
      <protection hidden="1"/>
    </xf>
    <xf numFmtId="0" fontId="22" fillId="0" borderId="26" xfId="1" applyNumberFormat="1" applyFont="1" applyFill="1" applyBorder="1" applyAlignment="1" applyProtection="1">
      <alignment horizontal="center" vertical="center" wrapText="1"/>
      <protection hidden="1"/>
    </xf>
    <xf numFmtId="3" fontId="51" fillId="0" borderId="82" xfId="3" applyNumberFormat="1" applyFont="1" applyBorder="1" applyAlignment="1" applyProtection="1">
      <alignment horizontal="left" vertical="center"/>
      <protection hidden="1"/>
    </xf>
    <xf numFmtId="3" fontId="51" fillId="0" borderId="81" xfId="3" applyNumberFormat="1" applyFont="1" applyBorder="1" applyAlignment="1" applyProtection="1">
      <alignment horizontal="right" vertical="center"/>
      <protection hidden="1"/>
    </xf>
    <xf numFmtId="4" fontId="51" fillId="0" borderId="81" xfId="2" applyNumberFormat="1" applyFont="1" applyFill="1" applyBorder="1" applyAlignment="1" applyProtection="1">
      <alignment horizontal="right" vertical="center"/>
      <protection hidden="1"/>
    </xf>
    <xf numFmtId="3" fontId="51" fillId="0" borderId="81" xfId="1" applyNumberFormat="1" applyFont="1" applyFill="1" applyBorder="1" applyAlignment="1" applyProtection="1">
      <alignment horizontal="right" vertical="center"/>
      <protection hidden="1"/>
    </xf>
    <xf numFmtId="169" fontId="51" fillId="0" borderId="81" xfId="1" applyNumberFormat="1" applyFont="1" applyFill="1" applyBorder="1" applyAlignment="1" applyProtection="1">
      <alignment horizontal="right" vertical="center"/>
      <protection hidden="1"/>
    </xf>
    <xf numFmtId="3" fontId="51" fillId="0" borderId="81" xfId="6" applyNumberFormat="1" applyFont="1" applyBorder="1" applyAlignment="1" applyProtection="1">
      <alignment horizontal="right" wrapText="1"/>
      <protection hidden="1"/>
    </xf>
    <xf numFmtId="169" fontId="51" fillId="0" borderId="81" xfId="6" applyNumberFormat="1" applyFont="1" applyBorder="1" applyAlignment="1" applyProtection="1">
      <alignment horizontal="right" wrapText="1"/>
      <protection hidden="1"/>
    </xf>
    <xf numFmtId="3" fontId="51" fillId="0" borderId="81" xfId="1" applyNumberFormat="1" applyFont="1" applyFill="1" applyBorder="1" applyAlignment="1" applyProtection="1">
      <alignment horizontal="right" wrapText="1"/>
      <protection hidden="1"/>
    </xf>
    <xf numFmtId="3" fontId="51" fillId="0" borderId="81" xfId="5" applyNumberFormat="1" applyFont="1" applyBorder="1" applyAlignment="1" applyProtection="1">
      <alignment horizontal="right" wrapText="1"/>
      <protection hidden="1"/>
    </xf>
    <xf numFmtId="3" fontId="51" fillId="0" borderId="81" xfId="3" applyNumberFormat="1" applyFont="1" applyBorder="1" applyAlignment="1" applyProtection="1">
      <alignment horizontal="right" wrapText="1"/>
      <protection hidden="1"/>
    </xf>
    <xf numFmtId="3" fontId="51" fillId="0" borderId="83" xfId="3" applyNumberFormat="1" applyFont="1" applyBorder="1" applyAlignment="1" applyProtection="1">
      <alignment horizontal="right" wrapText="1"/>
      <protection hidden="1"/>
    </xf>
    <xf numFmtId="166" fontId="51" fillId="0" borderId="83" xfId="4" applyNumberFormat="1" applyFont="1" applyFill="1" applyBorder="1" applyAlignment="1" applyProtection="1">
      <alignment horizontal="right" wrapText="1"/>
      <protection hidden="1"/>
    </xf>
    <xf numFmtId="3" fontId="51" fillId="2" borderId="81" xfId="1" applyNumberFormat="1" applyFont="1" applyFill="1" applyBorder="1" applyAlignment="1" applyProtection="1">
      <alignment horizontal="right" vertical="center"/>
      <protection hidden="1"/>
    </xf>
    <xf numFmtId="3" fontId="51" fillId="0" borderId="77" xfId="3" applyNumberFormat="1" applyFont="1" applyBorder="1" applyAlignment="1" applyProtection="1">
      <alignment horizontal="left" vertical="center"/>
      <protection hidden="1"/>
    </xf>
    <xf numFmtId="3" fontId="51" fillId="0" borderId="85" xfId="3" applyNumberFormat="1" applyFont="1" applyBorder="1" applyAlignment="1" applyProtection="1">
      <alignment horizontal="right" vertical="center"/>
      <protection hidden="1"/>
    </xf>
    <xf numFmtId="4" fontId="51" fillId="0" borderId="85" xfId="2" applyNumberFormat="1" applyFont="1" applyFill="1" applyBorder="1" applyAlignment="1" applyProtection="1">
      <alignment horizontal="right" vertical="center"/>
      <protection hidden="1"/>
    </xf>
    <xf numFmtId="3" fontId="51" fillId="0" borderId="85" xfId="1" applyNumberFormat="1" applyFont="1" applyFill="1" applyBorder="1" applyAlignment="1" applyProtection="1">
      <alignment horizontal="right" vertical="center"/>
      <protection hidden="1"/>
    </xf>
    <xf numFmtId="169" fontId="51" fillId="0" borderId="85" xfId="1" applyNumberFormat="1" applyFont="1" applyFill="1" applyBorder="1" applyAlignment="1" applyProtection="1">
      <alignment horizontal="right" vertical="center"/>
      <protection hidden="1"/>
    </xf>
    <xf numFmtId="3" fontId="51" fillId="0" borderId="85" xfId="6" applyNumberFormat="1" applyFont="1" applyBorder="1" applyAlignment="1" applyProtection="1">
      <alignment horizontal="right" wrapText="1"/>
      <protection hidden="1"/>
    </xf>
    <xf numFmtId="169" fontId="51" fillId="0" borderId="85" xfId="6" applyNumberFormat="1" applyFont="1" applyBorder="1" applyAlignment="1" applyProtection="1">
      <alignment horizontal="right" wrapText="1"/>
      <protection hidden="1"/>
    </xf>
    <xf numFmtId="3" fontId="51" fillId="0" borderId="85" xfId="1" applyNumberFormat="1" applyFont="1" applyFill="1" applyBorder="1" applyAlignment="1" applyProtection="1">
      <alignment horizontal="right" wrapText="1"/>
      <protection hidden="1"/>
    </xf>
    <xf numFmtId="3" fontId="51" fillId="0" borderId="85" xfId="5" applyNumberFormat="1" applyFont="1" applyBorder="1" applyAlignment="1" applyProtection="1">
      <alignment horizontal="right" wrapText="1"/>
      <protection hidden="1"/>
    </xf>
    <xf numFmtId="3" fontId="51" fillId="0" borderId="85" xfId="3" applyNumberFormat="1" applyFont="1" applyBorder="1" applyAlignment="1" applyProtection="1">
      <alignment horizontal="right" wrapText="1"/>
      <protection hidden="1"/>
    </xf>
    <xf numFmtId="3" fontId="51" fillId="0" borderId="65" xfId="3" applyNumberFormat="1" applyFont="1" applyBorder="1" applyAlignment="1" applyProtection="1">
      <alignment horizontal="right" wrapText="1"/>
      <protection hidden="1"/>
    </xf>
    <xf numFmtId="166" fontId="51" fillId="0" borderId="65" xfId="4" applyNumberFormat="1" applyFont="1" applyFill="1" applyBorder="1" applyAlignment="1" applyProtection="1">
      <alignment horizontal="right" wrapText="1"/>
      <protection hidden="1"/>
    </xf>
    <xf numFmtId="0" fontId="51" fillId="0" borderId="76" xfId="3" applyFont="1" applyBorder="1" applyAlignment="1" applyProtection="1">
      <alignment horizontal="left" vertical="center"/>
      <protection hidden="1"/>
    </xf>
    <xf numFmtId="0" fontId="51" fillId="0" borderId="0" xfId="3" applyFont="1" applyAlignment="1" applyProtection="1">
      <alignment horizontal="left" vertical="center"/>
      <protection hidden="1"/>
    </xf>
    <xf numFmtId="44" fontId="51" fillId="0" borderId="0" xfId="2" applyFont="1" applyFill="1" applyBorder="1" applyAlignment="1" applyProtection="1">
      <alignment horizontal="left" vertical="center"/>
      <protection hidden="1"/>
    </xf>
    <xf numFmtId="164" fontId="51" fillId="0" borderId="0" xfId="1" applyNumberFormat="1" applyFont="1" applyFill="1" applyBorder="1" applyAlignment="1" applyProtection="1">
      <alignment horizontal="left" vertical="center"/>
      <protection hidden="1"/>
    </xf>
    <xf numFmtId="164" fontId="51" fillId="0" borderId="0" xfId="1" applyNumberFormat="1" applyFont="1" applyFill="1" applyBorder="1" applyAlignment="1" applyProtection="1">
      <alignment horizontal="right" vertical="center"/>
      <protection hidden="1"/>
    </xf>
    <xf numFmtId="164" fontId="51" fillId="0" borderId="13" xfId="1" applyNumberFormat="1" applyFont="1" applyFill="1" applyBorder="1" applyAlignment="1" applyProtection="1">
      <alignment horizontal="right" wrapText="1"/>
      <protection hidden="1"/>
    </xf>
    <xf numFmtId="0" fontId="53" fillId="0" borderId="0" xfId="0" applyFont="1" applyProtection="1">
      <protection hidden="1"/>
    </xf>
    <xf numFmtId="44" fontId="22" fillId="0" borderId="84" xfId="0" applyNumberFormat="1" applyFont="1" applyBorder="1" applyAlignment="1" applyProtection="1">
      <alignment horizontal="center" vertical="center" wrapText="1"/>
      <protection hidden="1"/>
    </xf>
    <xf numFmtId="168" fontId="22" fillId="0" borderId="84" xfId="0" applyNumberFormat="1" applyFont="1" applyBorder="1" applyAlignment="1" applyProtection="1">
      <alignment horizontal="center" vertical="center" wrapText="1"/>
      <protection hidden="1"/>
    </xf>
    <xf numFmtId="169" fontId="22" fillId="0" borderId="84" xfId="0" applyNumberFormat="1" applyFont="1" applyBorder="1" applyAlignment="1" applyProtection="1">
      <alignment horizontal="center" vertical="center" wrapText="1"/>
      <protection hidden="1"/>
    </xf>
    <xf numFmtId="166" fontId="51" fillId="0" borderId="108" xfId="4" applyNumberFormat="1" applyFont="1" applyFill="1" applyBorder="1" applyAlignment="1" applyProtection="1">
      <alignment horizontal="right" wrapText="1"/>
      <protection hidden="1"/>
    </xf>
    <xf numFmtId="166" fontId="51" fillId="0" borderId="17" xfId="4" applyNumberFormat="1" applyFont="1" applyFill="1" applyBorder="1" applyAlignment="1" applyProtection="1">
      <alignment horizontal="right" wrapText="1"/>
      <protection hidden="1"/>
    </xf>
    <xf numFmtId="166" fontId="51" fillId="0" borderId="76" xfId="4" applyNumberFormat="1" applyFont="1" applyFill="1" applyBorder="1" applyAlignment="1" applyProtection="1">
      <alignment horizontal="right" wrapText="1"/>
      <protection hidden="1"/>
    </xf>
    <xf numFmtId="0" fontId="48" fillId="0" borderId="80" xfId="3" applyFont="1" applyBorder="1" applyAlignment="1" applyProtection="1">
      <alignment horizontal="center" vertical="center" wrapText="1"/>
      <protection hidden="1"/>
    </xf>
    <xf numFmtId="44" fontId="48" fillId="0" borderId="80" xfId="2" applyFont="1" applyFill="1" applyBorder="1" applyAlignment="1" applyProtection="1">
      <alignment horizontal="center" vertical="center" wrapText="1"/>
      <protection hidden="1"/>
    </xf>
    <xf numFmtId="164" fontId="48" fillId="0" borderId="80" xfId="1" applyNumberFormat="1" applyFont="1" applyFill="1" applyBorder="1" applyAlignment="1" applyProtection="1">
      <alignment horizontal="center" vertical="center" wrapText="1"/>
      <protection hidden="1"/>
    </xf>
    <xf numFmtId="168" fontId="48" fillId="0" borderId="80" xfId="1" applyNumberFormat="1" applyFont="1" applyFill="1" applyBorder="1" applyAlignment="1" applyProtection="1">
      <alignment horizontal="center" vertical="center" wrapText="1"/>
      <protection hidden="1"/>
    </xf>
    <xf numFmtId="165" fontId="48" fillId="0" borderId="80" xfId="1" applyNumberFormat="1" applyFont="1" applyFill="1" applyBorder="1" applyAlignment="1" applyProtection="1">
      <alignment horizontal="center" vertical="center" wrapText="1"/>
      <protection hidden="1"/>
    </xf>
    <xf numFmtId="169" fontId="48" fillId="0" borderId="80" xfId="1" applyNumberFormat="1" applyFont="1" applyFill="1" applyBorder="1" applyAlignment="1" applyProtection="1">
      <alignment horizontal="center" vertical="center" wrapText="1"/>
      <protection hidden="1"/>
    </xf>
    <xf numFmtId="166" fontId="48" fillId="0" borderId="80" xfId="0" applyNumberFormat="1" applyFont="1" applyBorder="1" applyAlignment="1" applyProtection="1">
      <alignment horizontal="center" vertical="center" wrapText="1"/>
      <protection hidden="1"/>
    </xf>
    <xf numFmtId="0" fontId="9" fillId="0" borderId="0" xfId="0" applyFont="1" applyAlignment="1" applyProtection="1">
      <alignment horizontal="center"/>
      <protection hidden="1"/>
    </xf>
    <xf numFmtId="0" fontId="24" fillId="2" borderId="95" xfId="0" applyFont="1" applyFill="1" applyBorder="1" applyAlignment="1" applyProtection="1">
      <alignment horizontal="centerContinuous" wrapText="1"/>
      <protection hidden="1"/>
    </xf>
    <xf numFmtId="0" fontId="8" fillId="0" borderId="0" xfId="0" applyFont="1" applyAlignment="1" applyProtection="1">
      <alignment wrapText="1"/>
      <protection hidden="1"/>
    </xf>
    <xf numFmtId="0" fontId="36" fillId="0" borderId="95" xfId="0" applyFont="1" applyBorder="1" applyAlignment="1" applyProtection="1">
      <alignment horizontal="right" vertical="center"/>
      <protection hidden="1"/>
    </xf>
    <xf numFmtId="44" fontId="22" fillId="0" borderId="91" xfId="0" applyNumberFormat="1" applyFont="1" applyBorder="1" applyAlignment="1" applyProtection="1">
      <alignment horizontal="center" vertical="center"/>
      <protection hidden="1"/>
    </xf>
    <xf numFmtId="44" fontId="8" fillId="0" borderId="18" xfId="0" applyNumberFormat="1" applyFont="1" applyBorder="1" applyAlignment="1" applyProtection="1">
      <alignment horizontal="right" vertical="center"/>
      <protection hidden="1"/>
    </xf>
    <xf numFmtId="3" fontId="8" fillId="0" borderId="19" xfId="1" applyNumberFormat="1" applyFont="1" applyBorder="1" applyAlignment="1" applyProtection="1">
      <alignment horizontal="center" vertical="center"/>
      <protection hidden="1"/>
    </xf>
    <xf numFmtId="3" fontId="8" fillId="0" borderId="20" xfId="1" applyNumberFormat="1" applyFont="1" applyBorder="1" applyAlignment="1" applyProtection="1">
      <alignment horizontal="center" vertical="center"/>
      <protection hidden="1"/>
    </xf>
    <xf numFmtId="169" fontId="8" fillId="0" borderId="19" xfId="1" applyNumberFormat="1" applyFont="1" applyBorder="1" applyAlignment="1" applyProtection="1">
      <alignment horizontal="center" vertical="center"/>
      <protection hidden="1"/>
    </xf>
    <xf numFmtId="169" fontId="8" fillId="0" borderId="20" xfId="1" applyNumberFormat="1" applyFont="1" applyBorder="1" applyAlignment="1" applyProtection="1">
      <alignment horizontal="center" vertical="center"/>
      <protection hidden="1"/>
    </xf>
    <xf numFmtId="0" fontId="8" fillId="0" borderId="21" xfId="0" applyFont="1" applyBorder="1" applyAlignment="1" applyProtection="1">
      <alignment horizontal="right" vertical="center"/>
      <protection hidden="1"/>
    </xf>
    <xf numFmtId="166" fontId="8" fillId="0" borderId="22" xfId="4" applyNumberFormat="1" applyFont="1" applyBorder="1" applyAlignment="1" applyProtection="1">
      <alignment horizontal="center" vertical="center"/>
      <protection hidden="1"/>
    </xf>
    <xf numFmtId="166" fontId="8" fillId="0" borderId="23" xfId="4" applyNumberFormat="1" applyFont="1" applyBorder="1" applyAlignment="1" applyProtection="1">
      <alignment horizontal="center" vertical="center"/>
      <protection hidden="1"/>
    </xf>
    <xf numFmtId="169" fontId="8" fillId="0" borderId="22" xfId="1" applyNumberFormat="1" applyFont="1" applyBorder="1" applyAlignment="1" applyProtection="1">
      <alignment horizontal="center" vertical="center"/>
      <protection hidden="1"/>
    </xf>
    <xf numFmtId="169" fontId="8" fillId="0" borderId="23" xfId="1" applyNumberFormat="1" applyFont="1" applyBorder="1" applyAlignment="1" applyProtection="1">
      <alignment horizontal="center" vertical="center"/>
      <protection hidden="1"/>
    </xf>
    <xf numFmtId="0" fontId="8" fillId="0" borderId="43" xfId="0" applyFont="1" applyBorder="1" applyAlignment="1" applyProtection="1">
      <alignment horizontal="right" vertical="center"/>
      <protection hidden="1"/>
    </xf>
    <xf numFmtId="166" fontId="8" fillId="0" borderId="38" xfId="4" applyNumberFormat="1" applyFont="1" applyBorder="1" applyAlignment="1" applyProtection="1">
      <alignment horizontal="center" vertical="center"/>
      <protection hidden="1"/>
    </xf>
    <xf numFmtId="166" fontId="8" fillId="0" borderId="42" xfId="7" applyNumberFormat="1" applyFont="1" applyBorder="1" applyAlignment="1" applyProtection="1">
      <alignment horizontal="center" vertical="center"/>
      <protection hidden="1"/>
    </xf>
    <xf numFmtId="169" fontId="8" fillId="0" borderId="38" xfId="1" applyNumberFormat="1" applyFont="1" applyBorder="1" applyAlignment="1" applyProtection="1">
      <alignment horizontal="center" vertical="center"/>
      <protection hidden="1"/>
    </xf>
    <xf numFmtId="169" fontId="8" fillId="0" borderId="42" xfId="7" applyNumberFormat="1" applyFont="1" applyBorder="1" applyAlignment="1" applyProtection="1">
      <alignment horizontal="center" vertical="center"/>
      <protection hidden="1"/>
    </xf>
    <xf numFmtId="0" fontId="42" fillId="0" borderId="0" xfId="0" applyFont="1" applyProtection="1">
      <protection hidden="1"/>
    </xf>
    <xf numFmtId="0" fontId="7" fillId="0" borderId="0" xfId="0" applyFont="1" applyProtection="1">
      <protection hidden="1"/>
    </xf>
    <xf numFmtId="37" fontId="21" fillId="0" borderId="0" xfId="1" applyNumberFormat="1" applyFont="1" applyAlignment="1" applyProtection="1">
      <protection hidden="1"/>
    </xf>
    <xf numFmtId="166" fontId="21" fillId="0" borderId="4" xfId="4" applyNumberFormat="1" applyFont="1" applyBorder="1" applyAlignment="1" applyProtection="1">
      <alignment horizontal="right" vertical="center"/>
      <protection hidden="1"/>
    </xf>
    <xf numFmtId="0" fontId="7" fillId="0" borderId="5" xfId="0" applyFont="1" applyBorder="1" applyProtection="1">
      <protection hidden="1"/>
    </xf>
    <xf numFmtId="0" fontId="7" fillId="0" borderId="4" xfId="0" applyFont="1" applyBorder="1" applyProtection="1">
      <protection hidden="1"/>
    </xf>
    <xf numFmtId="37" fontId="21" fillId="0" borderId="9" xfId="1" applyNumberFormat="1" applyFont="1" applyBorder="1" applyAlignment="1" applyProtection="1">
      <alignment horizontal="right" vertical="center"/>
      <protection hidden="1"/>
    </xf>
    <xf numFmtId="3" fontId="21" fillId="0" borderId="4" xfId="4" applyNumberFormat="1" applyFont="1" applyBorder="1" applyAlignment="1" applyProtection="1">
      <alignment horizontal="right" vertical="center"/>
      <protection hidden="1"/>
    </xf>
    <xf numFmtId="1" fontId="7" fillId="0" borderId="0" xfId="0" applyNumberFormat="1" applyFont="1" applyAlignment="1" applyProtection="1">
      <alignment horizontal="left" vertical="center"/>
      <protection hidden="1"/>
    </xf>
    <xf numFmtId="165" fontId="21" fillId="0" borderId="0" xfId="1" applyNumberFormat="1" applyFont="1" applyAlignment="1" applyProtection="1">
      <protection hidden="1"/>
    </xf>
    <xf numFmtId="37" fontId="21" fillId="0" borderId="0" xfId="0" applyNumberFormat="1" applyFont="1" applyProtection="1">
      <protection hidden="1"/>
    </xf>
    <xf numFmtId="37" fontId="21" fillId="0" borderId="0" xfId="0" applyNumberFormat="1" applyFont="1" applyAlignment="1" applyProtection="1">
      <alignment horizontal="center" vertical="center" wrapText="1"/>
      <protection hidden="1"/>
    </xf>
    <xf numFmtId="0" fontId="6" fillId="0" borderId="0" xfId="0" applyFont="1" applyProtection="1">
      <protection hidden="1"/>
    </xf>
    <xf numFmtId="0" fontId="21" fillId="0" borderId="17" xfId="0" applyFont="1" applyBorder="1" applyAlignment="1" applyProtection="1">
      <alignment vertical="center"/>
      <protection hidden="1"/>
    </xf>
    <xf numFmtId="0" fontId="21" fillId="0" borderId="9" xfId="0" applyFont="1" applyBorder="1" applyProtection="1">
      <protection hidden="1"/>
    </xf>
    <xf numFmtId="0" fontId="21" fillId="0" borderId="91" xfId="0" applyFont="1" applyBorder="1" applyProtection="1">
      <protection hidden="1"/>
    </xf>
    <xf numFmtId="44" fontId="21" fillId="0" borderId="91" xfId="0" applyNumberFormat="1" applyFont="1" applyBorder="1" applyProtection="1">
      <protection hidden="1"/>
    </xf>
    <xf numFmtId="0" fontId="6" fillId="0" borderId="0" xfId="0" applyFont="1" applyAlignment="1" applyProtection="1">
      <alignment horizontal="centerContinuous" vertical="center"/>
      <protection hidden="1"/>
    </xf>
    <xf numFmtId="0" fontId="6" fillId="0" borderId="5" xfId="0" applyFont="1" applyBorder="1" applyAlignment="1" applyProtection="1">
      <alignment horizontal="centerContinuous" vertical="center"/>
      <protection hidden="1"/>
    </xf>
    <xf numFmtId="0" fontId="6" fillId="0" borderId="0" xfId="0" applyFont="1" applyAlignment="1" applyProtection="1">
      <alignment horizontal="left" vertical="center"/>
      <protection hidden="1"/>
    </xf>
    <xf numFmtId="0" fontId="21" fillId="0" borderId="9" xfId="0" applyFont="1" applyBorder="1" applyAlignment="1" applyProtection="1">
      <alignment horizontal="left" vertical="center"/>
      <protection hidden="1"/>
    </xf>
    <xf numFmtId="166" fontId="21" fillId="0" borderId="17" xfId="4" applyNumberFormat="1" applyFont="1" applyBorder="1" applyAlignment="1" applyProtection="1">
      <alignment horizontal="right" vertical="center"/>
      <protection hidden="1"/>
    </xf>
    <xf numFmtId="166" fontId="6" fillId="0" borderId="9" xfId="4" applyNumberFormat="1" applyFont="1" applyBorder="1" applyAlignment="1" applyProtection="1">
      <alignment horizontal="center" vertical="center" wrapText="1"/>
      <protection hidden="1"/>
    </xf>
    <xf numFmtId="0" fontId="6" fillId="0" borderId="0" xfId="0" applyFont="1" applyAlignment="1" applyProtection="1">
      <alignment vertical="center"/>
      <protection hidden="1"/>
    </xf>
    <xf numFmtId="0" fontId="6" fillId="0" borderId="0" xfId="0" applyFont="1" applyAlignment="1">
      <alignment vertical="center"/>
    </xf>
    <xf numFmtId="166" fontId="21" fillId="0" borderId="42" xfId="4" applyNumberFormat="1" applyFont="1" applyBorder="1" applyAlignment="1" applyProtection="1">
      <alignment horizontal="center" vertical="center" wrapText="1"/>
      <protection hidden="1"/>
    </xf>
    <xf numFmtId="0" fontId="6" fillId="0" borderId="110" xfId="0" applyFont="1" applyBorder="1" applyAlignment="1">
      <alignment vertical="center"/>
    </xf>
    <xf numFmtId="0" fontId="21" fillId="0" borderId="5" xfId="0" applyFont="1" applyBorder="1" applyAlignment="1" applyProtection="1">
      <alignment horizontal="left" vertical="center"/>
      <protection hidden="1"/>
    </xf>
    <xf numFmtId="0" fontId="6" fillId="0" borderId="5" xfId="0" applyFont="1" applyBorder="1" applyAlignment="1" applyProtection="1">
      <alignment horizontal="left" vertical="center"/>
      <protection hidden="1"/>
    </xf>
    <xf numFmtId="0" fontId="21" fillId="0" borderId="6" xfId="0" applyFont="1" applyBorder="1" applyAlignment="1" applyProtection="1">
      <alignment horizontal="left" vertical="center"/>
      <protection hidden="1"/>
    </xf>
    <xf numFmtId="0" fontId="7" fillId="0" borderId="17" xfId="0" applyFont="1" applyBorder="1" applyProtection="1">
      <protection hidden="1"/>
    </xf>
    <xf numFmtId="0" fontId="6" fillId="0" borderId="0" xfId="0" applyFont="1"/>
    <xf numFmtId="166" fontId="6" fillId="0" borderId="9" xfId="4" applyNumberFormat="1" applyFont="1" applyBorder="1" applyAlignment="1" applyProtection="1">
      <alignment horizontal="right" vertical="center"/>
      <protection hidden="1"/>
    </xf>
    <xf numFmtId="166" fontId="6" fillId="0" borderId="0" xfId="4" applyNumberFormat="1" applyFont="1"/>
    <xf numFmtId="1" fontId="21" fillId="0" borderId="9" xfId="1" applyNumberFormat="1" applyFont="1" applyBorder="1" applyAlignment="1" applyProtection="1">
      <alignment horizontal="right" vertical="center"/>
      <protection hidden="1"/>
    </xf>
    <xf numFmtId="1" fontId="21" fillId="0" borderId="0" xfId="4" applyNumberFormat="1" applyFont="1" applyBorder="1" applyAlignment="1" applyProtection="1">
      <alignment horizontal="right" vertical="center"/>
      <protection hidden="1"/>
    </xf>
    <xf numFmtId="0" fontId="36" fillId="0" borderId="111" xfId="0" applyFont="1" applyBorder="1" applyAlignment="1" applyProtection="1">
      <alignment horizontal="right" vertical="center"/>
      <protection hidden="1"/>
    </xf>
    <xf numFmtId="0" fontId="22" fillId="0" borderId="112" xfId="0" applyFont="1" applyBorder="1" applyAlignment="1" applyProtection="1">
      <alignment horizontal="centerContinuous" vertical="center" wrapText="1"/>
      <protection hidden="1"/>
    </xf>
    <xf numFmtId="0" fontId="22" fillId="0" borderId="113" xfId="0" applyFont="1" applyBorder="1" applyAlignment="1" applyProtection="1">
      <alignment horizontal="centerContinuous" vertical="center"/>
      <protection hidden="1"/>
    </xf>
    <xf numFmtId="0" fontId="22" fillId="0" borderId="114" xfId="0" applyFont="1" applyBorder="1" applyAlignment="1" applyProtection="1">
      <alignment horizontal="center" vertical="center" wrapText="1"/>
      <protection hidden="1"/>
    </xf>
    <xf numFmtId="0" fontId="28" fillId="2" borderId="0" xfId="0" applyFont="1" applyFill="1" applyAlignment="1" applyProtection="1">
      <alignment horizontal="centerContinuous" vertical="center"/>
      <protection hidden="1"/>
    </xf>
    <xf numFmtId="0" fontId="28" fillId="2" borderId="91" xfId="0" applyFont="1" applyFill="1" applyBorder="1" applyAlignment="1" applyProtection="1">
      <alignment horizontal="centerContinuous" vertical="center"/>
      <protection hidden="1"/>
    </xf>
    <xf numFmtId="0" fontId="28" fillId="2" borderId="92" xfId="0" applyFont="1" applyFill="1" applyBorder="1" applyAlignment="1" applyProtection="1">
      <alignment horizontal="centerContinuous" vertical="center"/>
      <protection hidden="1"/>
    </xf>
    <xf numFmtId="0" fontId="28" fillId="0" borderId="0" xfId="0" applyFont="1" applyAlignment="1" applyProtection="1">
      <alignment horizontal="centerContinuous" vertical="center"/>
      <protection hidden="1"/>
    </xf>
    <xf numFmtId="0" fontId="36" fillId="0" borderId="111" xfId="0" applyFont="1" applyBorder="1" applyAlignment="1" applyProtection="1">
      <alignment horizontal="right" vertical="center" wrapText="1"/>
      <protection hidden="1"/>
    </xf>
    <xf numFmtId="0" fontId="33" fillId="0" borderId="0" xfId="7" applyFont="1"/>
    <xf numFmtId="0" fontId="5" fillId="0" borderId="0" xfId="0" applyFont="1" applyProtection="1">
      <protection hidden="1"/>
    </xf>
    <xf numFmtId="0" fontId="22" fillId="0" borderId="109" xfId="0" applyFont="1" applyBorder="1" applyAlignment="1">
      <alignment vertical="center" wrapText="1"/>
    </xf>
    <xf numFmtId="0" fontId="22" fillId="0" borderId="0" xfId="0" applyFont="1" applyAlignment="1">
      <alignment vertical="center" wrapText="1"/>
    </xf>
    <xf numFmtId="166" fontId="45" fillId="0" borderId="65" xfId="7" applyNumberFormat="1" applyFont="1" applyFill="1" applyBorder="1" applyAlignment="1" applyProtection="1">
      <alignment horizontal="right" wrapText="1"/>
      <protection hidden="1"/>
    </xf>
    <xf numFmtId="166" fontId="45" fillId="0" borderId="76" xfId="7" applyNumberFormat="1" applyFont="1" applyFill="1" applyBorder="1" applyAlignment="1" applyProtection="1">
      <alignment horizontal="right" wrapText="1"/>
      <protection hidden="1"/>
    </xf>
    <xf numFmtId="3" fontId="4" fillId="0" borderId="81" xfId="1" applyNumberFormat="1" applyFont="1" applyFill="1" applyBorder="1" applyAlignment="1" applyProtection="1">
      <alignment horizontal="right" vertical="center"/>
      <protection hidden="1"/>
    </xf>
    <xf numFmtId="168" fontId="4" fillId="0" borderId="81" xfId="1" applyNumberFormat="1" applyFont="1" applyFill="1" applyBorder="1" applyAlignment="1" applyProtection="1">
      <alignment horizontal="right" vertical="center"/>
      <protection hidden="1"/>
    </xf>
    <xf numFmtId="169" fontId="4" fillId="0" borderId="81" xfId="1" applyNumberFormat="1" applyFont="1" applyFill="1" applyBorder="1" applyAlignment="1" applyProtection="1">
      <alignment horizontal="right" vertical="center"/>
      <protection hidden="1"/>
    </xf>
    <xf numFmtId="3" fontId="4" fillId="2" borderId="81" xfId="1" applyNumberFormat="1" applyFont="1" applyFill="1" applyBorder="1" applyProtection="1">
      <protection hidden="1"/>
    </xf>
    <xf numFmtId="3" fontId="4" fillId="0" borderId="81" xfId="1" applyNumberFormat="1" applyFont="1" applyFill="1" applyBorder="1" applyProtection="1">
      <protection hidden="1"/>
    </xf>
    <xf numFmtId="3" fontId="4" fillId="0" borderId="81" xfId="0" applyNumberFormat="1" applyFont="1" applyBorder="1" applyProtection="1">
      <protection hidden="1"/>
    </xf>
    <xf numFmtId="3" fontId="4" fillId="2" borderId="81" xfId="1" applyNumberFormat="1" applyFont="1" applyFill="1" applyBorder="1" applyAlignment="1" applyProtection="1">
      <alignment horizontal="right"/>
      <protection hidden="1"/>
    </xf>
    <xf numFmtId="3" fontId="4" fillId="0" borderId="81" xfId="1" applyNumberFormat="1" applyFont="1" applyFill="1" applyBorder="1" applyAlignment="1" applyProtection="1">
      <alignment horizontal="right"/>
      <protection hidden="1"/>
    </xf>
    <xf numFmtId="3" fontId="4" fillId="0" borderId="81" xfId="0" applyNumberFormat="1" applyFont="1" applyBorder="1" applyAlignment="1" applyProtection="1">
      <alignment horizontal="right"/>
      <protection hidden="1"/>
    </xf>
    <xf numFmtId="3" fontId="4" fillId="0" borderId="83" xfId="0" applyNumberFormat="1" applyFont="1" applyBorder="1" applyAlignment="1" applyProtection="1">
      <alignment horizontal="right"/>
      <protection hidden="1"/>
    </xf>
    <xf numFmtId="166" fontId="4" fillId="0" borderId="83" xfId="4" applyNumberFormat="1" applyFont="1" applyFill="1" applyBorder="1" applyAlignment="1" applyProtection="1">
      <alignment horizontal="right"/>
      <protection hidden="1"/>
    </xf>
    <xf numFmtId="3" fontId="4" fillId="0" borderId="85" xfId="1" applyNumberFormat="1" applyFont="1" applyFill="1" applyBorder="1" applyAlignment="1" applyProtection="1">
      <alignment horizontal="right" vertical="center"/>
      <protection hidden="1"/>
    </xf>
    <xf numFmtId="168" fontId="4" fillId="0" borderId="85" xfId="1" applyNumberFormat="1" applyFont="1" applyFill="1" applyBorder="1" applyAlignment="1" applyProtection="1">
      <alignment horizontal="right" vertical="center"/>
      <protection hidden="1"/>
    </xf>
    <xf numFmtId="169" fontId="4" fillId="0" borderId="85" xfId="1" applyNumberFormat="1" applyFont="1" applyFill="1" applyBorder="1" applyAlignment="1" applyProtection="1">
      <alignment horizontal="right" vertical="center"/>
      <protection hidden="1"/>
    </xf>
    <xf numFmtId="3" fontId="4" fillId="2" borderId="85" xfId="1" applyNumberFormat="1" applyFont="1" applyFill="1" applyBorder="1" applyProtection="1">
      <protection hidden="1"/>
    </xf>
    <xf numFmtId="3" fontId="4" fillId="0" borderId="85" xfId="1" applyNumberFormat="1" applyFont="1" applyFill="1" applyBorder="1" applyProtection="1">
      <protection hidden="1"/>
    </xf>
    <xf numFmtId="3" fontId="4" fillId="0" borderId="85" xfId="0" applyNumberFormat="1" applyFont="1" applyBorder="1" applyProtection="1">
      <protection hidden="1"/>
    </xf>
    <xf numFmtId="164" fontId="4" fillId="0" borderId="0" xfId="1" applyNumberFormat="1" applyFont="1" applyFill="1" applyBorder="1" applyAlignment="1" applyProtection="1">
      <alignment horizontal="left" vertical="center"/>
      <protection hidden="1"/>
    </xf>
    <xf numFmtId="168" fontId="4" fillId="0" borderId="0" xfId="1" applyNumberFormat="1" applyFont="1" applyFill="1" applyBorder="1" applyAlignment="1" applyProtection="1">
      <alignment horizontal="right" vertical="center"/>
      <protection hidden="1"/>
    </xf>
    <xf numFmtId="37" fontId="4" fillId="0" borderId="0" xfId="1" applyNumberFormat="1" applyFont="1" applyFill="1" applyBorder="1" applyAlignment="1" applyProtection="1">
      <alignment horizontal="right" vertical="center"/>
      <protection hidden="1"/>
    </xf>
    <xf numFmtId="169" fontId="4" fillId="0" borderId="0" xfId="1" applyNumberFormat="1" applyFont="1" applyFill="1" applyBorder="1" applyAlignment="1" applyProtection="1">
      <alignment horizontal="right" vertical="center"/>
      <protection hidden="1"/>
    </xf>
    <xf numFmtId="169" fontId="4" fillId="0" borderId="0" xfId="1" applyNumberFormat="1" applyFont="1" applyFill="1" applyBorder="1" applyAlignment="1" applyProtection="1">
      <alignment horizontal="left" vertical="center"/>
      <protection hidden="1"/>
    </xf>
    <xf numFmtId="164" fontId="4" fillId="0" borderId="0" xfId="1" applyNumberFormat="1" applyFont="1" applyFill="1" applyBorder="1" applyAlignment="1" applyProtection="1">
      <alignment horizontal="left"/>
      <protection hidden="1"/>
    </xf>
    <xf numFmtId="169" fontId="4" fillId="0" borderId="0" xfId="1" applyNumberFormat="1" applyFont="1" applyFill="1" applyBorder="1" applyAlignment="1" applyProtection="1">
      <protection hidden="1"/>
    </xf>
    <xf numFmtId="0" fontId="4" fillId="0" borderId="0" xfId="0" applyFont="1" applyAlignment="1" applyProtection="1">
      <alignment horizontal="left"/>
      <protection hidden="1"/>
    </xf>
    <xf numFmtId="0" fontId="4" fillId="0" borderId="0" xfId="0" applyFont="1" applyProtection="1">
      <protection hidden="1"/>
    </xf>
    <xf numFmtId="3" fontId="4" fillId="0" borderId="0" xfId="1" applyNumberFormat="1" applyFont="1" applyFill="1" applyBorder="1" applyProtection="1">
      <protection hidden="1"/>
    </xf>
    <xf numFmtId="3" fontId="4" fillId="0" borderId="0" xfId="0" applyNumberFormat="1" applyFont="1" applyAlignment="1" applyProtection="1">
      <alignment horizontal="right"/>
      <protection hidden="1"/>
    </xf>
    <xf numFmtId="0" fontId="4" fillId="0" borderId="0" xfId="0" applyFont="1" applyAlignment="1" applyProtection="1">
      <alignment horizontal="center" vertical="center" wrapText="1"/>
      <protection hidden="1"/>
    </xf>
    <xf numFmtId="0" fontId="22" fillId="0" borderId="84" xfId="0" applyFont="1" applyBorder="1" applyAlignment="1" applyProtection="1">
      <alignment horizontal="center" vertical="center" wrapText="1"/>
      <protection hidden="1"/>
    </xf>
    <xf numFmtId="164" fontId="4" fillId="0" borderId="10" xfId="1" applyNumberFormat="1" applyFont="1" applyFill="1" applyBorder="1" applyAlignment="1" applyProtection="1">
      <alignment horizontal="right" vertical="center"/>
      <protection hidden="1"/>
    </xf>
    <xf numFmtId="43" fontId="4" fillId="0" borderId="10" xfId="1" applyFont="1" applyFill="1" applyBorder="1" applyAlignment="1" applyProtection="1">
      <alignment horizontal="right" vertical="center"/>
      <protection hidden="1"/>
    </xf>
    <xf numFmtId="37" fontId="4" fillId="0" borderId="10" xfId="1" applyNumberFormat="1" applyFont="1" applyFill="1" applyBorder="1" applyAlignment="1" applyProtection="1">
      <alignment horizontal="right" vertical="center"/>
      <protection hidden="1"/>
    </xf>
    <xf numFmtId="168" fontId="4" fillId="0" borderId="10" xfId="1" applyNumberFormat="1" applyFont="1" applyFill="1" applyBorder="1" applyAlignment="1" applyProtection="1">
      <alignment horizontal="right" vertical="center"/>
      <protection hidden="1"/>
    </xf>
    <xf numFmtId="37" fontId="4" fillId="0" borderId="3" xfId="1" applyNumberFormat="1" applyFont="1" applyFill="1" applyBorder="1" applyAlignment="1" applyProtection="1">
      <alignment horizontal="right" vertical="center"/>
      <protection hidden="1"/>
    </xf>
    <xf numFmtId="3" fontId="4" fillId="0" borderId="0" xfId="0" applyNumberFormat="1" applyFont="1" applyProtection="1">
      <protection hidden="1"/>
    </xf>
    <xf numFmtId="0" fontId="24" fillId="2" borderId="116" xfId="0" applyFont="1" applyFill="1" applyBorder="1" applyAlignment="1">
      <alignment horizontal="center" vertical="center" wrapText="1"/>
    </xf>
    <xf numFmtId="0" fontId="24" fillId="2" borderId="117" xfId="7" applyFont="1" applyFill="1" applyBorder="1" applyAlignment="1">
      <alignment horizontal="center" vertical="center" wrapText="1"/>
    </xf>
    <xf numFmtId="0" fontId="24" fillId="2" borderId="118" xfId="7" applyFont="1" applyFill="1" applyBorder="1" applyAlignment="1">
      <alignment horizontal="center" vertical="center" wrapText="1"/>
    </xf>
    <xf numFmtId="0" fontId="24" fillId="2" borderId="119" xfId="0" applyFont="1" applyFill="1" applyBorder="1" applyAlignment="1">
      <alignment horizontal="center" vertical="center" wrapText="1"/>
    </xf>
    <xf numFmtId="0" fontId="4" fillId="5" borderId="116" xfId="7" applyFont="1" applyFill="1" applyBorder="1" applyAlignment="1">
      <alignment horizontal="center" vertical="center" wrapText="1"/>
    </xf>
    <xf numFmtId="0" fontId="4" fillId="5" borderId="117" xfId="7" applyFont="1" applyFill="1" applyBorder="1" applyAlignment="1">
      <alignment horizontal="center" vertical="center" wrapText="1"/>
    </xf>
    <xf numFmtId="0" fontId="4" fillId="5" borderId="117" xfId="0" applyFont="1" applyFill="1" applyBorder="1" applyAlignment="1">
      <alignment horizontal="center" vertical="center" wrapText="1"/>
    </xf>
    <xf numFmtId="0" fontId="4" fillId="5" borderId="120" xfId="7" applyFont="1" applyFill="1" applyBorder="1" applyAlignment="1">
      <alignment horizontal="center" vertical="center" wrapText="1"/>
    </xf>
    <xf numFmtId="0" fontId="24" fillId="2" borderId="121" xfId="0" applyFont="1" applyFill="1" applyBorder="1" applyAlignment="1">
      <alignment horizontal="center" vertical="center"/>
    </xf>
    <xf numFmtId="0" fontId="4" fillId="0" borderId="122" xfId="7" applyFont="1" applyBorder="1" applyAlignment="1">
      <alignment horizontal="center" vertical="center" wrapText="1"/>
    </xf>
    <xf numFmtId="0" fontId="4" fillId="0" borderId="123" xfId="7" applyFont="1" applyBorder="1" applyAlignment="1">
      <alignment horizontal="center" vertical="center" wrapText="1"/>
    </xf>
    <xf numFmtId="0" fontId="4" fillId="0" borderId="123" xfId="7" applyNumberFormat="1" applyFont="1" applyBorder="1" applyAlignment="1">
      <alignment horizontal="center" vertical="center" wrapText="1"/>
    </xf>
    <xf numFmtId="0" fontId="45" fillId="0" borderId="123" xfId="7" applyFont="1" applyBorder="1" applyAlignment="1">
      <alignment horizontal="center" vertical="center" wrapText="1"/>
    </xf>
    <xf numFmtId="0" fontId="45" fillId="0" borderId="124" xfId="7" applyNumberFormat="1" applyFont="1" applyBorder="1" applyAlignment="1">
      <alignment horizontal="center" vertical="center" wrapText="1"/>
    </xf>
    <xf numFmtId="0" fontId="45" fillId="5" borderId="122" xfId="7" applyFont="1" applyFill="1" applyBorder="1" applyAlignment="1">
      <alignment horizontal="center" vertical="center" wrapText="1"/>
    </xf>
    <xf numFmtId="0" fontId="45" fillId="5" borderId="123" xfId="7" applyFont="1" applyFill="1" applyBorder="1" applyAlignment="1">
      <alignment horizontal="center" vertical="center" wrapText="1"/>
    </xf>
    <xf numFmtId="0" fontId="45" fillId="5" borderId="123" xfId="7" applyNumberFormat="1" applyFont="1" applyFill="1" applyBorder="1" applyAlignment="1">
      <alignment horizontal="center" vertical="center" wrapText="1"/>
    </xf>
    <xf numFmtId="0" fontId="45" fillId="5" borderId="124" xfId="7" applyNumberFormat="1" applyFont="1" applyFill="1" applyBorder="1" applyAlignment="1">
      <alignment horizontal="center" vertical="center" wrapText="1"/>
    </xf>
    <xf numFmtId="0" fontId="45" fillId="3" borderId="122" xfId="7" applyFont="1" applyFill="1" applyBorder="1" applyAlignment="1">
      <alignment horizontal="center" vertical="center" wrapText="1"/>
    </xf>
    <xf numFmtId="0" fontId="45" fillId="0" borderId="123" xfId="7" applyNumberFormat="1" applyFont="1" applyBorder="1" applyAlignment="1">
      <alignment horizontal="center" vertical="center" wrapText="1"/>
    </xf>
    <xf numFmtId="0" fontId="45" fillId="3" borderId="123" xfId="7" applyFont="1" applyFill="1" applyBorder="1" applyAlignment="1">
      <alignment horizontal="center" vertical="center" wrapText="1"/>
    </xf>
    <xf numFmtId="0" fontId="45" fillId="5" borderId="124" xfId="7" applyFont="1" applyFill="1" applyBorder="1" applyAlignment="1">
      <alignment horizontal="center" vertical="center" wrapText="1"/>
    </xf>
    <xf numFmtId="0" fontId="45" fillId="3" borderId="125" xfId="7" applyFont="1" applyFill="1" applyBorder="1" applyAlignment="1">
      <alignment horizontal="center" vertical="center" wrapText="1"/>
    </xf>
    <xf numFmtId="0" fontId="4" fillId="3" borderId="123" xfId="7" applyFont="1" applyFill="1" applyBorder="1" applyAlignment="1">
      <alignment horizontal="center" vertical="center" wrapText="1"/>
    </xf>
    <xf numFmtId="0" fontId="4" fillId="5" borderId="123" xfId="7" applyFont="1" applyFill="1" applyBorder="1" applyAlignment="1">
      <alignment horizontal="center" vertical="center" wrapText="1"/>
    </xf>
    <xf numFmtId="0" fontId="4" fillId="0" borderId="115" xfId="5" applyFont="1" applyBorder="1" applyAlignment="1">
      <alignment horizontal="center" vertical="center" wrapText="1"/>
    </xf>
    <xf numFmtId="0" fontId="45" fillId="0" borderId="115" xfId="7" applyFont="1" applyFill="1" applyBorder="1" applyAlignment="1">
      <alignment horizontal="center" vertical="center" wrapText="1"/>
    </xf>
    <xf numFmtId="0" fontId="4" fillId="0" borderId="115" xfId="0" applyFont="1" applyBorder="1"/>
    <xf numFmtId="0" fontId="4" fillId="0" borderId="115" xfId="0" applyFont="1" applyBorder="1" applyAlignment="1">
      <alignment horizontal="center" vertical="center" wrapText="1"/>
    </xf>
    <xf numFmtId="0" fontId="24" fillId="0" borderId="115" xfId="0" applyFont="1" applyBorder="1" applyAlignment="1">
      <alignment horizontal="center" vertical="center"/>
    </xf>
    <xf numFmtId="0" fontId="0" fillId="4" borderId="0" xfId="0" applyFill="1"/>
    <xf numFmtId="0" fontId="32" fillId="0" borderId="0" xfId="7" applyFill="1"/>
    <xf numFmtId="0" fontId="32" fillId="0" borderId="0" xfId="0" applyFont="1"/>
    <xf numFmtId="0" fontId="3" fillId="0" borderId="0" xfId="0" applyFont="1" applyAlignment="1" applyProtection="1">
      <alignment horizontal="left" vertical="center" wrapText="1"/>
      <protection hidden="1"/>
    </xf>
    <xf numFmtId="3" fontId="52" fillId="0" borderId="126" xfId="3" applyNumberFormat="1" applyFont="1" applyBorder="1" applyAlignment="1" applyProtection="1">
      <alignment horizontal="center" vertical="center" wrapText="1"/>
      <protection hidden="1"/>
    </xf>
    <xf numFmtId="164" fontId="22" fillId="0" borderId="127" xfId="1" applyNumberFormat="1" applyFont="1" applyFill="1" applyBorder="1" applyAlignment="1" applyProtection="1">
      <alignment horizontal="center" vertical="center" wrapText="1"/>
      <protection hidden="1"/>
    </xf>
    <xf numFmtId="3" fontId="4" fillId="0" borderId="10" xfId="1" applyNumberFormat="1" applyFont="1" applyFill="1" applyBorder="1" applyAlignment="1" applyProtection="1">
      <alignment horizontal="right" vertical="center"/>
      <protection hidden="1"/>
    </xf>
    <xf numFmtId="0" fontId="7" fillId="6" borderId="5" xfId="0" applyFont="1" applyFill="1" applyBorder="1" applyProtection="1">
      <protection hidden="1"/>
    </xf>
    <xf numFmtId="164" fontId="21" fillId="6" borderId="7" xfId="1" applyNumberFormat="1" applyFont="1" applyFill="1" applyBorder="1" applyAlignment="1" applyProtection="1">
      <protection hidden="1"/>
    </xf>
    <xf numFmtId="0" fontId="21" fillId="6" borderId="7" xfId="0" applyFont="1" applyFill="1" applyBorder="1" applyProtection="1">
      <protection hidden="1"/>
    </xf>
    <xf numFmtId="0" fontId="21" fillId="6" borderId="7" xfId="0" applyFont="1" applyFill="1" applyBorder="1" applyAlignment="1" applyProtection="1">
      <alignment horizontal="right"/>
      <protection hidden="1"/>
    </xf>
    <xf numFmtId="0" fontId="21" fillId="6" borderId="6" xfId="0" applyFont="1" applyFill="1" applyBorder="1" applyAlignment="1" applyProtection="1">
      <alignment horizontal="right" vertical="center"/>
      <protection hidden="1"/>
    </xf>
    <xf numFmtId="0" fontId="21" fillId="6" borderId="0" xfId="0" applyFont="1" applyFill="1" applyAlignment="1" applyProtection="1">
      <alignment horizontal="right" vertical="center"/>
      <protection hidden="1"/>
    </xf>
    <xf numFmtId="0" fontId="21" fillId="6" borderId="0" xfId="0" applyFont="1" applyFill="1" applyProtection="1">
      <protection hidden="1"/>
    </xf>
    <xf numFmtId="1" fontId="21" fillId="6" borderId="0" xfId="0" applyNumberFormat="1" applyFont="1" applyFill="1" applyAlignment="1" applyProtection="1">
      <alignment horizontal="left" vertical="center"/>
      <protection hidden="1"/>
    </xf>
    <xf numFmtId="3" fontId="52" fillId="0" borderId="102" xfId="6" applyNumberFormat="1" applyFont="1" applyBorder="1" applyAlignment="1">
      <alignment horizontal="right" vertical="center" wrapText="1"/>
    </xf>
    <xf numFmtId="169" fontId="52" fillId="0" borderId="102" xfId="6" applyNumberFormat="1" applyFont="1" applyBorder="1" applyAlignment="1">
      <alignment horizontal="right" vertical="center" wrapText="1"/>
    </xf>
    <xf numFmtId="3" fontId="22" fillId="0" borderId="102" xfId="1" applyNumberFormat="1" applyFont="1" applyFill="1" applyBorder="1" applyAlignment="1">
      <alignment vertical="center"/>
    </xf>
    <xf numFmtId="164" fontId="52" fillId="0" borderId="102" xfId="1" applyNumberFormat="1" applyFont="1" applyFill="1" applyBorder="1" applyAlignment="1">
      <alignment horizontal="right" vertical="center" wrapText="1"/>
    </xf>
    <xf numFmtId="3" fontId="52" fillId="0" borderId="102" xfId="3" applyNumberFormat="1" applyFont="1" applyBorder="1" applyAlignment="1">
      <alignment horizontal="right" vertical="center" wrapText="1"/>
    </xf>
    <xf numFmtId="166" fontId="52" fillId="0" borderId="102" xfId="4" applyNumberFormat="1" applyFont="1" applyFill="1" applyBorder="1" applyAlignment="1">
      <alignment horizontal="right" vertical="center" wrapText="1"/>
    </xf>
    <xf numFmtId="166" fontId="48" fillId="0" borderId="102" xfId="7" applyNumberFormat="1" applyFont="1" applyFill="1" applyBorder="1" applyAlignment="1">
      <alignment horizontal="right" vertical="center" wrapText="1"/>
    </xf>
    <xf numFmtId="170" fontId="2" fillId="0" borderId="0" xfId="7" applyNumberFormat="1" applyFont="1" applyFill="1" applyAlignment="1" applyProtection="1">
      <alignment horizontal="left" vertical="center" wrapText="1"/>
      <protection hidden="1"/>
    </xf>
    <xf numFmtId="169" fontId="51" fillId="0" borderId="79" xfId="3" applyNumberFormat="1" applyFont="1" applyBorder="1" applyAlignment="1" applyProtection="1">
      <alignment horizontal="right" wrapText="1"/>
      <protection hidden="1"/>
    </xf>
    <xf numFmtId="169" fontId="51" fillId="0" borderId="99" xfId="3" applyNumberFormat="1" applyFont="1" applyBorder="1" applyAlignment="1" applyProtection="1">
      <alignment horizontal="right" wrapText="1"/>
      <protection hidden="1"/>
    </xf>
    <xf numFmtId="169" fontId="22" fillId="0" borderId="102" xfId="1" applyNumberFormat="1" applyFont="1" applyFill="1" applyBorder="1" applyAlignment="1">
      <alignment vertical="center"/>
    </xf>
    <xf numFmtId="169" fontId="51" fillId="0" borderId="83" xfId="3" applyNumberFormat="1" applyFont="1" applyBorder="1" applyAlignment="1" applyProtection="1">
      <alignment horizontal="right" wrapText="1"/>
      <protection hidden="1"/>
    </xf>
    <xf numFmtId="169" fontId="4" fillId="0" borderId="83" xfId="0" applyNumberFormat="1" applyFont="1" applyBorder="1" applyAlignment="1" applyProtection="1">
      <alignment horizontal="right"/>
      <protection hidden="1"/>
    </xf>
    <xf numFmtId="169" fontId="51" fillId="0" borderId="65" xfId="3" applyNumberFormat="1" applyFont="1" applyBorder="1" applyAlignment="1" applyProtection="1">
      <alignment horizontal="right" wrapText="1"/>
      <protection hidden="1"/>
    </xf>
    <xf numFmtId="0" fontId="48" fillId="0" borderId="128" xfId="7" applyNumberFormat="1" applyFont="1" applyFill="1" applyBorder="1" applyAlignment="1" applyProtection="1">
      <alignment horizontal="center" vertical="center" wrapText="1"/>
      <protection hidden="1"/>
    </xf>
    <xf numFmtId="0" fontId="48" fillId="0" borderId="128" xfId="3" applyFont="1" applyBorder="1" applyAlignment="1" applyProtection="1">
      <alignment horizontal="center" vertical="center" wrapText="1"/>
      <protection hidden="1"/>
    </xf>
    <xf numFmtId="44" fontId="48" fillId="0" borderId="128" xfId="2" applyFont="1" applyFill="1" applyBorder="1" applyAlignment="1" applyProtection="1">
      <alignment horizontal="center" vertical="center" wrapText="1"/>
      <protection hidden="1"/>
    </xf>
    <xf numFmtId="164" fontId="48" fillId="0" borderId="128" xfId="1" applyNumberFormat="1" applyFont="1" applyFill="1" applyBorder="1" applyAlignment="1" applyProtection="1">
      <alignment horizontal="center" vertical="center" wrapText="1"/>
      <protection hidden="1"/>
    </xf>
    <xf numFmtId="168" fontId="48" fillId="0" borderId="128" xfId="1" applyNumberFormat="1" applyFont="1" applyFill="1" applyBorder="1" applyAlignment="1" applyProtection="1">
      <alignment horizontal="center" vertical="center" wrapText="1"/>
      <protection hidden="1"/>
    </xf>
    <xf numFmtId="165" fontId="48" fillId="0" borderId="128" xfId="1" applyNumberFormat="1" applyFont="1" applyFill="1" applyBorder="1" applyAlignment="1" applyProtection="1">
      <alignment horizontal="center" vertical="center" wrapText="1"/>
      <protection hidden="1"/>
    </xf>
    <xf numFmtId="169" fontId="48" fillId="0" borderId="128" xfId="1" applyNumberFormat="1" applyFont="1" applyFill="1" applyBorder="1" applyAlignment="1" applyProtection="1">
      <alignment horizontal="center" vertical="center" wrapText="1"/>
      <protection hidden="1"/>
    </xf>
    <xf numFmtId="166" fontId="48" fillId="0" borderId="128" xfId="0" applyNumberFormat="1" applyFont="1" applyBorder="1" applyAlignment="1" applyProtection="1">
      <alignment horizontal="center" vertical="center" wrapText="1"/>
      <protection hidden="1"/>
    </xf>
    <xf numFmtId="166" fontId="48" fillId="0" borderId="129" xfId="0" applyNumberFormat="1" applyFont="1" applyBorder="1" applyAlignment="1" applyProtection="1">
      <alignment horizontal="center" vertical="center" wrapText="1"/>
      <protection hidden="1"/>
    </xf>
    <xf numFmtId="166" fontId="48" fillId="0" borderId="129" xfId="5" applyNumberFormat="1" applyFont="1" applyBorder="1" applyAlignment="1" applyProtection="1">
      <alignment horizontal="center" vertical="center" wrapText="1"/>
      <protection hidden="1"/>
    </xf>
    <xf numFmtId="169" fontId="48" fillId="0" borderId="129" xfId="6" applyNumberFormat="1" applyFont="1" applyBorder="1" applyAlignment="1" applyProtection="1">
      <alignment horizontal="center" vertical="center" wrapText="1"/>
      <protection hidden="1"/>
    </xf>
    <xf numFmtId="3" fontId="48" fillId="0" borderId="129" xfId="6" applyNumberFormat="1" applyFont="1" applyBorder="1" applyAlignment="1" applyProtection="1">
      <alignment horizontal="center" vertical="center" wrapText="1"/>
      <protection hidden="1"/>
    </xf>
    <xf numFmtId="164" fontId="24" fillId="2" borderId="129" xfId="1" applyNumberFormat="1" applyFont="1" applyFill="1" applyBorder="1" applyAlignment="1" applyProtection="1">
      <alignment horizontal="center" vertical="center" wrapText="1"/>
      <protection hidden="1"/>
    </xf>
    <xf numFmtId="164" fontId="48" fillId="0" borderId="129" xfId="1" applyNumberFormat="1" applyFont="1" applyFill="1" applyBorder="1" applyAlignment="1" applyProtection="1">
      <alignment horizontal="center" vertical="center" wrapText="1"/>
      <protection hidden="1"/>
    </xf>
    <xf numFmtId="3" fontId="48" fillId="0" borderId="129" xfId="1" applyNumberFormat="1" applyFont="1" applyFill="1" applyBorder="1" applyAlignment="1" applyProtection="1">
      <alignment horizontal="center" vertical="center" wrapText="1"/>
      <protection hidden="1"/>
    </xf>
    <xf numFmtId="3" fontId="48" fillId="0" borderId="129" xfId="3" applyNumberFormat="1" applyFont="1" applyBorder="1" applyAlignment="1" applyProtection="1">
      <alignment horizontal="center" vertical="center" wrapText="1"/>
      <protection hidden="1"/>
    </xf>
    <xf numFmtId="3" fontId="51" fillId="0" borderId="130" xfId="3" applyNumberFormat="1" applyFont="1" applyBorder="1" applyAlignment="1" applyProtection="1">
      <alignment horizontal="left" vertical="center"/>
      <protection hidden="1"/>
    </xf>
    <xf numFmtId="3" fontId="51" fillId="0" borderId="131" xfId="3" applyNumberFormat="1" applyFont="1" applyBorder="1" applyAlignment="1" applyProtection="1">
      <alignment horizontal="center" vertical="center" wrapText="1"/>
      <protection hidden="1"/>
    </xf>
    <xf numFmtId="2" fontId="9" fillId="0" borderId="131" xfId="2" applyNumberFormat="1" applyFont="1" applyFill="1" applyBorder="1" applyAlignment="1" applyProtection="1">
      <alignment horizontal="right" vertical="center"/>
      <protection hidden="1"/>
    </xf>
    <xf numFmtId="3" fontId="9" fillId="0" borderId="131" xfId="1" applyNumberFormat="1" applyFont="1" applyFill="1" applyBorder="1" applyAlignment="1" applyProtection="1">
      <alignment horizontal="right" vertical="center"/>
      <protection hidden="1"/>
    </xf>
    <xf numFmtId="168" fontId="9" fillId="0" borderId="131" xfId="1" applyNumberFormat="1" applyFont="1" applyFill="1" applyBorder="1" applyAlignment="1">
      <alignment horizontal="right" vertical="center"/>
    </xf>
    <xf numFmtId="3" fontId="9" fillId="0" borderId="131" xfId="1" applyNumberFormat="1" applyFont="1" applyFill="1" applyBorder="1" applyAlignment="1">
      <alignment horizontal="right" vertical="center"/>
    </xf>
    <xf numFmtId="169" fontId="9" fillId="0" borderId="131" xfId="1" applyNumberFormat="1" applyFont="1" applyFill="1" applyBorder="1" applyAlignment="1" applyProtection="1">
      <alignment horizontal="right" vertical="center"/>
      <protection hidden="1"/>
    </xf>
    <xf numFmtId="3" fontId="51" fillId="0" borderId="131" xfId="1" applyNumberFormat="1" applyFont="1" applyFill="1" applyBorder="1" applyAlignment="1" applyProtection="1">
      <alignment horizontal="right" vertical="center" wrapText="1"/>
      <protection hidden="1"/>
    </xf>
    <xf numFmtId="169" fontId="51" fillId="0" borderId="131" xfId="1" applyNumberFormat="1" applyFont="1" applyFill="1" applyBorder="1" applyAlignment="1" applyProtection="1">
      <alignment horizontal="right" vertical="center" wrapText="1"/>
      <protection hidden="1"/>
    </xf>
    <xf numFmtId="3" fontId="51" fillId="0" borderId="132" xfId="6" applyNumberFormat="1" applyFont="1" applyBorder="1" applyAlignment="1" applyProtection="1">
      <alignment horizontal="right" wrapText="1"/>
      <protection hidden="1"/>
    </xf>
    <xf numFmtId="169" fontId="51" fillId="0" borderId="132" xfId="6" applyNumberFormat="1" applyFont="1" applyBorder="1" applyAlignment="1" applyProtection="1">
      <alignment horizontal="right" wrapText="1"/>
      <protection hidden="1"/>
    </xf>
    <xf numFmtId="3" fontId="9" fillId="2" borderId="132" xfId="1" applyNumberFormat="1" applyFont="1" applyFill="1" applyBorder="1" applyProtection="1">
      <protection hidden="1"/>
    </xf>
    <xf numFmtId="3" fontId="9" fillId="0" borderId="132" xfId="1" applyNumberFormat="1" applyFont="1" applyFill="1" applyBorder="1" applyProtection="1">
      <protection hidden="1"/>
    </xf>
    <xf numFmtId="3" fontId="9" fillId="0" borderId="132" xfId="0" applyNumberFormat="1" applyFont="1" applyBorder="1" applyProtection="1">
      <protection hidden="1"/>
    </xf>
    <xf numFmtId="3" fontId="51" fillId="0" borderId="132" xfId="1" applyNumberFormat="1" applyFont="1" applyFill="1" applyBorder="1" applyAlignment="1" applyProtection="1">
      <alignment horizontal="right" wrapText="1"/>
      <protection hidden="1"/>
    </xf>
    <xf numFmtId="3" fontId="51" fillId="0" borderId="132" xfId="3" applyNumberFormat="1" applyFont="1" applyBorder="1" applyAlignment="1" applyProtection="1">
      <alignment horizontal="right" wrapText="1"/>
      <protection hidden="1"/>
    </xf>
    <xf numFmtId="169" fontId="51" fillId="0" borderId="132" xfId="3" applyNumberFormat="1" applyFont="1" applyBorder="1" applyAlignment="1" applyProtection="1">
      <alignment horizontal="right" wrapText="1"/>
      <protection hidden="1"/>
    </xf>
    <xf numFmtId="166" fontId="51" fillId="0" borderId="132" xfId="4" applyNumberFormat="1" applyFont="1" applyFill="1" applyBorder="1" applyAlignment="1" applyProtection="1">
      <alignment horizontal="right" wrapText="1"/>
      <protection hidden="1"/>
    </xf>
    <xf numFmtId="0" fontId="22" fillId="0" borderId="56" xfId="0" applyFont="1" applyBorder="1" applyAlignment="1" applyProtection="1">
      <alignment horizontal="left" vertical="center" wrapText="1"/>
      <protection hidden="1"/>
    </xf>
    <xf numFmtId="0" fontId="22" fillId="0" borderId="0" xfId="0" applyFont="1" applyAlignment="1" applyProtection="1">
      <alignment horizontal="left" vertical="center" wrapText="1"/>
      <protection hidden="1"/>
    </xf>
    <xf numFmtId="0" fontId="43" fillId="0" borderId="0" xfId="0" applyFont="1" applyAlignment="1" applyProtection="1">
      <alignment horizontal="left" vertical="top" wrapText="1"/>
      <protection hidden="1"/>
    </xf>
  </cellXfs>
  <cellStyles count="9">
    <cellStyle name="Comma" xfId="1" builtinId="3"/>
    <cellStyle name="Currency" xfId="2" builtinId="4"/>
    <cellStyle name="Followed Hyperlink" xfId="8" builtinId="9" customBuiltin="1"/>
    <cellStyle name="Hyperlink" xfId="7" builtinId="8" customBuiltin="1"/>
    <cellStyle name="Normal" xfId="0" builtinId="0"/>
    <cellStyle name="Normal_Sheet1" xfId="3" xr:uid="{00000000-0005-0000-0000-000005000000}"/>
    <cellStyle name="Normal_Sheet2" xfId="5" xr:uid="{00000000-0005-0000-0000-000006000000}"/>
    <cellStyle name="Normal_Sheet2_1" xfId="6" xr:uid="{00000000-0005-0000-0000-000007000000}"/>
    <cellStyle name="Percent" xfId="4" builtinId="5"/>
  </cellStyles>
  <dxfs count="1773">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border diagonalUp="0" diagonalDown="0" outline="0">
        <left style="thin">
          <color auto="1"/>
        </left>
        <right/>
        <top/>
        <bottom/>
      </border>
      <protection locked="1" hidden="1"/>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border diagonalUp="0" diagonalDown="0" outline="0">
        <left style="thin">
          <color auto="1"/>
        </left>
        <right style="thin">
          <color auto="1"/>
        </right>
        <top/>
        <bottom/>
      </border>
      <protection locked="1" hidden="1"/>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border diagonalUp="0" diagonalDown="0" outline="0">
        <left style="thin">
          <color auto="1"/>
        </left>
        <right style="thin">
          <color auto="1"/>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4" formatCode="_(* #,##0_);_(* \(#,##0\);_(* &quot;-&quot;??_);_(@_)"/>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strike val="0"/>
        <outline val="0"/>
        <shadow val="0"/>
        <u val="none"/>
        <vertAlign val="baseline"/>
        <sz val="12"/>
        <name val="Arial"/>
        <family val="2"/>
        <scheme val="none"/>
      </font>
      <numFmt numFmtId="164" formatCode="_(* #,##0_);_(* \(#,##0\);_(* &quot;-&quot;??_);_(@_)"/>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0"/>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5" formatCode="#,##0_);\(#,##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35" formatCode="_(* #,##0.00_);_(* \(#,##0.0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164" formatCode="_(* #,##0_);_(* \(#,##0\);_(* &quot;-&quot;??_);_(@_)"/>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protection locked="1" hidden="1"/>
    </dxf>
    <dxf>
      <font>
        <b val="0"/>
        <i val="0"/>
        <strike val="0"/>
        <condense val="0"/>
        <extend val="0"/>
        <outline val="0"/>
        <shadow val="0"/>
        <u val="none"/>
        <vertAlign val="baseline"/>
        <sz val="12"/>
        <color indexed="8"/>
        <name val="Arial"/>
        <family val="2"/>
        <scheme val="none"/>
      </font>
      <numFmt numFmtId="0" formatCode="General"/>
      <fill>
        <patternFill patternType="none">
          <fgColor indexed="64"/>
          <bgColor auto="1"/>
        </patternFill>
      </fill>
      <alignment horizontal="left" vertical="center" textRotation="0" wrapText="0" indent="0" justifyLastLine="0" shrinkToFit="0" readingOrder="0"/>
      <protection locked="1" hidden="1"/>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protection locked="1" hidden="1"/>
    </dxf>
    <dxf>
      <border outline="0">
        <bottom style="thin">
          <color rgb="FF000000"/>
        </bottom>
      </border>
    </dxf>
    <dxf>
      <font>
        <b/>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auto="1"/>
        </patternFill>
      </fill>
      <alignment horizontal="left" vertical="center" textRotation="0" wrapText="0" indent="0" justifyLastLine="0" shrinkToFit="0" readingOrder="0"/>
      <border diagonalUp="0" diagonalDown="0" outline="0">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rgb="FF000000"/>
        </right>
        <top style="thin">
          <color indexed="64"/>
        </top>
        <bottom style="thin">
          <color theme="4" tint="0.3999755851924192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4" tint="-0.499984740745262"/>
        </patternFill>
      </fill>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9" formatCode="#,##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168" formatCode="#,##0.0_);\(#,##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4" formatCode="#,##0.0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left" vertical="center" textRotation="0" wrapText="0" indent="0" justifyLastLine="0" shrinkToFit="0" readingOrder="0"/>
      <border diagonalUp="0" diagonalDown="0" outline="0">
        <left/>
        <right style="thin">
          <color rgb="FF000000"/>
        </right>
        <top style="thin">
          <color rgb="FF000000"/>
        </top>
        <bottom style="thin">
          <color rgb="FF000000"/>
        </bottom>
      </border>
      <protection locked="1" hidden="1"/>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name val="Arial"/>
        <family val="2"/>
        <scheme val="none"/>
      </font>
      <numFmt numFmtId="3" formatCode="#,##0"/>
      <protection locked="1" hidden="1"/>
    </dxf>
    <dxf>
      <border outline="0">
        <bottom style="thin">
          <color rgb="FF000000"/>
        </bottom>
      </border>
    </dxf>
    <dxf>
      <font>
        <b/>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bottom/>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left style="thin">
          <color theme="1"/>
        </left>
        <right style="thin">
          <color theme="1"/>
        </right>
        <top/>
        <bottom style="double">
          <color theme="1"/>
        </bottom>
        <vertical/>
        <horizontal/>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strike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6" formatCode="0.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fgColor indexed="64"/>
          <bgColor auto="1"/>
        </patternFill>
      </fill>
      <border outline="0">
        <left style="thin">
          <color theme="1"/>
        </left>
        <right style="thin">
          <color theme="1"/>
        </right>
      </border>
      <protection locked="1" hidden="1"/>
    </dxf>
    <dxf>
      <font>
        <strike val="0"/>
        <outline val="0"/>
        <shadow val="0"/>
        <u val="none"/>
        <vertAlign val="baseline"/>
        <sz val="12"/>
      </font>
      <numFmt numFmtId="166" formatCode="0.0%"/>
      <fill>
        <patternFill patternType="none">
          <fgColor indexed="64"/>
          <bgColor auto="1"/>
        </patternFill>
      </fill>
      <border outline="0">
        <right style="thin">
          <color theme="1"/>
        </right>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169" formatCode="#,##0.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bottom" textRotation="0" wrapText="1" indent="0" justifyLastLine="0" shrinkToFit="0" readingOrder="0"/>
      <border diagonalUp="0" diagonalDown="0" outline="0">
        <left style="thin">
          <color theme="1"/>
        </left>
        <right style="thin">
          <color theme="1"/>
        </right>
        <top/>
        <bottom style="double">
          <color theme="1"/>
        </bottom>
      </border>
      <protection locked="1" hidden="1"/>
    </dxf>
    <dxf>
      <font>
        <strike val="0"/>
        <outline val="0"/>
        <shadow val="0"/>
        <u val="none"/>
        <vertAlign val="baseline"/>
        <sz val="12"/>
      </font>
      <fill>
        <patternFill patternType="none">
          <bgColor auto="1"/>
        </patternFill>
      </fill>
      <border outline="0">
        <right style="thin">
          <color theme="1"/>
        </right>
      </border>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numFmt numFmtId="3" formatCode="#,##0"/>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solid">
          <fgColor indexed="64"/>
          <bgColor theme="4" tint="-0.499984740745262"/>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top style="thin">
          <color indexed="64"/>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top style="thin">
          <color indexed="64"/>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top style="thin">
          <color indexed="64"/>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top style="thin">
          <color indexed="64"/>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top style="thin">
          <color indexed="64"/>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top style="thin">
          <color indexed="64"/>
        </top>
        <bottom style="double">
          <color theme="1"/>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auto="1"/>
        </left>
        <right/>
        <top style="thin">
          <color auto="1"/>
        </top>
        <bottom/>
      </border>
      <protection locked="1" hidden="1"/>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auto="1"/>
        </left>
        <right/>
        <top style="thin">
          <color auto="1"/>
        </top>
        <bottom/>
      </border>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font>
        <b val="0"/>
        <i val="0"/>
        <strike val="0"/>
        <condense val="0"/>
        <extend val="0"/>
        <outline val="0"/>
        <shadow val="0"/>
        <u val="none"/>
        <vertAlign val="baseline"/>
        <sz val="12"/>
        <color indexed="8"/>
        <name val="Arial"/>
        <family val="2"/>
        <scheme val="none"/>
      </font>
      <numFmt numFmtId="4" formatCode="#,##0.00"/>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top style="thin">
          <color indexed="64"/>
        </top>
        <bottom/>
      </border>
      <protection locked="1" hidden="1"/>
    </dxf>
    <dxf>
      <font>
        <strike val="0"/>
        <outline val="0"/>
        <shadow val="0"/>
        <u val="none"/>
        <vertAlign val="baseline"/>
        <sz val="12"/>
      </font>
      <fill>
        <patternFill patternType="none">
          <bgColor auto="1"/>
        </patternFill>
      </fill>
      <protection locked="1" hidden="1"/>
    </dxf>
    <dxf>
      <font>
        <strike val="0"/>
        <outline val="0"/>
        <shadow val="0"/>
        <u val="none"/>
        <vertAlign val="baseline"/>
        <sz val="12"/>
      </font>
      <fill>
        <patternFill patternType="none">
          <bgColor auto="1"/>
        </patternFill>
      </fill>
      <protection locked="1" hidden="1"/>
    </dxf>
    <dxf>
      <border outline="0">
        <left style="thin">
          <color rgb="FF000000"/>
        </left>
      </border>
    </dxf>
    <dxf>
      <font>
        <strike val="0"/>
        <outline val="0"/>
        <shadow val="0"/>
        <u val="none"/>
        <vertAlign val="baseline"/>
        <sz val="12"/>
      </font>
      <numFmt numFmtId="3" formatCode="#,##0"/>
      <fill>
        <patternFill patternType="none">
          <bgColor auto="1"/>
        </patternFill>
      </fill>
      <protection locked="1" hidden="1"/>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bottom/>
      </border>
      <protection locked="1" hidden="1"/>
    </dxf>
    <dxf>
      <font>
        <color theme="0"/>
      </font>
      <fill>
        <patternFill>
          <bgColor theme="4" tint="-0.499984740745262"/>
        </patternFill>
      </fill>
    </dxf>
    <dxf>
      <font>
        <color theme="0"/>
      </font>
      <fill>
        <patternFill>
          <bgColor theme="4" tint="-0.499984740745262"/>
        </patternFill>
      </fill>
    </dxf>
  </dxfs>
  <tableStyles count="2" defaultTableStyle="TableStyleMedium2" defaultPivotStyle="PivotStyleLight16">
    <tableStyle name="Table Style 1" pivot="0" count="1" xr9:uid="{00000000-0011-0000-FFFF-FFFF00000000}">
      <tableStyleElement type="firstColumn" dxfId="1772"/>
    </tableStyle>
    <tableStyle name="Table Style 2" pivot="0" count="1" xr9:uid="{00000000-0011-0000-FFFF-FFFF01000000}">
      <tableStyleElement type="firstColumn" dxfId="1771"/>
    </tableStyle>
  </tableStyles>
  <colors>
    <mruColors>
      <color rgb="FFC74F11"/>
      <color rgb="FF6E6E6E"/>
      <color rgb="FF5E2828"/>
      <color rgb="FF285E28"/>
      <color rgb="FF646464"/>
      <color rgb="FF757575"/>
      <color rgb="FFE10000"/>
      <color rgb="FFF31403"/>
      <color rgb="FFF36A03"/>
      <color rgb="FFEF66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28.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29.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themeOverride" Target="../theme/themeOverride30.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themeOverride" Target="../theme/themeOverride31.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themeOverride" Target="../theme/themeOverride32.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themeOverride" Target="../theme/themeOverride33.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themeOverride" Target="../theme/themeOverride34.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themeOverride" Target="../theme/themeOverride35.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themeOverride" Target="../theme/themeOverride36.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themeOverride" Target="../theme/themeOverride37.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themeOverride" Target="../theme/themeOverride38.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themeOverride" Target="../theme/themeOverride39.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themeOverride" Target="../theme/themeOverride40.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themeOverride" Target="../theme/themeOverride41.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themeOverride" Target="../theme/themeOverride42.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themeOverride" Target="../theme/themeOverride43.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themeOverride" Target="../theme/themeOverride44.xml"/><Relationship Id="rId2" Type="http://schemas.microsoft.com/office/2011/relationships/chartColorStyle" Target="colors58.xml"/><Relationship Id="rId1" Type="http://schemas.microsoft.com/office/2011/relationships/chartStyle" Target="style58.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Average Authorized Hours per Recipient</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243832472748137E-2"/>
          <c:y val="0.1775371236360653"/>
          <c:w val="0.94951233505450372"/>
          <c:h val="0.58299392263467065"/>
        </c:manualLayout>
      </c:layout>
      <c:barChart>
        <c:barDir val="col"/>
        <c:grouping val="clustered"/>
        <c:varyColors val="0"/>
        <c:ser>
          <c:idx val="0"/>
          <c:order val="0"/>
          <c:tx>
            <c:strRef>
              <c:f>'General Data'!$E$22</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'General Data'!$D$23:$D$25</c15:sqref>
                  </c15:fullRef>
                </c:ext>
              </c:extLst>
              <c:f>'General Data'!$D$25</c:f>
              <c:strCache>
                <c:ptCount val="1"/>
                <c:pt idx="0">
                  <c:v>Avg. Hours per Recipient</c:v>
                </c:pt>
              </c:strCache>
            </c:strRef>
          </c:cat>
          <c:val>
            <c:numRef>
              <c:extLst>
                <c:ext xmlns:c15="http://schemas.microsoft.com/office/drawing/2012/chart" uri="{02D57815-91ED-43cb-92C2-25804820EDAC}">
                  <c15:fullRef>
                    <c15:sqref>'General Data'!$E$23:$E$25</c15:sqref>
                  </c15:fullRef>
                </c:ext>
              </c:extLst>
              <c:f>'General Data'!$E$25</c:f>
              <c:numCache>
                <c:formatCode>#,##0.0_);\(#,##0.0\)</c:formatCode>
                <c:ptCount val="1"/>
                <c:pt idx="0">
                  <c:v>0</c:v>
                </c:pt>
              </c:numCache>
            </c:numRef>
          </c:val>
          <c:extLst>
            <c:ext xmlns:c16="http://schemas.microsoft.com/office/drawing/2014/chart" uri="{C3380CC4-5D6E-409C-BE32-E72D297353CC}">
              <c16:uniqueId val="{00000000-F0AF-409A-8933-33BC86B2DDD4}"/>
            </c:ext>
          </c:extLst>
        </c:ser>
        <c:ser>
          <c:idx val="1"/>
          <c:order val="1"/>
          <c:tx>
            <c:strRef>
              <c:f>'General Data'!$F$22</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'General Data'!$D$23:$D$25</c15:sqref>
                  </c15:fullRef>
                </c:ext>
              </c:extLst>
              <c:f>'General Data'!$D$25</c:f>
              <c:strCache>
                <c:ptCount val="1"/>
                <c:pt idx="0">
                  <c:v>Avg. Hours per Recipient</c:v>
                </c:pt>
              </c:strCache>
            </c:strRef>
          </c:cat>
          <c:val>
            <c:numRef>
              <c:extLst>
                <c:ext xmlns:c15="http://schemas.microsoft.com/office/drawing/2012/chart" uri="{02D57815-91ED-43cb-92C2-25804820EDAC}">
                  <c15:fullRef>
                    <c15:sqref>'General Data'!$F$23:$F$25</c15:sqref>
                  </c15:fullRef>
                </c:ext>
              </c:extLst>
              <c:f>'General Data'!$F$25</c:f>
              <c:numCache>
                <c:formatCode>#,##0.0_);\(#,##0.0\)</c:formatCode>
                <c:ptCount val="1"/>
                <c:pt idx="0">
                  <c:v>0</c:v>
                </c:pt>
              </c:numCache>
            </c:numRef>
          </c:val>
          <c:extLst>
            <c:ext xmlns:c16="http://schemas.microsoft.com/office/drawing/2014/chart" uri="{C3380CC4-5D6E-409C-BE32-E72D297353CC}">
              <c16:uniqueId val="{00000001-F0AF-409A-8933-33BC86B2DDD4}"/>
            </c:ext>
          </c:extLst>
        </c:ser>
        <c:ser>
          <c:idx val="2"/>
          <c:order val="2"/>
          <c:tx>
            <c:strRef>
              <c:f>'General Data'!$G$22</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'General Data'!$D$23:$D$25</c15:sqref>
                  </c15:fullRef>
                </c:ext>
              </c:extLst>
              <c:f>'General Data'!$D$25</c:f>
              <c:strCache>
                <c:ptCount val="1"/>
                <c:pt idx="0">
                  <c:v>Avg. Hours per Recipient</c:v>
                </c:pt>
              </c:strCache>
            </c:strRef>
          </c:cat>
          <c:val>
            <c:numRef>
              <c:extLst>
                <c:ext xmlns:c15="http://schemas.microsoft.com/office/drawing/2012/chart" uri="{02D57815-91ED-43cb-92C2-25804820EDAC}">
                  <c15:fullRef>
                    <c15:sqref>'General Data'!$G$23:$G$25</c15:sqref>
                  </c15:fullRef>
                </c:ext>
              </c:extLst>
              <c:f>'General Data'!$G$25</c:f>
              <c:numCache>
                <c:formatCode>#,##0.0_);\(#,##0.0\)</c:formatCode>
                <c:ptCount val="1"/>
                <c:pt idx="0">
                  <c:v>115.53532850160305</c:v>
                </c:pt>
              </c:numCache>
            </c:numRef>
          </c:val>
          <c:extLst>
            <c:ext xmlns:c16="http://schemas.microsoft.com/office/drawing/2014/chart" uri="{C3380CC4-5D6E-409C-BE32-E72D297353CC}">
              <c16:uniqueId val="{00000002-F0AF-409A-8933-33BC86B2DDD4}"/>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1"/>
        <c:axPos val="b"/>
        <c:numFmt formatCode="General" sourceLinked="1"/>
        <c:majorTickMark val="none"/>
        <c:minorTickMark val="none"/>
        <c:tickLblPos val="nextTo"/>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14262484451068794"/>
          <c:y val="0.81359205099362575"/>
          <c:w val="0.71305543124629389"/>
          <c:h val="9.2981528579198613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Providers:</a:t>
            </a:r>
            <a:r>
              <a:rPr lang="en-US" baseline="0"/>
              <a:t> </a:t>
            </a:r>
            <a:r>
              <a:rPr lang="en-US"/>
              <a:t>Spoken Languages (Top</a:t>
            </a:r>
            <a:r>
              <a:rPr lang="en-US" baseline="0"/>
              <a:t> 10</a:t>
            </a:r>
            <a:r>
              <a:rPr lang="en-US"/>
              <a: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2602692405384809"/>
          <c:y val="6.4115769312619711E-2"/>
          <c:w val="0.60149431872018866"/>
          <c:h val="0.91502126245599102"/>
        </c:manualLayout>
      </c:layout>
      <c:barChart>
        <c:barDir val="bar"/>
        <c:grouping val="clustered"/>
        <c:varyColors val="0"/>
        <c:ser>
          <c:idx val="1"/>
          <c:order val="0"/>
          <c:tx>
            <c:strRef>
              <c:f>'Provider Details'!$J$33</c:f>
              <c:strCache>
                <c:ptCount val="1"/>
              </c:strCache>
            </c:strRef>
          </c:tx>
          <c:spPr>
            <a:solidFill>
              <a:srgbClr val="5B9BD5">
                <a:lumMod val="50000"/>
              </a:srgb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'Provider Details'!$I$34:$I$43</c:f>
            </c:strRef>
          </c:cat>
          <c:val>
            <c:numRef>
              <c:f>'Provider Details'!$K$34:$K$43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B1E5-4DB0-9C29-F6D8D30911DD}"/>
            </c:ext>
          </c:extLst>
        </c:ser>
        <c:ser>
          <c:idx val="3"/>
          <c:order val="2"/>
          <c:tx>
            <c:strRef>
              <c:f>'Provider Details'!$L$33</c:f>
              <c:strCache>
                <c:ptCount val="1"/>
              </c:strCache>
            </c:strRef>
          </c:tx>
          <c:spPr>
            <a:solidFill>
              <a:srgbClr val="C74F1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'Provider Details'!$I$34:$I$43</c:f>
            </c:strRef>
          </c:cat>
          <c:val>
            <c:numRef>
              <c:f>'Provider Details'!$M$34:$M$43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B1E5-4DB0-9C29-F6D8D30911DD}"/>
            </c:ext>
          </c:extLst>
        </c:ser>
        <c:ser>
          <c:idx val="5"/>
          <c:order val="4"/>
          <c:tx>
            <c:strRef>
              <c:f>'Provider Details'!$N$33</c:f>
              <c:strCache>
                <c:ptCount val="1"/>
                <c:pt idx="0">
                  <c:v>Statewide</c:v>
                </c:pt>
              </c:strCache>
            </c:strRef>
          </c:tx>
          <c:spPr>
            <a:solidFill>
              <a:srgbClr val="6E6E6E"/>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'Provider Details'!$I$34:$I$43</c:f>
            </c:strRef>
          </c:cat>
          <c:val>
            <c:numRef>
              <c:f>'Provider Details'!$O$34:$O$43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B1E5-4DB0-9C29-F6D8D30911DD}"/>
            </c:ext>
          </c:extLst>
        </c:ser>
        <c:dLbls>
          <c:dLblPos val="outEnd"/>
          <c:showLegendKey val="0"/>
          <c:showVal val="1"/>
          <c:showCatName val="0"/>
          <c:showSerName val="0"/>
          <c:showPercent val="0"/>
          <c:showBubbleSize val="0"/>
        </c:dLbls>
        <c:gapWidth val="62"/>
        <c:overlap val="-40"/>
        <c:axId val="551170824"/>
        <c:axId val="551166888"/>
        <c:extLst>
          <c:ext xmlns:c15="http://schemas.microsoft.com/office/drawing/2012/chart" uri="{02D57815-91ED-43cb-92C2-25804820EDAC}">
            <c15:filteredBarSeries>
              <c15:ser>
                <c:idx val="2"/>
                <c:order val="1"/>
                <c:spPr>
                  <a:solidFill>
                    <a:srgbClr val="E7E6E6">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'Provider Details'!$I$34:$I$43</c15:sqref>
                        </c15:formulaRef>
                      </c:ext>
                    </c:extLst>
                  </c:strRef>
                </c:cat>
                <c:val>
                  <c:numRef>
                    <c:extLst>
                      <c:ext uri="{02D57815-91ED-43cb-92C2-25804820EDAC}">
                        <c15:formulaRef>
                          <c15:sqref>'Provider Details'!$L$34:$L$43</c15:sqref>
                        </c15:formulaRef>
                      </c:ext>
                    </c:extLst>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B1E5-4DB0-9C29-F6D8D30911DD}"/>
                  </c:ext>
                </c:extLst>
              </c15:ser>
            </c15:filteredBarSeries>
            <c15:filteredBarSeries>
              <c15:ser>
                <c:idx val="4"/>
                <c:order val="3"/>
                <c:spPr>
                  <a:solidFill>
                    <a:srgbClr val="C75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'Provider Details'!$I$34:$I$43</c15:sqref>
                        </c15:formulaRef>
                      </c:ext>
                    </c:extLst>
                  </c:strRef>
                </c:cat>
                <c:val>
                  <c:numRef>
                    <c:extLst xmlns:c15="http://schemas.microsoft.com/office/drawing/2012/chart">
                      <c:ext xmlns:c15="http://schemas.microsoft.com/office/drawing/2012/chart" uri="{02D57815-91ED-43cb-92C2-25804820EDAC}">
                        <c15:formulaRef>
                          <c15:sqref>'Provider Details'!$N$34:$N$43</c15:sqref>
                        </c15:formulaRef>
                      </c:ext>
                    </c:extLst>
                    <c:numCache>
                      <c:formatCode>#,##0</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B1E5-4DB0-9C29-F6D8D30911DD}"/>
                  </c:ext>
                </c:extLst>
              </c15:ser>
            </c15:filteredBarSeries>
          </c:ext>
        </c:extLst>
      </c:barChart>
      <c:catAx>
        <c:axId val="551170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0%" sourceLinked="1"/>
        <c:majorTickMark val="none"/>
        <c:minorTickMark val="none"/>
        <c:tickLblPos val="nextTo"/>
        <c:crossAx val="551170824"/>
        <c:crosses val="autoZero"/>
        <c:crossBetween val="between"/>
      </c:valAx>
      <c:spPr>
        <a:noFill/>
        <a:ln>
          <a:noFill/>
        </a:ln>
        <a:effectLst/>
      </c:spPr>
    </c:plotArea>
    <c:legend>
      <c:legendPos val="r"/>
      <c:layout>
        <c:manualLayout>
          <c:xMode val="edge"/>
          <c:yMode val="edge"/>
          <c:x val="0.76697807128947593"/>
          <c:y val="0.47072946353808776"/>
          <c:w val="0.21896824993649988"/>
          <c:h val="0.1400902767666132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Avg. Authorized Hours per Recipient</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243832472748137E-2"/>
          <c:y val="0.1775371236360653"/>
          <c:w val="0.94951233505450372"/>
          <c:h val="0.64747814513997137"/>
        </c:manualLayout>
      </c:layout>
      <c:barChart>
        <c:barDir val="col"/>
        <c:grouping val="clustered"/>
        <c:varyColors val="0"/>
        <c:ser>
          <c:idx val="0"/>
          <c:order val="0"/>
          <c:tx>
            <c:strRef>
              <c:f>'General Data'!$E$22</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'General Data'!$D$23:$D$25</c15:sqref>
                  </c15:fullRef>
                </c:ext>
              </c:extLst>
              <c:f>'General Data'!$D$25</c:f>
              <c:strCache>
                <c:ptCount val="1"/>
                <c:pt idx="0">
                  <c:v>Avg. Hours per Recipient</c:v>
                </c:pt>
              </c:strCache>
            </c:strRef>
          </c:cat>
          <c:val>
            <c:numRef>
              <c:extLst>
                <c:ext xmlns:c15="http://schemas.microsoft.com/office/drawing/2012/chart" uri="{02D57815-91ED-43cb-92C2-25804820EDAC}">
                  <c15:fullRef>
                    <c15:sqref>'General Data'!$E$23:$E$25</c15:sqref>
                  </c15:fullRef>
                </c:ext>
              </c:extLst>
              <c:f>'General Data'!$E$25</c:f>
              <c:numCache>
                <c:formatCode>#,##0.0_);\(#,##0.0\)</c:formatCode>
                <c:ptCount val="1"/>
                <c:pt idx="0">
                  <c:v>0</c:v>
                </c:pt>
              </c:numCache>
            </c:numRef>
          </c:val>
          <c:extLst>
            <c:ext xmlns:c16="http://schemas.microsoft.com/office/drawing/2014/chart" uri="{C3380CC4-5D6E-409C-BE32-E72D297353CC}">
              <c16:uniqueId val="{00000000-D0EF-4E2C-A584-D0ED90B8C6C2}"/>
            </c:ext>
          </c:extLst>
        </c:ser>
        <c:ser>
          <c:idx val="1"/>
          <c:order val="1"/>
          <c:tx>
            <c:strRef>
              <c:f>'General Data'!$F$22</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'General Data'!$D$23:$D$25</c15:sqref>
                  </c15:fullRef>
                </c:ext>
              </c:extLst>
              <c:f>'General Data'!$D$25</c:f>
              <c:strCache>
                <c:ptCount val="1"/>
                <c:pt idx="0">
                  <c:v>Avg. Hours per Recipient</c:v>
                </c:pt>
              </c:strCache>
            </c:strRef>
          </c:cat>
          <c:val>
            <c:numRef>
              <c:extLst>
                <c:ext xmlns:c15="http://schemas.microsoft.com/office/drawing/2012/chart" uri="{02D57815-91ED-43cb-92C2-25804820EDAC}">
                  <c15:fullRef>
                    <c15:sqref>'General Data'!$F$23:$F$25</c15:sqref>
                  </c15:fullRef>
                </c:ext>
              </c:extLst>
              <c:f>'General Data'!$F$25</c:f>
              <c:numCache>
                <c:formatCode>#,##0.0_);\(#,##0.0\)</c:formatCode>
                <c:ptCount val="1"/>
                <c:pt idx="0">
                  <c:v>0</c:v>
                </c:pt>
              </c:numCache>
            </c:numRef>
          </c:val>
          <c:extLst>
            <c:ext xmlns:c16="http://schemas.microsoft.com/office/drawing/2014/chart" uri="{C3380CC4-5D6E-409C-BE32-E72D297353CC}">
              <c16:uniqueId val="{00000001-D0EF-4E2C-A584-D0ED90B8C6C2}"/>
            </c:ext>
          </c:extLst>
        </c:ser>
        <c:ser>
          <c:idx val="2"/>
          <c:order val="2"/>
          <c:tx>
            <c:strRef>
              <c:f>'General Data'!$G$22</c:f>
              <c:strCache>
                <c:ptCount val="1"/>
                <c:pt idx="0">
                  <c:v>Statewide</c:v>
                </c:pt>
              </c:strCache>
            </c:strRef>
          </c:tx>
          <c:spPr>
            <a:solidFill>
              <a:srgbClr val="A5A5A5">
                <a:lumMod val="75000"/>
              </a:srgbClr>
            </a:solidFill>
            <a:ln>
              <a:solidFill>
                <a:srgbClr val="6E6E6E"/>
              </a:solidFill>
            </a:ln>
            <a:effectLst/>
          </c:spPr>
          <c:invertIfNegative val="0"/>
          <c:dPt>
            <c:idx val="0"/>
            <c:invertIfNegative val="0"/>
            <c:bubble3D val="0"/>
            <c:spPr>
              <a:solidFill>
                <a:srgbClr val="6E6E6E"/>
              </a:solidFill>
              <a:ln>
                <a:solidFill>
                  <a:srgbClr val="6E6E6E"/>
                </a:solidFill>
              </a:ln>
              <a:effectLst/>
            </c:spPr>
            <c:extLst>
              <c:ext xmlns:c16="http://schemas.microsoft.com/office/drawing/2014/chart" uri="{C3380CC4-5D6E-409C-BE32-E72D297353CC}">
                <c16:uniqueId val="{00000000-0CC4-4016-BA82-B839820EA6D5}"/>
              </c:ext>
            </c:extLst>
          </c:dPt>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'General Data'!$D$23:$D$25</c15:sqref>
                  </c15:fullRef>
                </c:ext>
              </c:extLst>
              <c:f>'General Data'!$D$25</c:f>
              <c:strCache>
                <c:ptCount val="1"/>
                <c:pt idx="0">
                  <c:v>Avg. Hours per Recipient</c:v>
                </c:pt>
              </c:strCache>
            </c:strRef>
          </c:cat>
          <c:val>
            <c:numRef>
              <c:extLst>
                <c:ext xmlns:c15="http://schemas.microsoft.com/office/drawing/2012/chart" uri="{02D57815-91ED-43cb-92C2-25804820EDAC}">
                  <c15:fullRef>
                    <c15:sqref>'General Data'!$G$23:$G$25</c15:sqref>
                  </c15:fullRef>
                </c:ext>
              </c:extLst>
              <c:f>'General Data'!$G$25</c:f>
              <c:numCache>
                <c:formatCode>#,##0.0_);\(#,##0.0\)</c:formatCode>
                <c:ptCount val="1"/>
                <c:pt idx="0">
                  <c:v>115.53532850160305</c:v>
                </c:pt>
              </c:numCache>
            </c:numRef>
          </c:val>
          <c:extLst>
            <c:ext xmlns:c16="http://schemas.microsoft.com/office/drawing/2014/chart" uri="{C3380CC4-5D6E-409C-BE32-E72D297353CC}">
              <c16:uniqueId val="{00000002-D0EF-4E2C-A584-D0ED90B8C6C2}"/>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1"/>
        <c:axPos val="b"/>
        <c:numFmt formatCode="General" sourceLinked="1"/>
        <c:majorTickMark val="none"/>
        <c:minorTickMark val="none"/>
        <c:tickLblPos val="nextTo"/>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16454443194600676"/>
          <c:y val="0.87807616460500204"/>
          <c:w val="0.70992415104738427"/>
          <c:h val="9.2981528579198613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Electronic</a:t>
            </a:r>
            <a:r>
              <a:rPr lang="en-US" baseline="0"/>
              <a:t> Timesheet - Enrolled</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685931115002919E-2"/>
          <c:y val="0.19542643376474492"/>
          <c:w val="0.94862813776999422"/>
          <c:h val="0.5534754276405105"/>
        </c:manualLayout>
      </c:layout>
      <c:barChart>
        <c:barDir val="col"/>
        <c:grouping val="clustered"/>
        <c:varyColors val="0"/>
        <c:ser>
          <c:idx val="0"/>
          <c:order val="0"/>
          <c:tx>
            <c:strRef>
              <c:f>'General Data'!$J$22</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ETS Authorized Cases</c:v>
                      </c:pt>
                      <c:pt idx="2">
                        <c:v>ETS Providers</c:v>
                      </c:pt>
                    </c:strCache>
                  </c16:filteredLitCache>
                </c:ext>
              </c:extLst>
              <c:f/>
              <c:strCache>
                <c:ptCount val="2"/>
                <c:pt idx="0">
                  <c:v>Recipients</c:v>
                </c:pt>
                <c:pt idx="1">
                  <c:v>Providers</c:v>
                </c:pt>
              </c:strCache>
            </c:strRef>
          </c:cat>
          <c:val>
            <c:numRef>
              <c:extLst>
                <c:ext xmlns:c15="http://schemas.microsoft.com/office/drawing/2012/chart" uri="{02D57815-91ED-43cb-92C2-25804820EDAC}">
                  <c15:fullRef>
                    <c15:sqref>'General Data'!$J$23:$J$26</c15:sqref>
                  </c15:fullRef>
                </c:ext>
              </c:extLst>
              <c:f>('General Data'!$J$24,'General Data'!$J$26)</c:f>
              <c:numCache>
                <c:formatCode>0.0%</c:formatCode>
                <c:ptCount val="2"/>
                <c:pt idx="0">
                  <c:v>0</c:v>
                </c:pt>
                <c:pt idx="1">
                  <c:v>0</c:v>
                </c:pt>
              </c:numCache>
            </c:numRef>
          </c:val>
          <c:extLst>
            <c:ext xmlns:c16="http://schemas.microsoft.com/office/drawing/2014/chart" uri="{C3380CC4-5D6E-409C-BE32-E72D297353CC}">
              <c16:uniqueId val="{00000000-36A8-4F8E-9801-D47EA48582A2}"/>
            </c:ext>
          </c:extLst>
        </c:ser>
        <c:ser>
          <c:idx val="1"/>
          <c:order val="1"/>
          <c:tx>
            <c:strRef>
              <c:f>'General Data'!$K$22</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ETS Authorized Cases</c:v>
                      </c:pt>
                      <c:pt idx="2">
                        <c:v>ETS Providers</c:v>
                      </c:pt>
                    </c:strCache>
                  </c16:filteredLitCache>
                </c:ext>
              </c:extLst>
              <c:f/>
              <c:strCache>
                <c:ptCount val="2"/>
                <c:pt idx="0">
                  <c:v>Recipients</c:v>
                </c:pt>
                <c:pt idx="1">
                  <c:v>Providers</c:v>
                </c:pt>
              </c:strCache>
            </c:strRef>
          </c:cat>
          <c:val>
            <c:numRef>
              <c:extLst>
                <c:ext xmlns:c15="http://schemas.microsoft.com/office/drawing/2012/chart" uri="{02D57815-91ED-43cb-92C2-25804820EDAC}">
                  <c15:fullRef>
                    <c15:sqref>'General Data'!$K$23:$K$26</c15:sqref>
                  </c15:fullRef>
                </c:ext>
              </c:extLst>
              <c:f>('General Data'!$K$24,'General Data'!$K$26)</c:f>
              <c:numCache>
                <c:formatCode>0.0%</c:formatCode>
                <c:ptCount val="2"/>
                <c:pt idx="0">
                  <c:v>0</c:v>
                </c:pt>
                <c:pt idx="1">
                  <c:v>0</c:v>
                </c:pt>
              </c:numCache>
            </c:numRef>
          </c:val>
          <c:extLst>
            <c:ext xmlns:c16="http://schemas.microsoft.com/office/drawing/2014/chart" uri="{C3380CC4-5D6E-409C-BE32-E72D297353CC}">
              <c16:uniqueId val="{00000001-36A8-4F8E-9801-D47EA48582A2}"/>
            </c:ext>
          </c:extLst>
        </c:ser>
        <c:ser>
          <c:idx val="2"/>
          <c:order val="2"/>
          <c:tx>
            <c:strRef>
              <c:f>'General Data'!$L$22</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ETS Authorized Cases</c:v>
                      </c:pt>
                      <c:pt idx="2">
                        <c:v>ETS Providers</c:v>
                      </c:pt>
                    </c:strCache>
                  </c16:filteredLitCache>
                </c:ext>
              </c:extLst>
              <c:f/>
              <c:strCache>
                <c:ptCount val="2"/>
                <c:pt idx="0">
                  <c:v>Recipients</c:v>
                </c:pt>
                <c:pt idx="1">
                  <c:v>Providers</c:v>
                </c:pt>
              </c:strCache>
            </c:strRef>
          </c:cat>
          <c:val>
            <c:numRef>
              <c:extLst>
                <c:ext xmlns:c15="http://schemas.microsoft.com/office/drawing/2012/chart" uri="{02D57815-91ED-43cb-92C2-25804820EDAC}">
                  <c15:fullRef>
                    <c15:sqref>'General Data'!$L$23:$L$26</c15:sqref>
                  </c15:fullRef>
                </c:ext>
              </c:extLst>
              <c:f>('General Data'!$L$24,'General Data'!$L$26)</c:f>
              <c:numCache>
                <c:formatCode>0.0%</c:formatCode>
                <c:ptCount val="2"/>
                <c:pt idx="0">
                  <c:v>0.99107341445287711</c:v>
                </c:pt>
                <c:pt idx="1">
                  <c:v>0.99643297413085974</c:v>
                </c:pt>
              </c:numCache>
            </c:numRef>
          </c:val>
          <c:extLst>
            <c:ext xmlns:c16="http://schemas.microsoft.com/office/drawing/2014/chart" uri="{C3380CC4-5D6E-409C-BE32-E72D297353CC}">
              <c16:uniqueId val="{00000002-36A8-4F8E-9801-D47EA48582A2}"/>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solidFill>
                  <a:schemeClr val="tx1"/>
                </a:solidFill>
              </a:rPr>
              <a:t>Severely Impaired (SI) &amp; Non-Severley Impaired (NSI)</a:t>
            </a:r>
          </a:p>
          <a:p>
            <a:pPr>
              <a:defRPr/>
            </a:pPr>
            <a:r>
              <a:rPr lang="en-US" sz="1200">
                <a:solidFill>
                  <a:schemeClr val="tx1"/>
                </a:solidFill>
              </a:rPr>
              <a:t>Recipients</a:t>
            </a:r>
          </a:p>
        </c:rich>
      </c:tx>
      <c:layout>
        <c:manualLayout>
          <c:xMode val="edge"/>
          <c:yMode val="edge"/>
          <c:x val="0.2097422629454341"/>
          <c:y val="2.9218752316977327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200458190148912E-2"/>
          <c:y val="0.2116523570146952"/>
          <c:w val="0.94959908361970213"/>
          <c:h val="0.55877745154737013"/>
        </c:manualLayout>
      </c:layout>
      <c:barChart>
        <c:barDir val="col"/>
        <c:grouping val="clustered"/>
        <c:varyColors val="0"/>
        <c:ser>
          <c:idx val="0"/>
          <c:order val="0"/>
          <c:tx>
            <c:strRef>
              <c:f>'General Data'!$E$44</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SI Recipients</c:v>
                      </c:pt>
                      <c:pt idx="2">
                        <c:v>NSI Recipients</c:v>
                      </c:pt>
                    </c:strCache>
                  </c16:filteredLitCache>
                </c:ext>
              </c:extLst>
              <c:f/>
              <c:strCache>
                <c:ptCount val="2"/>
                <c:pt idx="0">
                  <c:v>SI Recipients</c:v>
                </c:pt>
                <c:pt idx="1">
                  <c:v>NSI Recipients</c:v>
                </c:pt>
              </c:strCache>
            </c:strRef>
          </c:cat>
          <c:val>
            <c:numRef>
              <c:extLst>
                <c:ext xmlns:c15="http://schemas.microsoft.com/office/drawing/2012/chart" uri="{02D57815-91ED-43cb-92C2-25804820EDAC}">
                  <c15:fullRef>
                    <c15:sqref>'General Data'!$E$45:$E$48</c15:sqref>
                  </c15:fullRef>
                </c:ext>
              </c:extLst>
              <c:f>('General Data'!$E$46,'General Data'!$E$48)</c:f>
              <c:numCache>
                <c:formatCode>0.0%</c:formatCode>
                <c:ptCount val="2"/>
                <c:pt idx="0">
                  <c:v>0</c:v>
                </c:pt>
                <c:pt idx="1">
                  <c:v>0</c:v>
                </c:pt>
              </c:numCache>
            </c:numRef>
          </c:val>
          <c:extLst>
            <c:ext xmlns:c16="http://schemas.microsoft.com/office/drawing/2014/chart" uri="{C3380CC4-5D6E-409C-BE32-E72D297353CC}">
              <c16:uniqueId val="{00000000-BBC8-435F-A625-63C83DDDD20A}"/>
            </c:ext>
          </c:extLst>
        </c:ser>
        <c:ser>
          <c:idx val="1"/>
          <c:order val="1"/>
          <c:tx>
            <c:strRef>
              <c:f>'General Data'!$F$44</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SI Recipients</c:v>
                      </c:pt>
                      <c:pt idx="2">
                        <c:v>NSI Recipients</c:v>
                      </c:pt>
                    </c:strCache>
                  </c16:filteredLitCache>
                </c:ext>
              </c:extLst>
              <c:f/>
              <c:strCache>
                <c:ptCount val="2"/>
                <c:pt idx="0">
                  <c:v>SI Recipients</c:v>
                </c:pt>
                <c:pt idx="1">
                  <c:v>NSI Recipients</c:v>
                </c:pt>
              </c:strCache>
            </c:strRef>
          </c:cat>
          <c:val>
            <c:numRef>
              <c:extLst>
                <c:ext xmlns:c15="http://schemas.microsoft.com/office/drawing/2012/chart" uri="{02D57815-91ED-43cb-92C2-25804820EDAC}">
                  <c15:fullRef>
                    <c15:sqref>'General Data'!$F$45:$F$48</c15:sqref>
                  </c15:fullRef>
                </c:ext>
              </c:extLst>
              <c:f>('General Data'!$F$46,'General Data'!$F$48)</c:f>
              <c:numCache>
                <c:formatCode>0.0%</c:formatCode>
                <c:ptCount val="2"/>
                <c:pt idx="0">
                  <c:v>0</c:v>
                </c:pt>
                <c:pt idx="1">
                  <c:v>0</c:v>
                </c:pt>
              </c:numCache>
            </c:numRef>
          </c:val>
          <c:extLst>
            <c:ext xmlns:c16="http://schemas.microsoft.com/office/drawing/2014/chart" uri="{C3380CC4-5D6E-409C-BE32-E72D297353CC}">
              <c16:uniqueId val="{00000001-BBC8-435F-A625-63C83DDDD20A}"/>
            </c:ext>
          </c:extLst>
        </c:ser>
        <c:ser>
          <c:idx val="2"/>
          <c:order val="2"/>
          <c:tx>
            <c:strRef>
              <c:f>'General Data'!$G$44</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SI Recipients</c:v>
                      </c:pt>
                      <c:pt idx="2">
                        <c:v>NSI Recipients</c:v>
                      </c:pt>
                    </c:strCache>
                  </c16:filteredLitCache>
                </c:ext>
              </c:extLst>
              <c:f/>
              <c:strCache>
                <c:ptCount val="2"/>
                <c:pt idx="0">
                  <c:v>SI Recipients</c:v>
                </c:pt>
                <c:pt idx="1">
                  <c:v>NSI Recipients</c:v>
                </c:pt>
              </c:strCache>
            </c:strRef>
          </c:cat>
          <c:val>
            <c:numRef>
              <c:extLst>
                <c:ext xmlns:c15="http://schemas.microsoft.com/office/drawing/2012/chart" uri="{02D57815-91ED-43cb-92C2-25804820EDAC}">
                  <c15:fullRef>
                    <c15:sqref>'General Data'!$G$45:$G$48</c15:sqref>
                  </c15:fullRef>
                </c:ext>
              </c:extLst>
              <c:f>('General Data'!$G$46,'General Data'!$G$48)</c:f>
              <c:numCache>
                <c:formatCode>0.0%</c:formatCode>
                <c:ptCount val="2"/>
                <c:pt idx="0">
                  <c:v>0.35526915377813462</c:v>
                </c:pt>
                <c:pt idx="1">
                  <c:v>0.64143389552829866</c:v>
                </c:pt>
              </c:numCache>
            </c:numRef>
          </c:val>
          <c:extLst>
            <c:ext xmlns:c16="http://schemas.microsoft.com/office/drawing/2014/chart" uri="{C3380CC4-5D6E-409C-BE32-E72D297353CC}">
              <c16:uniqueId val="{00000002-BBC8-435F-A625-63C83DDDD20A}"/>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20629109505641691"/>
          <c:y val="0.88224805227130265"/>
          <c:w val="0.58741780988716619"/>
          <c:h val="0.10189374420925836"/>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Severely Impaired (SI) &amp; Non-Severely Impaired (NSI) </a:t>
            </a:r>
          </a:p>
          <a:p>
            <a:pPr>
              <a:defRPr sz="1200">
                <a:solidFill>
                  <a:sysClr val="windowText" lastClr="000000"/>
                </a:solidFill>
              </a:defRPr>
            </a:pPr>
            <a:r>
              <a:rPr lang="en-US"/>
              <a:t>Avg. Authorized Hours per Recipient</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'General Data'!$J$44</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SI Authorized</c:v>
                      </c:pt>
                      <c:pt idx="2">
                        <c:v> NSI Authorized</c:v>
                      </c:pt>
                    </c:strCache>
                  </c16:filteredLitCache>
                </c:ext>
              </c:extLst>
              <c:f/>
              <c:strCache>
                <c:ptCount val="2"/>
                <c:pt idx="0">
                  <c:v>SI Hours</c:v>
                </c:pt>
                <c:pt idx="1">
                  <c:v>NSI Hours</c:v>
                </c:pt>
              </c:strCache>
            </c:strRef>
          </c:cat>
          <c:val>
            <c:numRef>
              <c:extLst>
                <c:ext xmlns:c15="http://schemas.microsoft.com/office/drawing/2012/chart" uri="{02D57815-91ED-43cb-92C2-25804820EDAC}">
                  <c15:fullRef>
                    <c15:sqref>'General Data'!$J$45:$J$48</c15:sqref>
                  </c15:fullRef>
                </c:ext>
              </c:extLst>
              <c:f>('General Data'!$J$46,'General Data'!$J$48)</c:f>
              <c:numCache>
                <c:formatCode>#,##0.0</c:formatCode>
                <c:ptCount val="2"/>
                <c:pt idx="0">
                  <c:v>0</c:v>
                </c:pt>
                <c:pt idx="1">
                  <c:v>0</c:v>
                </c:pt>
              </c:numCache>
            </c:numRef>
          </c:val>
          <c:extLst>
            <c:ext xmlns:c16="http://schemas.microsoft.com/office/drawing/2014/chart" uri="{C3380CC4-5D6E-409C-BE32-E72D297353CC}">
              <c16:uniqueId val="{00000000-87F4-4DAA-B670-A2CB92BDC8C1}"/>
            </c:ext>
          </c:extLst>
        </c:ser>
        <c:ser>
          <c:idx val="1"/>
          <c:order val="1"/>
          <c:tx>
            <c:strRef>
              <c:f>'General Data'!$K$44</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SI Authorized</c:v>
                      </c:pt>
                      <c:pt idx="2">
                        <c:v> NSI Authorized</c:v>
                      </c:pt>
                    </c:strCache>
                  </c16:filteredLitCache>
                </c:ext>
              </c:extLst>
              <c:f/>
              <c:strCache>
                <c:ptCount val="2"/>
                <c:pt idx="0">
                  <c:v>SI Hours</c:v>
                </c:pt>
                <c:pt idx="1">
                  <c:v>NSI Hours</c:v>
                </c:pt>
              </c:strCache>
            </c:strRef>
          </c:cat>
          <c:val>
            <c:numRef>
              <c:extLst>
                <c:ext xmlns:c15="http://schemas.microsoft.com/office/drawing/2012/chart" uri="{02D57815-91ED-43cb-92C2-25804820EDAC}">
                  <c15:fullRef>
                    <c15:sqref>'General Data'!$K$45:$K$48</c15:sqref>
                  </c15:fullRef>
                </c:ext>
              </c:extLst>
              <c:f>('General Data'!$K$46,'General Data'!$K$48)</c:f>
              <c:numCache>
                <c:formatCode>#,##0.0</c:formatCode>
                <c:ptCount val="2"/>
                <c:pt idx="0">
                  <c:v>0</c:v>
                </c:pt>
                <c:pt idx="1">
                  <c:v>0</c:v>
                </c:pt>
              </c:numCache>
            </c:numRef>
          </c:val>
          <c:extLst>
            <c:ext xmlns:c16="http://schemas.microsoft.com/office/drawing/2014/chart" uri="{C3380CC4-5D6E-409C-BE32-E72D297353CC}">
              <c16:uniqueId val="{00000001-87F4-4DAA-B670-A2CB92BDC8C1}"/>
            </c:ext>
          </c:extLst>
        </c:ser>
        <c:ser>
          <c:idx val="2"/>
          <c:order val="2"/>
          <c:tx>
            <c:strRef>
              <c:f>'General Data'!$L$44</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SI Authorized</c:v>
                      </c:pt>
                      <c:pt idx="2">
                        <c:v> NSI Authorized</c:v>
                      </c:pt>
                    </c:strCache>
                  </c16:filteredLitCache>
                </c:ext>
              </c:extLst>
              <c:f/>
              <c:strCache>
                <c:ptCount val="2"/>
                <c:pt idx="0">
                  <c:v>SI Hours</c:v>
                </c:pt>
                <c:pt idx="1">
                  <c:v>NSI Hours</c:v>
                </c:pt>
              </c:strCache>
            </c:strRef>
          </c:cat>
          <c:val>
            <c:numRef>
              <c:extLst>
                <c:ext xmlns:c15="http://schemas.microsoft.com/office/drawing/2012/chart" uri="{02D57815-91ED-43cb-92C2-25804820EDAC}">
                  <c15:fullRef>
                    <c15:sqref>'General Data'!$L$45:$L$48</c15:sqref>
                  </c15:fullRef>
                </c:ext>
              </c:extLst>
              <c:f>('General Data'!$L$46,'General Data'!$L$48)</c:f>
              <c:numCache>
                <c:formatCode>#,##0.0</c:formatCode>
                <c:ptCount val="2"/>
                <c:pt idx="0">
                  <c:v>160.02981367170946</c:v>
                </c:pt>
                <c:pt idx="1">
                  <c:v>91.485143563937754</c:v>
                </c:pt>
              </c:numCache>
            </c:numRef>
          </c:val>
          <c:extLst>
            <c:ext xmlns:c16="http://schemas.microsoft.com/office/drawing/2014/chart" uri="{C3380CC4-5D6E-409C-BE32-E72D297353CC}">
              <c16:uniqueId val="{00000002-87F4-4DAA-B670-A2CB92BDC8C1}"/>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Recipients: Reassessment</a:t>
            </a:r>
            <a:r>
              <a:rPr lang="en-US" baseline="0"/>
              <a:t> Rate</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685931115002919E-2"/>
          <c:y val="0.19542643376474492"/>
          <c:w val="0.94862813776999422"/>
          <c:h val="0.5534754276405105"/>
        </c:manualLayout>
      </c:layout>
      <c:barChart>
        <c:barDir val="col"/>
        <c:grouping val="clustered"/>
        <c:varyColors val="0"/>
        <c:ser>
          <c:idx val="0"/>
          <c:order val="0"/>
          <c:tx>
            <c:strRef>
              <c:f>'General Data'!$E$67</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1</c:v>
                      </c:pt>
                      <c:pt idx="1">
                        <c:v>2</c:v>
                      </c:pt>
                    </c:strCache>
                  </c16:filteredLitCache>
                </c:ext>
              </c:extLst>
              <c:f/>
              <c:strCache>
                <c:ptCount val="1"/>
                <c:pt idx="0">
                  <c:v>Reassessed Rate</c:v>
                </c:pt>
              </c:strCache>
            </c:strRef>
          </c:cat>
          <c:val>
            <c:numRef>
              <c:extLst>
                <c:ext xmlns:c15="http://schemas.microsoft.com/office/drawing/2012/chart" uri="{02D57815-91ED-43cb-92C2-25804820EDAC}">
                  <c15:fullRef>
                    <c15:sqref>'General Data'!$E$68:$E$70</c15:sqref>
                  </c15:fullRef>
                </c:ext>
              </c:extLst>
              <c:f>'General Data'!$E$70</c:f>
              <c:numCache>
                <c:formatCode>#,##0</c:formatCode>
                <c:ptCount val="1"/>
                <c:pt idx="0" formatCode="0.0%">
                  <c:v>0</c:v>
                </c:pt>
              </c:numCache>
            </c:numRef>
          </c:val>
          <c:extLst>
            <c:ext xmlns:c16="http://schemas.microsoft.com/office/drawing/2014/chart" uri="{C3380CC4-5D6E-409C-BE32-E72D297353CC}">
              <c16:uniqueId val="{00000000-36A8-4F8E-9801-D47EA48582A2}"/>
            </c:ext>
          </c:extLst>
        </c:ser>
        <c:ser>
          <c:idx val="1"/>
          <c:order val="1"/>
          <c:tx>
            <c:strRef>
              <c:f>'General Data'!$F$67</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1</c:v>
                      </c:pt>
                      <c:pt idx="1">
                        <c:v>2</c:v>
                      </c:pt>
                    </c:strCache>
                  </c16:filteredLitCache>
                </c:ext>
              </c:extLst>
              <c:f/>
              <c:strCache>
                <c:ptCount val="1"/>
                <c:pt idx="0">
                  <c:v>Reassessed Rate</c:v>
                </c:pt>
              </c:strCache>
            </c:strRef>
          </c:cat>
          <c:val>
            <c:numRef>
              <c:extLst>
                <c:ext xmlns:c15="http://schemas.microsoft.com/office/drawing/2012/chart" uri="{02D57815-91ED-43cb-92C2-25804820EDAC}">
                  <c15:fullRef>
                    <c15:sqref>'General Data'!$F$68:$F$70</c15:sqref>
                  </c15:fullRef>
                </c:ext>
              </c:extLst>
              <c:f>'General Data'!$F$70</c:f>
              <c:numCache>
                <c:formatCode>#,##0</c:formatCode>
                <c:ptCount val="1"/>
                <c:pt idx="0" formatCode="0.0%">
                  <c:v>0</c:v>
                </c:pt>
              </c:numCache>
            </c:numRef>
          </c:val>
          <c:extLst>
            <c:ext xmlns:c16="http://schemas.microsoft.com/office/drawing/2014/chart" uri="{C3380CC4-5D6E-409C-BE32-E72D297353CC}">
              <c16:uniqueId val="{00000001-36A8-4F8E-9801-D47EA48582A2}"/>
            </c:ext>
          </c:extLst>
        </c:ser>
        <c:ser>
          <c:idx val="2"/>
          <c:order val="2"/>
          <c:tx>
            <c:strRef>
              <c:f>'General Data'!$G$67</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1</c:v>
                      </c:pt>
                      <c:pt idx="1">
                        <c:v>2</c:v>
                      </c:pt>
                    </c:strCache>
                  </c16:filteredLitCache>
                </c:ext>
              </c:extLst>
              <c:f/>
              <c:strCache>
                <c:ptCount val="1"/>
                <c:pt idx="0">
                  <c:v>Reassessed Rate</c:v>
                </c:pt>
              </c:strCache>
            </c:strRef>
          </c:cat>
          <c:val>
            <c:numRef>
              <c:extLst>
                <c:ext xmlns:c15="http://schemas.microsoft.com/office/drawing/2012/chart" uri="{02D57815-91ED-43cb-92C2-25804820EDAC}">
                  <c15:fullRef>
                    <c15:sqref>'General Data'!$G$68:$G$70</c15:sqref>
                  </c15:fullRef>
                </c:ext>
              </c:extLst>
              <c:f>'General Data'!$G$70</c:f>
              <c:numCache>
                <c:formatCode>#,##0</c:formatCode>
                <c:ptCount val="1"/>
                <c:pt idx="0" formatCode="0.0%">
                  <c:v>0.90137221501923104</c:v>
                </c:pt>
              </c:numCache>
            </c:numRef>
          </c:val>
          <c:extLst>
            <c:ext xmlns:c16="http://schemas.microsoft.com/office/drawing/2014/chart" uri="{C3380CC4-5D6E-409C-BE32-E72D297353CC}">
              <c16:uniqueId val="{00000002-36A8-4F8E-9801-D47EA48582A2}"/>
            </c:ext>
          </c:extLst>
        </c:ser>
        <c:dLbls>
          <c:showLegendKey val="0"/>
          <c:showVal val="0"/>
          <c:showCatName val="0"/>
          <c:showSerName val="0"/>
          <c:showPercent val="0"/>
          <c:showBubbleSize val="0"/>
        </c:dLbls>
        <c:gapWidth val="231"/>
        <c:overlap val="-29"/>
        <c:axId val="453211992"/>
        <c:axId val="453216584"/>
      </c:barChart>
      <c:catAx>
        <c:axId val="453211992"/>
        <c:scaling>
          <c:orientation val="minMax"/>
        </c:scaling>
        <c:delete val="1"/>
        <c:axPos val="b"/>
        <c:numFmt formatCode="General" sourceLinked="1"/>
        <c:majorTickMark val="none"/>
        <c:minorTickMark val="none"/>
        <c:tickLblPos val="nextTo"/>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Electronic Visit Verification</a:t>
            </a:r>
            <a:r>
              <a:rPr lang="en-US" baseline="0"/>
              <a:t> - Enrolled</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685931115002919E-2"/>
          <c:y val="0.19542643376474492"/>
          <c:w val="0.94862813776999422"/>
          <c:h val="0.5534754276405105"/>
        </c:manualLayout>
      </c:layout>
      <c:barChart>
        <c:barDir val="col"/>
        <c:grouping val="clustered"/>
        <c:varyColors val="0"/>
        <c:ser>
          <c:idx val="0"/>
          <c:order val="0"/>
          <c:tx>
            <c:strRef>
              <c:f>'General Data'!$J$67</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ETS Authorized Cases</c:v>
                      </c:pt>
                      <c:pt idx="2">
                        <c:v>ETS Providers</c:v>
                      </c:pt>
                    </c:strCache>
                  </c16:filteredLitCache>
                </c:ext>
              </c:extLst>
              <c:f/>
              <c:strCache>
                <c:ptCount val="2"/>
                <c:pt idx="0">
                  <c:v>Recipients</c:v>
                </c:pt>
                <c:pt idx="1">
                  <c:v>Providers</c:v>
                </c:pt>
              </c:strCache>
            </c:strRef>
          </c:cat>
          <c:val>
            <c:numRef>
              <c:extLst>
                <c:ext xmlns:c15="http://schemas.microsoft.com/office/drawing/2012/chart" uri="{02D57815-91ED-43cb-92C2-25804820EDAC}">
                  <c15:fullRef>
                    <c15:sqref>'General Data'!$J$68:$J$71</c15:sqref>
                  </c15:fullRef>
                </c:ext>
              </c:extLst>
              <c:f>('General Data'!$J$69,'General Data'!$J$71)</c:f>
              <c:numCache>
                <c:formatCode>0.0%</c:formatCode>
                <c:ptCount val="2"/>
                <c:pt idx="0">
                  <c:v>0</c:v>
                </c:pt>
                <c:pt idx="1">
                  <c:v>0</c:v>
                </c:pt>
              </c:numCache>
            </c:numRef>
          </c:val>
          <c:extLst>
            <c:ext xmlns:c16="http://schemas.microsoft.com/office/drawing/2014/chart" uri="{C3380CC4-5D6E-409C-BE32-E72D297353CC}">
              <c16:uniqueId val="{00000000-B98C-429E-B80B-62AE6E2438E8}"/>
            </c:ext>
          </c:extLst>
        </c:ser>
        <c:ser>
          <c:idx val="1"/>
          <c:order val="1"/>
          <c:tx>
            <c:strRef>
              <c:f>'General Data'!$K$67</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ETS Authorized Cases</c:v>
                      </c:pt>
                      <c:pt idx="2">
                        <c:v>ETS Providers</c:v>
                      </c:pt>
                    </c:strCache>
                  </c16:filteredLitCache>
                </c:ext>
              </c:extLst>
              <c:f/>
              <c:strCache>
                <c:ptCount val="2"/>
                <c:pt idx="0">
                  <c:v>Recipients</c:v>
                </c:pt>
                <c:pt idx="1">
                  <c:v>Providers</c:v>
                </c:pt>
              </c:strCache>
            </c:strRef>
          </c:cat>
          <c:val>
            <c:numRef>
              <c:extLst>
                <c:ext xmlns:c15="http://schemas.microsoft.com/office/drawing/2012/chart" uri="{02D57815-91ED-43cb-92C2-25804820EDAC}">
                  <c15:fullRef>
                    <c15:sqref>'General Data'!$K$68:$K$71</c15:sqref>
                  </c15:fullRef>
                </c:ext>
              </c:extLst>
              <c:f>('General Data'!$K$69,'General Data'!$K$71)</c:f>
              <c:numCache>
                <c:formatCode>0.0%</c:formatCode>
                <c:ptCount val="2"/>
                <c:pt idx="0">
                  <c:v>0</c:v>
                </c:pt>
                <c:pt idx="1">
                  <c:v>0</c:v>
                </c:pt>
              </c:numCache>
            </c:numRef>
          </c:val>
          <c:extLst>
            <c:ext xmlns:c16="http://schemas.microsoft.com/office/drawing/2014/chart" uri="{C3380CC4-5D6E-409C-BE32-E72D297353CC}">
              <c16:uniqueId val="{00000001-B98C-429E-B80B-62AE6E2438E8}"/>
            </c:ext>
          </c:extLst>
        </c:ser>
        <c:ser>
          <c:idx val="2"/>
          <c:order val="2"/>
          <c:tx>
            <c:strRef>
              <c:f>'General Data'!$L$67</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ETS Authorized Cases</c:v>
                      </c:pt>
                      <c:pt idx="2">
                        <c:v>ETS Providers</c:v>
                      </c:pt>
                    </c:strCache>
                  </c16:filteredLitCache>
                </c:ext>
              </c:extLst>
              <c:f/>
              <c:strCache>
                <c:ptCount val="2"/>
                <c:pt idx="0">
                  <c:v>Recipients</c:v>
                </c:pt>
                <c:pt idx="1">
                  <c:v>Providers</c:v>
                </c:pt>
              </c:strCache>
            </c:strRef>
          </c:cat>
          <c:val>
            <c:numRef>
              <c:extLst>
                <c:ext xmlns:c15="http://schemas.microsoft.com/office/drawing/2012/chart" uri="{02D57815-91ED-43cb-92C2-25804820EDAC}">
                  <c15:fullRef>
                    <c15:sqref>'General Data'!$L$68:$L$71</c15:sqref>
                  </c15:fullRef>
                </c:ext>
              </c:extLst>
              <c:f>('General Data'!$L$69,'General Data'!$L$71)</c:f>
              <c:numCache>
                <c:formatCode>0.0%</c:formatCode>
                <c:ptCount val="2"/>
                <c:pt idx="0">
                  <c:v>0.62661863868892298</c:v>
                </c:pt>
                <c:pt idx="1">
                  <c:v>0.56183860418824771</c:v>
                </c:pt>
              </c:numCache>
            </c:numRef>
          </c:val>
          <c:extLst>
            <c:ext xmlns:c16="http://schemas.microsoft.com/office/drawing/2014/chart" uri="{C3380CC4-5D6E-409C-BE32-E72D297353CC}">
              <c16:uniqueId val="{00000002-B98C-429E-B80B-62AE6E2438E8}"/>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IHSS Programs:</a:t>
            </a:r>
            <a:r>
              <a:rPr lang="en-US" baseline="0"/>
              <a:t> </a:t>
            </a:r>
            <a:r>
              <a:rPr lang="en-US"/>
              <a:t>Percent of Total Recipients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'General Data'!$E$90</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PCSP Cases</c:v>
                      </c:pt>
                      <c:pt idx="2">
                        <c:v>CFCO Cases</c:v>
                      </c:pt>
                      <c:pt idx="4">
                        <c:v>IPO Cases</c:v>
                      </c:pt>
                      <c:pt idx="6">
                        <c:v>IHSS-R Cases</c:v>
                      </c:pt>
                    </c:strCache>
                  </c16:filteredLitCache>
                </c:ext>
              </c:extLst>
              <c:f/>
              <c:strCache>
                <c:ptCount val="4"/>
                <c:pt idx="0">
                  <c:v>PCSP</c:v>
                </c:pt>
                <c:pt idx="1">
                  <c:v>CFCO</c:v>
                </c:pt>
                <c:pt idx="2">
                  <c:v>IPO</c:v>
                </c:pt>
                <c:pt idx="3">
                  <c:v>IHSS-R</c:v>
                </c:pt>
              </c:strCache>
            </c:strRef>
          </c:cat>
          <c:val>
            <c:numRef>
              <c:extLst>
                <c:ext xmlns:c15="http://schemas.microsoft.com/office/drawing/2012/chart" uri="{02D57815-91ED-43cb-92C2-25804820EDAC}">
                  <c15:fullRef>
                    <c15:sqref>'General Data'!$E$91:$E$98</c15:sqref>
                  </c15:fullRef>
                </c:ext>
              </c:extLst>
              <c:f>('General Data'!$E$92,'General Data'!$E$94,'General Data'!$E$96,'General Data'!$E$98)</c:f>
              <c:numCache>
                <c:formatCode>0.0%</c:formatCode>
                <c:ptCount val="4"/>
                <c:pt idx="0">
                  <c:v>0</c:v>
                </c:pt>
                <c:pt idx="1">
                  <c:v>0</c:v>
                </c:pt>
                <c:pt idx="2">
                  <c:v>0</c:v>
                </c:pt>
                <c:pt idx="3">
                  <c:v>0</c:v>
                </c:pt>
              </c:numCache>
            </c:numRef>
          </c:val>
          <c:extLst>
            <c:ext xmlns:c16="http://schemas.microsoft.com/office/drawing/2014/chart" uri="{C3380CC4-5D6E-409C-BE32-E72D297353CC}">
              <c16:uniqueId val="{00000000-B155-4295-B445-E9E62248F1C8}"/>
            </c:ext>
          </c:extLst>
        </c:ser>
        <c:ser>
          <c:idx val="1"/>
          <c:order val="1"/>
          <c:tx>
            <c:strRef>
              <c:f>'General Data'!$F$90</c:f>
              <c:strCache>
                <c:ptCount val="1"/>
                <c:pt idx="0">
                  <c:v>  </c:v>
                </c:pt>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PCSP Cases</c:v>
                      </c:pt>
                      <c:pt idx="2">
                        <c:v>CFCO Cases</c:v>
                      </c:pt>
                      <c:pt idx="4">
                        <c:v>IPO Cases</c:v>
                      </c:pt>
                      <c:pt idx="6">
                        <c:v>IHSS-R Cases</c:v>
                      </c:pt>
                    </c:strCache>
                  </c16:filteredLitCache>
                </c:ext>
              </c:extLst>
              <c:f/>
              <c:strCache>
                <c:ptCount val="4"/>
                <c:pt idx="0">
                  <c:v>PCSP</c:v>
                </c:pt>
                <c:pt idx="1">
                  <c:v>CFCO</c:v>
                </c:pt>
                <c:pt idx="2">
                  <c:v>IPO</c:v>
                </c:pt>
                <c:pt idx="3">
                  <c:v>IHSS-R</c:v>
                </c:pt>
              </c:strCache>
            </c:strRef>
          </c:cat>
          <c:val>
            <c:numRef>
              <c:extLst>
                <c:ext xmlns:c15="http://schemas.microsoft.com/office/drawing/2012/chart" uri="{02D57815-91ED-43cb-92C2-25804820EDAC}">
                  <c15:fullRef>
                    <c15:sqref>'General Data'!$F$91:$F$98</c15:sqref>
                  </c15:fullRef>
                </c:ext>
              </c:extLst>
              <c:f>('General Data'!$F$92,'General Data'!$F$94,'General Data'!$F$96,'General Data'!$F$98)</c:f>
              <c:numCache>
                <c:formatCode>0.0%</c:formatCode>
                <c:ptCount val="4"/>
                <c:pt idx="0">
                  <c:v>0</c:v>
                </c:pt>
                <c:pt idx="1">
                  <c:v>0</c:v>
                </c:pt>
                <c:pt idx="2">
                  <c:v>0</c:v>
                </c:pt>
                <c:pt idx="3">
                  <c:v>0</c:v>
                </c:pt>
              </c:numCache>
            </c:numRef>
          </c:val>
          <c:extLst>
            <c:ext xmlns:c16="http://schemas.microsoft.com/office/drawing/2014/chart" uri="{C3380CC4-5D6E-409C-BE32-E72D297353CC}">
              <c16:uniqueId val="{00000001-B155-4295-B445-E9E62248F1C8}"/>
            </c:ext>
          </c:extLst>
        </c:ser>
        <c:ser>
          <c:idx val="2"/>
          <c:order val="2"/>
          <c:tx>
            <c:strRef>
              <c:f>'General Data'!$G$90</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PCSP Cases</c:v>
                      </c:pt>
                      <c:pt idx="2">
                        <c:v>CFCO Cases</c:v>
                      </c:pt>
                      <c:pt idx="4">
                        <c:v>IPO Cases</c:v>
                      </c:pt>
                      <c:pt idx="6">
                        <c:v>IHSS-R Cases</c:v>
                      </c:pt>
                    </c:strCache>
                  </c16:filteredLitCache>
                </c:ext>
              </c:extLst>
              <c:f/>
              <c:strCache>
                <c:ptCount val="4"/>
                <c:pt idx="0">
                  <c:v>PCSP</c:v>
                </c:pt>
                <c:pt idx="1">
                  <c:v>CFCO</c:v>
                </c:pt>
                <c:pt idx="2">
                  <c:v>IPO</c:v>
                </c:pt>
                <c:pt idx="3">
                  <c:v>IHSS-R</c:v>
                </c:pt>
              </c:strCache>
            </c:strRef>
          </c:cat>
          <c:val>
            <c:numRef>
              <c:extLst>
                <c:ext xmlns:c15="http://schemas.microsoft.com/office/drawing/2012/chart" uri="{02D57815-91ED-43cb-92C2-25804820EDAC}">
                  <c15:fullRef>
                    <c15:sqref>'General Data'!$G$91:$G$98</c15:sqref>
                  </c15:fullRef>
                </c:ext>
              </c:extLst>
              <c:f>('General Data'!$G$92,'General Data'!$G$94,'General Data'!$G$96,'General Data'!$G$98)</c:f>
              <c:numCache>
                <c:formatCode>0.0%</c:formatCode>
                <c:ptCount val="4"/>
                <c:pt idx="0">
                  <c:v>0.45070848500301081</c:v>
                </c:pt>
                <c:pt idx="1">
                  <c:v>0.49511085674606836</c:v>
                </c:pt>
                <c:pt idx="2">
                  <c:v>2.7282911189831668E-2</c:v>
                </c:pt>
                <c:pt idx="3">
                  <c:v>2.3600796367522527E-2</c:v>
                </c:pt>
              </c:numCache>
            </c:numRef>
          </c:val>
          <c:extLst>
            <c:ext xmlns:c16="http://schemas.microsoft.com/office/drawing/2014/chart" uri="{C3380CC4-5D6E-409C-BE32-E72D297353CC}">
              <c16:uniqueId val="{00000002-B155-4295-B445-E9E62248F1C8}"/>
            </c:ext>
          </c:extLst>
        </c:ser>
        <c:dLbls>
          <c:showLegendKey val="0"/>
          <c:showVal val="0"/>
          <c:showCatName val="0"/>
          <c:showSerName val="0"/>
          <c:showPercent val="0"/>
          <c:showBubbleSize val="0"/>
        </c:dLbls>
        <c:gapWidth val="151"/>
        <c:overlap val="-60"/>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IHSS Programs: Avg. </a:t>
            </a:r>
            <a:r>
              <a:rPr lang="en-US" baseline="0"/>
              <a:t>H</a:t>
            </a:r>
            <a:r>
              <a:rPr lang="en-US"/>
              <a:t>ours per Recipient</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'General Data'!$J$90</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PCSP Cases</c:v>
                      </c:pt>
                      <c:pt idx="2">
                        <c:v>CFCO Cases</c:v>
                      </c:pt>
                      <c:pt idx="4">
                        <c:v>IPO Cases</c:v>
                      </c:pt>
                      <c:pt idx="6">
                        <c:v>IHSS-R Cases</c:v>
                      </c:pt>
                    </c:strCache>
                  </c16:filteredLitCache>
                </c:ext>
              </c:extLst>
              <c:f/>
              <c:strCache>
                <c:ptCount val="4"/>
                <c:pt idx="0">
                  <c:v>PCSP Hours</c:v>
                </c:pt>
                <c:pt idx="1">
                  <c:v>CFCO Hours</c:v>
                </c:pt>
                <c:pt idx="2">
                  <c:v>IPO Hours</c:v>
                </c:pt>
                <c:pt idx="3">
                  <c:v>IHSS-R Hours</c:v>
                </c:pt>
              </c:strCache>
            </c:strRef>
          </c:cat>
          <c:val>
            <c:numRef>
              <c:extLst>
                <c:ext xmlns:c15="http://schemas.microsoft.com/office/drawing/2012/chart" uri="{02D57815-91ED-43cb-92C2-25804820EDAC}">
                  <c15:fullRef>
                    <c15:sqref>'General Data'!$J$91:$J$98</c15:sqref>
                  </c15:fullRef>
                </c:ext>
              </c:extLst>
              <c:f>('General Data'!$J$92,'General Data'!$J$94,'General Data'!$J$96,'General Data'!$J$98)</c:f>
              <c:numCache>
                <c:formatCode>#,##0.0</c:formatCode>
                <c:ptCount val="4"/>
                <c:pt idx="0">
                  <c:v>0</c:v>
                </c:pt>
                <c:pt idx="1">
                  <c:v>0</c:v>
                </c:pt>
                <c:pt idx="2">
                  <c:v>0</c:v>
                </c:pt>
                <c:pt idx="3">
                  <c:v>0</c:v>
                </c:pt>
              </c:numCache>
            </c:numRef>
          </c:val>
          <c:extLst>
            <c:ext xmlns:c16="http://schemas.microsoft.com/office/drawing/2014/chart" uri="{C3380CC4-5D6E-409C-BE32-E72D297353CC}">
              <c16:uniqueId val="{00000000-A51A-4251-8BF5-05CB42B275E3}"/>
            </c:ext>
          </c:extLst>
        </c:ser>
        <c:ser>
          <c:idx val="1"/>
          <c:order val="1"/>
          <c:tx>
            <c:strRef>
              <c:f>'General Data'!$K$90</c:f>
              <c:strCache>
                <c:ptCount val="1"/>
                <c:pt idx="0">
                  <c:v>  </c:v>
                </c:pt>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PCSP Cases</c:v>
                      </c:pt>
                      <c:pt idx="2">
                        <c:v>CFCO Cases</c:v>
                      </c:pt>
                      <c:pt idx="4">
                        <c:v>IPO Cases</c:v>
                      </c:pt>
                      <c:pt idx="6">
                        <c:v>IHSS-R Cases</c:v>
                      </c:pt>
                    </c:strCache>
                  </c16:filteredLitCache>
                </c:ext>
              </c:extLst>
              <c:f/>
              <c:strCache>
                <c:ptCount val="4"/>
                <c:pt idx="0">
                  <c:v>PCSP Hours</c:v>
                </c:pt>
                <c:pt idx="1">
                  <c:v>CFCO Hours</c:v>
                </c:pt>
                <c:pt idx="2">
                  <c:v>IPO Hours</c:v>
                </c:pt>
                <c:pt idx="3">
                  <c:v>IHSS-R Hours</c:v>
                </c:pt>
              </c:strCache>
            </c:strRef>
          </c:cat>
          <c:val>
            <c:numRef>
              <c:extLst>
                <c:ext xmlns:c15="http://schemas.microsoft.com/office/drawing/2012/chart" uri="{02D57815-91ED-43cb-92C2-25804820EDAC}">
                  <c15:fullRef>
                    <c15:sqref>'General Data'!$K$91:$K$98</c15:sqref>
                  </c15:fullRef>
                </c:ext>
              </c:extLst>
              <c:f>('General Data'!$K$92,'General Data'!$K$94,'General Data'!$K$96,'General Data'!$K$98)</c:f>
              <c:numCache>
                <c:formatCode>#,##0.0</c:formatCode>
                <c:ptCount val="4"/>
                <c:pt idx="0">
                  <c:v>0</c:v>
                </c:pt>
                <c:pt idx="1">
                  <c:v>0</c:v>
                </c:pt>
                <c:pt idx="2">
                  <c:v>0</c:v>
                </c:pt>
                <c:pt idx="3">
                  <c:v>0</c:v>
                </c:pt>
              </c:numCache>
            </c:numRef>
          </c:val>
          <c:extLst>
            <c:ext xmlns:c16="http://schemas.microsoft.com/office/drawing/2014/chart" uri="{C3380CC4-5D6E-409C-BE32-E72D297353CC}">
              <c16:uniqueId val="{00000001-A51A-4251-8BF5-05CB42B275E3}"/>
            </c:ext>
          </c:extLst>
        </c:ser>
        <c:ser>
          <c:idx val="2"/>
          <c:order val="2"/>
          <c:tx>
            <c:strRef>
              <c:f>'General Data'!$L$90</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PCSP Cases</c:v>
                      </c:pt>
                      <c:pt idx="2">
                        <c:v>CFCO Cases</c:v>
                      </c:pt>
                      <c:pt idx="4">
                        <c:v>IPO Cases</c:v>
                      </c:pt>
                      <c:pt idx="6">
                        <c:v>IHSS-R Cases</c:v>
                      </c:pt>
                    </c:strCache>
                  </c16:filteredLitCache>
                </c:ext>
              </c:extLst>
              <c:f/>
              <c:strCache>
                <c:ptCount val="4"/>
                <c:pt idx="0">
                  <c:v>PCSP Hours</c:v>
                </c:pt>
                <c:pt idx="1">
                  <c:v>CFCO Hours</c:v>
                </c:pt>
                <c:pt idx="2">
                  <c:v>IPO Hours</c:v>
                </c:pt>
                <c:pt idx="3">
                  <c:v>IHSS-R Hours</c:v>
                </c:pt>
              </c:strCache>
            </c:strRef>
          </c:cat>
          <c:val>
            <c:numRef>
              <c:extLst>
                <c:ext xmlns:c15="http://schemas.microsoft.com/office/drawing/2012/chart" uri="{02D57815-91ED-43cb-92C2-25804820EDAC}">
                  <c15:fullRef>
                    <c15:sqref>'General Data'!$L$91:$L$98</c15:sqref>
                  </c15:fullRef>
                </c:ext>
              </c:extLst>
              <c:f>('General Data'!$L$92,'General Data'!$L$94,'General Data'!$L$96,'General Data'!$L$98)</c:f>
              <c:numCache>
                <c:formatCode>#,##0.0</c:formatCode>
                <c:ptCount val="4"/>
                <c:pt idx="0">
                  <c:v>72.546147642847899</c:v>
                </c:pt>
                <c:pt idx="1">
                  <c:v>159.78681783443676</c:v>
                </c:pt>
                <c:pt idx="2">
                  <c:v>45.332400457324653</c:v>
                </c:pt>
                <c:pt idx="3">
                  <c:v>105.47000344787955</c:v>
                </c:pt>
              </c:numCache>
            </c:numRef>
          </c:val>
          <c:extLst>
            <c:ext xmlns:c16="http://schemas.microsoft.com/office/drawing/2014/chart" uri="{C3380CC4-5D6E-409C-BE32-E72D297353CC}">
              <c16:uniqueId val="{00000002-A51A-4251-8BF5-05CB42B275E3}"/>
            </c:ext>
          </c:extLst>
        </c:ser>
        <c:dLbls>
          <c:showLegendKey val="0"/>
          <c:showVal val="0"/>
          <c:showCatName val="0"/>
          <c:showSerName val="0"/>
          <c:showPercent val="0"/>
          <c:showBubbleSize val="0"/>
        </c:dLbls>
        <c:gapWidth val="181"/>
        <c:overlap val="-7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Aged, Blind, or Disabled Hours Avg. Authorized Per Recipient</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'Aged, Blind, or Disabled'!$J$20</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Aged Cases</c:v>
                      </c:pt>
                      <c:pt idx="2">
                        <c:v>”Blind” Cases</c:v>
                      </c:pt>
                      <c:pt idx="4">
                        <c:v>”Disabled” Cases</c:v>
                      </c:pt>
                    </c:strCache>
                  </c16:filteredLitCache>
                </c:ext>
              </c:extLst>
              <c:f/>
              <c:strCache>
                <c:ptCount val="3"/>
                <c:pt idx="0">
                  <c:v>Aged</c:v>
                </c:pt>
                <c:pt idx="1">
                  <c:v>Blind</c:v>
                </c:pt>
                <c:pt idx="2">
                  <c:v>Disabled</c:v>
                </c:pt>
              </c:strCache>
            </c:strRef>
          </c:cat>
          <c:val>
            <c:numRef>
              <c:extLst>
                <c:ext xmlns:c15="http://schemas.microsoft.com/office/drawing/2012/chart" uri="{02D57815-91ED-43cb-92C2-25804820EDAC}">
                  <c15:fullRef>
                    <c15:sqref>'Aged, Blind, or Disabled'!$J$21:$J$26</c15:sqref>
                  </c15:fullRef>
                </c:ext>
              </c:extLst>
              <c:f>('Aged, Blind, or Disabled'!$J$22,'Aged, Blind, or Disabled'!$J$24,'Aged, Blind, or Disabled'!$J$26)</c:f>
              <c:numCache>
                <c:formatCode>#,##0.0</c:formatCode>
                <c:ptCount val="3"/>
                <c:pt idx="0">
                  <c:v>0</c:v>
                </c:pt>
                <c:pt idx="1">
                  <c:v>0</c:v>
                </c:pt>
                <c:pt idx="2">
                  <c:v>0</c:v>
                </c:pt>
              </c:numCache>
            </c:numRef>
          </c:val>
          <c:extLst>
            <c:ext xmlns:c16="http://schemas.microsoft.com/office/drawing/2014/chart" uri="{C3380CC4-5D6E-409C-BE32-E72D297353CC}">
              <c16:uniqueId val="{00000000-D0EF-4E2C-A584-D0ED90B8C6C2}"/>
            </c:ext>
          </c:extLst>
        </c:ser>
        <c:ser>
          <c:idx val="1"/>
          <c:order val="1"/>
          <c:tx>
            <c:strRef>
              <c:f>'Aged, Blind, or Disabled'!$K$20</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Aged Cases</c:v>
                      </c:pt>
                      <c:pt idx="2">
                        <c:v>”Blind” Cases</c:v>
                      </c:pt>
                      <c:pt idx="4">
                        <c:v>”Disabled” Cases</c:v>
                      </c:pt>
                    </c:strCache>
                  </c16:filteredLitCache>
                </c:ext>
              </c:extLst>
              <c:f/>
              <c:strCache>
                <c:ptCount val="3"/>
                <c:pt idx="0">
                  <c:v>Aged</c:v>
                </c:pt>
                <c:pt idx="1">
                  <c:v>Blind</c:v>
                </c:pt>
                <c:pt idx="2">
                  <c:v>Disabled</c:v>
                </c:pt>
              </c:strCache>
            </c:strRef>
          </c:cat>
          <c:val>
            <c:numRef>
              <c:extLst>
                <c:ext xmlns:c15="http://schemas.microsoft.com/office/drawing/2012/chart" uri="{02D57815-91ED-43cb-92C2-25804820EDAC}">
                  <c15:fullRef>
                    <c15:sqref>'Aged, Blind, or Disabled'!$K$21:$K$26</c15:sqref>
                  </c15:fullRef>
                </c:ext>
              </c:extLst>
              <c:f>('Aged, Blind, or Disabled'!$K$22,'Aged, Blind, or Disabled'!$K$24,'Aged, Blind, or Disabled'!$K$26)</c:f>
              <c:numCache>
                <c:formatCode>#,##0.0</c:formatCode>
                <c:ptCount val="3"/>
                <c:pt idx="0">
                  <c:v>0</c:v>
                </c:pt>
                <c:pt idx="1">
                  <c:v>0</c:v>
                </c:pt>
                <c:pt idx="2">
                  <c:v>0</c:v>
                </c:pt>
              </c:numCache>
            </c:numRef>
          </c:val>
          <c:extLst>
            <c:ext xmlns:c16="http://schemas.microsoft.com/office/drawing/2014/chart" uri="{C3380CC4-5D6E-409C-BE32-E72D297353CC}">
              <c16:uniqueId val="{00000001-D0EF-4E2C-A584-D0ED90B8C6C2}"/>
            </c:ext>
          </c:extLst>
        </c:ser>
        <c:ser>
          <c:idx val="2"/>
          <c:order val="2"/>
          <c:tx>
            <c:strRef>
              <c:f>'Aged, Blind, or Disabled'!$L$20</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Aged Cases</c:v>
                      </c:pt>
                      <c:pt idx="2">
                        <c:v>”Blind” Cases</c:v>
                      </c:pt>
                      <c:pt idx="4">
                        <c:v>”Disabled” Cases</c:v>
                      </c:pt>
                    </c:strCache>
                  </c16:filteredLitCache>
                </c:ext>
              </c:extLst>
              <c:f/>
              <c:strCache>
                <c:ptCount val="3"/>
                <c:pt idx="0">
                  <c:v>Aged</c:v>
                </c:pt>
                <c:pt idx="1">
                  <c:v>Blind</c:v>
                </c:pt>
                <c:pt idx="2">
                  <c:v>Disabled</c:v>
                </c:pt>
              </c:strCache>
            </c:strRef>
          </c:cat>
          <c:val>
            <c:numRef>
              <c:extLst>
                <c:ext xmlns:c15="http://schemas.microsoft.com/office/drawing/2012/chart" uri="{02D57815-91ED-43cb-92C2-25804820EDAC}">
                  <c15:fullRef>
                    <c15:sqref>'Aged, Blind, or Disabled'!$L$21:$L$26</c15:sqref>
                  </c15:fullRef>
                </c:ext>
              </c:extLst>
              <c:f>('Aged, Blind, or Disabled'!$L$22,'Aged, Blind, or Disabled'!$L$24,'Aged, Blind, or Disabled'!$L$26)</c:f>
              <c:numCache>
                <c:formatCode>#,##0.0</c:formatCode>
                <c:ptCount val="3"/>
                <c:pt idx="0">
                  <c:v>104.70734304362088</c:v>
                </c:pt>
                <c:pt idx="1">
                  <c:v>130.98439505041247</c:v>
                </c:pt>
                <c:pt idx="2">
                  <c:v>121.44147577810243</c:v>
                </c:pt>
              </c:numCache>
            </c:numRef>
          </c:val>
          <c:extLst>
            <c:ext xmlns:c16="http://schemas.microsoft.com/office/drawing/2014/chart" uri="{C3380CC4-5D6E-409C-BE32-E72D297353CC}">
              <c16:uniqueId val="{00000002-D0EF-4E2C-A584-D0ED90B8C6C2}"/>
            </c:ext>
          </c:extLst>
        </c:ser>
        <c:dLbls>
          <c:showLegendKey val="0"/>
          <c:showVal val="0"/>
          <c:showCatName val="0"/>
          <c:showSerName val="0"/>
          <c:showPercent val="0"/>
          <c:showBubbleSize val="0"/>
        </c:dLbls>
        <c:gapWidth val="201"/>
        <c:overlap val="-2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Electronic Timesheet -</a:t>
            </a:r>
            <a:r>
              <a:rPr lang="en-US" baseline="0"/>
              <a:t> Enrolled </a:t>
            </a:r>
            <a:endParaRPr lang="en-US"/>
          </a:p>
        </c:rich>
      </c:tx>
      <c:layout>
        <c:manualLayout>
          <c:xMode val="edge"/>
          <c:yMode val="edge"/>
          <c:x val="0.22277830583530275"/>
          <c:y val="2.76555274340707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4444966337873806E-2"/>
          <c:y val="0.15280277465316833"/>
          <c:w val="0.93111006732425239"/>
          <c:h val="0.52760748656417944"/>
        </c:manualLayout>
      </c:layout>
      <c:barChart>
        <c:barDir val="col"/>
        <c:grouping val="clustered"/>
        <c:varyColors val="0"/>
        <c:ser>
          <c:idx val="0"/>
          <c:order val="0"/>
          <c:tx>
            <c:strRef>
              <c:f>'General Data'!$J$22</c:f>
              <c:strCache>
                <c:ptCount val="1"/>
              </c:strCache>
            </c:strRef>
          </c:tx>
          <c:spPr>
            <a:solidFill>
              <a:srgbClr val="5B9BD5">
                <a:lumMod val="50000"/>
              </a:srgb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ETS Authorized Cases</c:v>
                      </c:pt>
                      <c:pt idx="2">
                        <c:v>ETS Providers</c:v>
                      </c:pt>
                    </c:strCache>
                  </c16:filteredLitCache>
                </c:ext>
              </c:extLst>
              <c:f/>
              <c:strCache>
                <c:ptCount val="2"/>
                <c:pt idx="0">
                  <c:v>Recipients</c:v>
                </c:pt>
                <c:pt idx="1">
                  <c:v>Providers</c:v>
                </c:pt>
              </c:strCache>
            </c:strRef>
          </c:cat>
          <c:val>
            <c:numRef>
              <c:extLst>
                <c:ext xmlns:c15="http://schemas.microsoft.com/office/drawing/2012/chart" uri="{02D57815-91ED-43cb-92C2-25804820EDAC}">
                  <c15:fullRef>
                    <c15:sqref>'General Data'!$J$23:$J$26</c15:sqref>
                  </c15:fullRef>
                </c:ext>
              </c:extLst>
              <c:f>('General Data'!$J$24,'General Data'!$J$26)</c:f>
              <c:numCache>
                <c:formatCode>0.0%</c:formatCode>
                <c:ptCount val="2"/>
                <c:pt idx="0">
                  <c:v>0</c:v>
                </c:pt>
                <c:pt idx="1">
                  <c:v>0</c:v>
                </c:pt>
              </c:numCache>
            </c:numRef>
          </c:val>
          <c:extLst>
            <c:ext xmlns:c16="http://schemas.microsoft.com/office/drawing/2014/chart" uri="{C3380CC4-5D6E-409C-BE32-E72D297353CC}">
              <c16:uniqueId val="{00000000-E368-42B3-9AC8-674E8D5A382F}"/>
            </c:ext>
          </c:extLst>
        </c:ser>
        <c:ser>
          <c:idx val="1"/>
          <c:order val="1"/>
          <c:tx>
            <c:strRef>
              <c:f>'General Data'!$K$22</c:f>
              <c:strCache>
                <c:ptCount val="1"/>
              </c:strCache>
            </c:strRef>
          </c:tx>
          <c:spPr>
            <a:solidFill>
              <a:srgbClr val="C75211"/>
            </a:solidFill>
            <a:ln>
              <a:noFill/>
            </a:ln>
            <a:effectLst/>
          </c:spPr>
          <c:invertIfNegative val="0"/>
          <c:dLbls>
            <c:numFmt formatCode="0%" sourceLinked="0"/>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ETS Authorized Cases</c:v>
                      </c:pt>
                      <c:pt idx="2">
                        <c:v>ETS Providers</c:v>
                      </c:pt>
                    </c:strCache>
                  </c16:filteredLitCache>
                </c:ext>
              </c:extLst>
              <c:f/>
              <c:strCache>
                <c:ptCount val="2"/>
                <c:pt idx="0">
                  <c:v>Recipients</c:v>
                </c:pt>
                <c:pt idx="1">
                  <c:v>Providers</c:v>
                </c:pt>
              </c:strCache>
            </c:strRef>
          </c:cat>
          <c:val>
            <c:numRef>
              <c:extLst>
                <c:ext xmlns:c15="http://schemas.microsoft.com/office/drawing/2012/chart" uri="{02D57815-91ED-43cb-92C2-25804820EDAC}">
                  <c15:fullRef>
                    <c15:sqref>'General Data'!$K$23:$K$26</c15:sqref>
                  </c15:fullRef>
                </c:ext>
              </c:extLst>
              <c:f>('General Data'!$K$24,'General Data'!$K$26)</c:f>
              <c:numCache>
                <c:formatCode>0.0%</c:formatCode>
                <c:ptCount val="2"/>
                <c:pt idx="0">
                  <c:v>0</c:v>
                </c:pt>
                <c:pt idx="1">
                  <c:v>0</c:v>
                </c:pt>
              </c:numCache>
            </c:numRef>
          </c:val>
          <c:extLst>
            <c:ext xmlns:c16="http://schemas.microsoft.com/office/drawing/2014/chart" uri="{C3380CC4-5D6E-409C-BE32-E72D297353CC}">
              <c16:uniqueId val="{00000001-E368-42B3-9AC8-674E8D5A382F}"/>
            </c:ext>
          </c:extLst>
        </c:ser>
        <c:ser>
          <c:idx val="2"/>
          <c:order val="2"/>
          <c:tx>
            <c:strRef>
              <c:f>'General Data'!$L$22</c:f>
              <c:strCache>
                <c:ptCount val="1"/>
                <c:pt idx="0">
                  <c:v>Statewide</c:v>
                </c:pt>
              </c:strCache>
            </c:strRef>
          </c:tx>
          <c:spPr>
            <a:solidFill>
              <a:srgbClr val="6E6E6E"/>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ETS Authorized Cases</c:v>
                      </c:pt>
                      <c:pt idx="2">
                        <c:v>ETS Providers</c:v>
                      </c:pt>
                    </c:strCache>
                  </c16:filteredLitCache>
                </c:ext>
              </c:extLst>
              <c:f/>
              <c:strCache>
                <c:ptCount val="2"/>
                <c:pt idx="0">
                  <c:v>Recipients</c:v>
                </c:pt>
                <c:pt idx="1">
                  <c:v>Providers</c:v>
                </c:pt>
              </c:strCache>
            </c:strRef>
          </c:cat>
          <c:val>
            <c:numRef>
              <c:extLst>
                <c:ext xmlns:c15="http://schemas.microsoft.com/office/drawing/2012/chart" uri="{02D57815-91ED-43cb-92C2-25804820EDAC}">
                  <c15:fullRef>
                    <c15:sqref>'General Data'!$L$23:$L$26</c15:sqref>
                  </c15:fullRef>
                </c:ext>
              </c:extLst>
              <c:f>('General Data'!$L$24,'General Data'!$L$26)</c:f>
              <c:numCache>
                <c:formatCode>0.0%</c:formatCode>
                <c:ptCount val="2"/>
                <c:pt idx="0">
                  <c:v>0.99107341445287711</c:v>
                </c:pt>
                <c:pt idx="1">
                  <c:v>0.99643297413085974</c:v>
                </c:pt>
              </c:numCache>
            </c:numRef>
          </c:val>
          <c:extLst>
            <c:ext xmlns:c16="http://schemas.microsoft.com/office/drawing/2014/chart" uri="{C3380CC4-5D6E-409C-BE32-E72D297353CC}">
              <c16:uniqueId val="{00000002-E368-42B3-9AC8-674E8D5A382F}"/>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16560237391650609"/>
          <c:y val="0.80517904011998509"/>
          <c:w val="0.68758341562400993"/>
          <c:h val="9.5614610673665792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u="none" strike="noStrike" baseline="0">
                <a:effectLst/>
              </a:rPr>
              <a:t>Recipients: </a:t>
            </a:r>
            <a:r>
              <a:rPr lang="en-US"/>
              <a:t>Aged,</a:t>
            </a:r>
            <a:r>
              <a:rPr lang="en-US" baseline="0"/>
              <a:t> </a:t>
            </a:r>
            <a:r>
              <a:rPr lang="en-US"/>
              <a:t>Blind, or Disabled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'Aged, Blind, or Disabled'!$E$20</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Aged Cases</c:v>
                      </c:pt>
                      <c:pt idx="2">
                        <c:v>”Blind” Cases</c:v>
                      </c:pt>
                      <c:pt idx="4">
                        <c:v>”Disabled” Cases</c:v>
                      </c:pt>
                    </c:strCache>
                  </c16:filteredLitCache>
                </c:ext>
              </c:extLst>
              <c:f/>
              <c:strCache>
                <c:ptCount val="3"/>
                <c:pt idx="0">
                  <c:v>Aged</c:v>
                </c:pt>
                <c:pt idx="1">
                  <c:v>Blind</c:v>
                </c:pt>
                <c:pt idx="2">
                  <c:v>Disabled</c:v>
                </c:pt>
              </c:strCache>
            </c:strRef>
          </c:cat>
          <c:val>
            <c:numRef>
              <c:extLst>
                <c:ext xmlns:c15="http://schemas.microsoft.com/office/drawing/2012/chart" uri="{02D57815-91ED-43cb-92C2-25804820EDAC}">
                  <c15:fullRef>
                    <c15:sqref>'Aged, Blind, or Disabled'!$E$21:$E$26</c15:sqref>
                  </c15:fullRef>
                </c:ext>
              </c:extLst>
              <c:f>('Aged, Blind, or Disabled'!$E$22,'Aged, Blind, or Disabled'!$E$24,'Aged, Blind, or Disabled'!$E$26)</c:f>
              <c:numCache>
                <c:formatCode>0.0%</c:formatCode>
                <c:ptCount val="3"/>
                <c:pt idx="0">
                  <c:v>0</c:v>
                </c:pt>
                <c:pt idx="1">
                  <c:v>0</c:v>
                </c:pt>
                <c:pt idx="2">
                  <c:v>0</c:v>
                </c:pt>
              </c:numCache>
            </c:numRef>
          </c:val>
          <c:extLst>
            <c:ext xmlns:c16="http://schemas.microsoft.com/office/drawing/2014/chart" uri="{C3380CC4-5D6E-409C-BE32-E72D297353CC}">
              <c16:uniqueId val="{00000000-D0EF-4E2C-A584-D0ED90B8C6C2}"/>
            </c:ext>
          </c:extLst>
        </c:ser>
        <c:ser>
          <c:idx val="1"/>
          <c:order val="1"/>
          <c:tx>
            <c:strRef>
              <c:f>'Aged, Blind, or Disabled'!$F$20</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Aged Cases</c:v>
                      </c:pt>
                      <c:pt idx="2">
                        <c:v>”Blind” Cases</c:v>
                      </c:pt>
                      <c:pt idx="4">
                        <c:v>”Disabled” Cases</c:v>
                      </c:pt>
                    </c:strCache>
                  </c16:filteredLitCache>
                </c:ext>
              </c:extLst>
              <c:f/>
              <c:strCache>
                <c:ptCount val="3"/>
                <c:pt idx="0">
                  <c:v>Aged</c:v>
                </c:pt>
                <c:pt idx="1">
                  <c:v>Blind</c:v>
                </c:pt>
                <c:pt idx="2">
                  <c:v>Disabled</c:v>
                </c:pt>
              </c:strCache>
            </c:strRef>
          </c:cat>
          <c:val>
            <c:numRef>
              <c:extLst>
                <c:ext xmlns:c15="http://schemas.microsoft.com/office/drawing/2012/chart" uri="{02D57815-91ED-43cb-92C2-25804820EDAC}">
                  <c15:fullRef>
                    <c15:sqref>'Aged, Blind, or Disabled'!$F$21:$F$26</c15:sqref>
                  </c15:fullRef>
                </c:ext>
              </c:extLst>
              <c:f>('Aged, Blind, or Disabled'!$F$22,'Aged, Blind, or Disabled'!$F$24,'Aged, Blind, or Disabled'!$F$26)</c:f>
              <c:numCache>
                <c:formatCode>0.0%</c:formatCode>
                <c:ptCount val="3"/>
                <c:pt idx="0">
                  <c:v>0</c:v>
                </c:pt>
                <c:pt idx="1">
                  <c:v>0</c:v>
                </c:pt>
                <c:pt idx="2">
                  <c:v>0</c:v>
                </c:pt>
              </c:numCache>
            </c:numRef>
          </c:val>
          <c:extLst>
            <c:ext xmlns:c16="http://schemas.microsoft.com/office/drawing/2014/chart" uri="{C3380CC4-5D6E-409C-BE32-E72D297353CC}">
              <c16:uniqueId val="{00000001-D0EF-4E2C-A584-D0ED90B8C6C2}"/>
            </c:ext>
          </c:extLst>
        </c:ser>
        <c:ser>
          <c:idx val="2"/>
          <c:order val="2"/>
          <c:tx>
            <c:strRef>
              <c:f>'Aged, Blind, or Disabled'!$G$20</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Aged Cases</c:v>
                      </c:pt>
                      <c:pt idx="2">
                        <c:v>”Blind” Cases</c:v>
                      </c:pt>
                      <c:pt idx="4">
                        <c:v>”Disabled” Cases</c:v>
                      </c:pt>
                    </c:strCache>
                  </c16:filteredLitCache>
                </c:ext>
              </c:extLst>
              <c:f/>
              <c:strCache>
                <c:ptCount val="3"/>
                <c:pt idx="0">
                  <c:v>Aged</c:v>
                </c:pt>
                <c:pt idx="1">
                  <c:v>Blind</c:v>
                </c:pt>
                <c:pt idx="2">
                  <c:v>Disabled</c:v>
                </c:pt>
              </c:strCache>
            </c:strRef>
          </c:cat>
          <c:val>
            <c:numRef>
              <c:extLst>
                <c:ext xmlns:c15="http://schemas.microsoft.com/office/drawing/2012/chart" uri="{02D57815-91ED-43cb-92C2-25804820EDAC}">
                  <c15:fullRef>
                    <c15:sqref>'Aged, Blind, or Disabled'!$G$21:$G$26</c15:sqref>
                  </c15:fullRef>
                </c:ext>
              </c:extLst>
              <c:f>('Aged, Blind, or Disabled'!$G$22,'Aged, Blind, or Disabled'!$G$24,'Aged, Blind, or Disabled'!$G$26)</c:f>
              <c:numCache>
                <c:formatCode>0.0%</c:formatCode>
                <c:ptCount val="3"/>
                <c:pt idx="0">
                  <c:v>0.35969040398834745</c:v>
                </c:pt>
                <c:pt idx="1">
                  <c:v>1.1837015900226216E-2</c:v>
                </c:pt>
                <c:pt idx="2">
                  <c:v>0.62847258011142637</c:v>
                </c:pt>
              </c:numCache>
            </c:numRef>
          </c:val>
          <c:extLst>
            <c:ext xmlns:c16="http://schemas.microsoft.com/office/drawing/2014/chart" uri="{C3380CC4-5D6E-409C-BE32-E72D297353CC}">
              <c16:uniqueId val="{00000002-D0EF-4E2C-A584-D0ED90B8C6C2}"/>
            </c:ext>
          </c:extLst>
        </c:ser>
        <c:dLbls>
          <c:showLegendKey val="0"/>
          <c:showVal val="0"/>
          <c:showCatName val="0"/>
          <c:showSerName val="0"/>
          <c:showPercent val="0"/>
          <c:showBubbleSize val="0"/>
        </c:dLbls>
        <c:gapWidth val="231"/>
        <c:overlap val="-4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BVI Notic</a:t>
            </a:r>
            <a:r>
              <a:rPr lang="en-US" baseline="0"/>
              <a:t>e of Action </a:t>
            </a:r>
            <a:r>
              <a:rPr lang="en-US"/>
              <a:t>Delivery Options </a:t>
            </a:r>
          </a:p>
        </c:rich>
      </c:tx>
      <c:layout>
        <c:manualLayout>
          <c:xMode val="edge"/>
          <c:yMode val="edge"/>
          <c:x val="0.29266881028938907"/>
          <c:y val="1.819505094614264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4480660978470939"/>
          <c:y val="0.10251406892915678"/>
          <c:w val="0.68016659493126064"/>
          <c:h val="0.78747893958670012"/>
        </c:manualLayout>
      </c:layout>
      <c:barChart>
        <c:barDir val="bar"/>
        <c:grouping val="clustered"/>
        <c:varyColors val="0"/>
        <c:ser>
          <c:idx val="0"/>
          <c:order val="0"/>
          <c:tx>
            <c:strRef>
              <c:f>'Aged, Blind, or Disabled'!$E$71</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6"/>
                      <c:pt idx="0">
                        <c:v>Audio CD</c:v>
                      </c:pt>
                      <c:pt idx="2">
                        <c:v>Braille Documents</c:v>
                      </c:pt>
                      <c:pt idx="4">
                        <c:v>County Support</c:v>
                      </c:pt>
                      <c:pt idx="6">
                        <c:v>Data CD</c:v>
                      </c:pt>
                      <c:pt idx="8">
                        <c:v>Large Font NOA</c:v>
                      </c:pt>
                      <c:pt idx="10">
                        <c:v>No Accommodation is Needed</c:v>
                      </c:pt>
                    </c:strCache>
                  </c16:filteredLitCache>
                </c:ext>
              </c:extLst>
              <c:f/>
              <c:strCache>
                <c:ptCount val="6"/>
                <c:pt idx="0">
                  <c:v>Audio CD</c:v>
                </c:pt>
                <c:pt idx="1">
                  <c:v>Braille Documents</c:v>
                </c:pt>
                <c:pt idx="2">
                  <c:v>County Support</c:v>
                </c:pt>
                <c:pt idx="3">
                  <c:v>Data CD</c:v>
                </c:pt>
                <c:pt idx="4">
                  <c:v>Large Font NOA</c:v>
                </c:pt>
                <c:pt idx="5">
                  <c:v>No Accommodation is Needed</c:v>
                </c:pt>
              </c:strCache>
            </c:strRef>
          </c:cat>
          <c:val>
            <c:numRef>
              <c:extLst>
                <c:ext xmlns:c15="http://schemas.microsoft.com/office/drawing/2012/chart" uri="{02D57815-91ED-43cb-92C2-25804820EDAC}">
                  <c15:fullRef>
                    <c15:sqref>'Aged, Blind, or Disabled'!$E$72:$E$84</c15:sqref>
                  </c15:fullRef>
                </c:ext>
              </c:extLst>
              <c:f>('Aged, Blind, or Disabled'!$E$73,'Aged, Blind, or Disabled'!$E$75,'Aged, Blind, or Disabled'!$E$77,'Aged, Blind, or Disabled'!$E$79,'Aged, Blind, or Disabled'!$E$81,'Aged, Blind, or Disabled'!$E$83:$E$84)</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CE98-420E-A7A5-B652E74C73D3}"/>
            </c:ext>
          </c:extLst>
        </c:ser>
        <c:ser>
          <c:idx val="1"/>
          <c:order val="1"/>
          <c:tx>
            <c:strRef>
              <c:f>'Aged, Blind, or Disabled'!$F$71</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6"/>
                      <c:pt idx="0">
                        <c:v>Audio CD</c:v>
                      </c:pt>
                      <c:pt idx="2">
                        <c:v>Braille Documents</c:v>
                      </c:pt>
                      <c:pt idx="4">
                        <c:v>County Support</c:v>
                      </c:pt>
                      <c:pt idx="6">
                        <c:v>Data CD</c:v>
                      </c:pt>
                      <c:pt idx="8">
                        <c:v>Large Font NOA</c:v>
                      </c:pt>
                      <c:pt idx="10">
                        <c:v>No Accommodation is Needed</c:v>
                      </c:pt>
                    </c:strCache>
                  </c16:filteredLitCache>
                </c:ext>
              </c:extLst>
              <c:f/>
              <c:strCache>
                <c:ptCount val="6"/>
                <c:pt idx="0">
                  <c:v>Audio CD</c:v>
                </c:pt>
                <c:pt idx="1">
                  <c:v>Braille Documents</c:v>
                </c:pt>
                <c:pt idx="2">
                  <c:v>County Support</c:v>
                </c:pt>
                <c:pt idx="3">
                  <c:v>Data CD</c:v>
                </c:pt>
                <c:pt idx="4">
                  <c:v>Large Font NOA</c:v>
                </c:pt>
                <c:pt idx="5">
                  <c:v>No Accommodation is Needed</c:v>
                </c:pt>
              </c:strCache>
            </c:strRef>
          </c:cat>
          <c:val>
            <c:numRef>
              <c:extLst>
                <c:ext xmlns:c15="http://schemas.microsoft.com/office/drawing/2012/chart" uri="{02D57815-91ED-43cb-92C2-25804820EDAC}">
                  <c15:fullRef>
                    <c15:sqref>'Aged, Blind, or Disabled'!$F$72:$F$84</c15:sqref>
                  </c15:fullRef>
                </c:ext>
              </c:extLst>
              <c:f>('Aged, Blind, or Disabled'!$F$73,'Aged, Blind, or Disabled'!$F$75,'Aged, Blind, or Disabled'!$F$77,'Aged, Blind, or Disabled'!$F$79,'Aged, Blind, or Disabled'!$F$81,'Aged, Blind, or Disabled'!$F$83:$F$84)</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CE98-420E-A7A5-B652E74C73D3}"/>
            </c:ext>
          </c:extLst>
        </c:ser>
        <c:ser>
          <c:idx val="2"/>
          <c:order val="2"/>
          <c:tx>
            <c:strRef>
              <c:f>'Aged, Blind, or Disabled'!$G$71</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6"/>
                      <c:pt idx="0">
                        <c:v>Audio CD</c:v>
                      </c:pt>
                      <c:pt idx="2">
                        <c:v>Braille Documents</c:v>
                      </c:pt>
                      <c:pt idx="4">
                        <c:v>County Support</c:v>
                      </c:pt>
                      <c:pt idx="6">
                        <c:v>Data CD</c:v>
                      </c:pt>
                      <c:pt idx="8">
                        <c:v>Large Font NOA</c:v>
                      </c:pt>
                      <c:pt idx="10">
                        <c:v>No Accommodation is Needed</c:v>
                      </c:pt>
                    </c:strCache>
                  </c16:filteredLitCache>
                </c:ext>
              </c:extLst>
              <c:f/>
              <c:strCache>
                <c:ptCount val="6"/>
                <c:pt idx="0">
                  <c:v>Audio CD</c:v>
                </c:pt>
                <c:pt idx="1">
                  <c:v>Braille Documents</c:v>
                </c:pt>
                <c:pt idx="2">
                  <c:v>County Support</c:v>
                </c:pt>
                <c:pt idx="3">
                  <c:v>Data CD</c:v>
                </c:pt>
                <c:pt idx="4">
                  <c:v>Large Font NOA</c:v>
                </c:pt>
                <c:pt idx="5">
                  <c:v>No Accommodation is Needed</c:v>
                </c:pt>
              </c:strCache>
            </c:strRef>
          </c:cat>
          <c:val>
            <c:numRef>
              <c:extLst>
                <c:ext xmlns:c15="http://schemas.microsoft.com/office/drawing/2012/chart" uri="{02D57815-91ED-43cb-92C2-25804820EDAC}">
                  <c15:fullRef>
                    <c15:sqref>'Aged, Blind, or Disabled'!$G$72:$G$84</c15:sqref>
                  </c15:fullRef>
                </c:ext>
              </c:extLst>
              <c:f>('Aged, Blind, or Disabled'!$G$73,'Aged, Blind, or Disabled'!$G$75,'Aged, Blind, or Disabled'!$G$77,'Aged, Blind, or Disabled'!$G$79,'Aged, Blind, or Disabled'!$G$81,'Aged, Blind, or Disabled'!$G$83:$G$84)</c:f>
              <c:numCache>
                <c:formatCode>0.0%</c:formatCode>
                <c:ptCount val="6"/>
                <c:pt idx="0">
                  <c:v>2.8964610052869899E-3</c:v>
                </c:pt>
                <c:pt idx="1">
                  <c:v>1.1214827182042784E-3</c:v>
                </c:pt>
                <c:pt idx="2">
                  <c:v>2.5802534719587158E-3</c:v>
                </c:pt>
                <c:pt idx="3">
                  <c:v>1.7286011821945646E-4</c:v>
                </c:pt>
                <c:pt idx="4">
                  <c:v>0.37293516480736638</c:v>
                </c:pt>
                <c:pt idx="5">
                  <c:v>0.62029377787896423</c:v>
                </c:pt>
              </c:numCache>
            </c:numRef>
          </c:val>
          <c:extLst>
            <c:ext xmlns:c16="http://schemas.microsoft.com/office/drawing/2014/chart" uri="{C3380CC4-5D6E-409C-BE32-E72D297353CC}">
              <c16:uniqueId val="{00000002-CE98-420E-A7A5-B652E74C73D3}"/>
            </c:ext>
          </c:extLst>
        </c:ser>
        <c:dLbls>
          <c:dLblPos val="outEnd"/>
          <c:showLegendKey val="0"/>
          <c:showVal val="1"/>
          <c:showCatName val="0"/>
          <c:showSerName val="0"/>
          <c:showPercent val="0"/>
          <c:showBubbleSize val="0"/>
        </c:dLbls>
        <c:gapWidth val="42"/>
        <c:overlap val="-10"/>
        <c:axId val="551170824"/>
        <c:axId val="551166888"/>
      </c:barChart>
      <c:catAx>
        <c:axId val="551170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 sourceLinked="1"/>
        <c:majorTickMark val="none"/>
        <c:minorTickMark val="none"/>
        <c:tickLblPos val="nextTo"/>
        <c:crossAx val="551170824"/>
        <c:crosses val="autoZero"/>
        <c:crossBetween val="between"/>
      </c:valAx>
      <c:spPr>
        <a:noFill/>
        <a:ln>
          <a:noFill/>
        </a:ln>
        <a:effectLst/>
      </c:spPr>
    </c:plotArea>
    <c:legend>
      <c:legendPos val="b"/>
      <c:layout>
        <c:manualLayout>
          <c:xMode val="edge"/>
          <c:yMode val="edge"/>
          <c:x val="0.20254280915850148"/>
          <c:y val="0.92335060191711849"/>
          <c:w val="0.59491421289380619"/>
          <c:h val="5.845434713673890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BVI Timesheet Delivery Options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'Aged, Blind, or Disabled'!$J$71</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Telephone Timesheet System</c:v>
                      </c:pt>
                      <c:pt idx="2">
                        <c:v>Large Font Timesheet</c:v>
                      </c:pt>
                      <c:pt idx="4">
                        <c:v>No Accommodation is Needed</c:v>
                      </c:pt>
                    </c:strCache>
                  </c16:filteredLitCache>
                </c:ext>
              </c:extLst>
              <c:f/>
              <c:strCache>
                <c:ptCount val="3"/>
                <c:pt idx="0">
                  <c:v>Telephone Timesheet System</c:v>
                </c:pt>
                <c:pt idx="1">
                  <c:v>Large Font Timesheet</c:v>
                </c:pt>
                <c:pt idx="2">
                  <c:v>No Accommodation is Needed</c:v>
                </c:pt>
              </c:strCache>
            </c:strRef>
          </c:cat>
          <c:val>
            <c:numRef>
              <c:extLst>
                <c:ext xmlns:c15="http://schemas.microsoft.com/office/drawing/2012/chart" uri="{02D57815-91ED-43cb-92C2-25804820EDAC}">
                  <c15:fullRef>
                    <c15:sqref>'Aged, Blind, or Disabled'!$J$72:$J$77</c15:sqref>
                  </c15:fullRef>
                </c:ext>
              </c:extLst>
              <c:f>('Aged, Blind, or Disabled'!$J$73,'Aged, Blind, or Disabled'!$J$75,'Aged, Blind, or Disabled'!$J$77)</c:f>
              <c:numCache>
                <c:formatCode>0.0%</c:formatCode>
                <c:ptCount val="3"/>
                <c:pt idx="0">
                  <c:v>0</c:v>
                </c:pt>
                <c:pt idx="1">
                  <c:v>0</c:v>
                </c:pt>
                <c:pt idx="2">
                  <c:v>0</c:v>
                </c:pt>
              </c:numCache>
            </c:numRef>
          </c:val>
          <c:extLst>
            <c:ext xmlns:c16="http://schemas.microsoft.com/office/drawing/2014/chart" uri="{C3380CC4-5D6E-409C-BE32-E72D297353CC}">
              <c16:uniqueId val="{00000000-CE98-420E-A7A5-B652E74C73D3}"/>
            </c:ext>
          </c:extLst>
        </c:ser>
        <c:ser>
          <c:idx val="1"/>
          <c:order val="1"/>
          <c:tx>
            <c:strRef>
              <c:f>'Aged, Blind, or Disabled'!$K$71</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Telephone Timesheet System</c:v>
                      </c:pt>
                      <c:pt idx="2">
                        <c:v>Large Font Timesheet</c:v>
                      </c:pt>
                      <c:pt idx="4">
                        <c:v>No Accommodation is Needed</c:v>
                      </c:pt>
                    </c:strCache>
                  </c16:filteredLitCache>
                </c:ext>
              </c:extLst>
              <c:f/>
              <c:strCache>
                <c:ptCount val="3"/>
                <c:pt idx="0">
                  <c:v>Telephone Timesheet System</c:v>
                </c:pt>
                <c:pt idx="1">
                  <c:v>Large Font Timesheet</c:v>
                </c:pt>
                <c:pt idx="2">
                  <c:v>No Accommodation is Needed</c:v>
                </c:pt>
              </c:strCache>
            </c:strRef>
          </c:cat>
          <c:val>
            <c:numRef>
              <c:extLst>
                <c:ext xmlns:c15="http://schemas.microsoft.com/office/drawing/2012/chart" uri="{02D57815-91ED-43cb-92C2-25804820EDAC}">
                  <c15:fullRef>
                    <c15:sqref>'Aged, Blind, or Disabled'!$K$72:$K$77</c15:sqref>
                  </c15:fullRef>
                </c:ext>
              </c:extLst>
              <c:f>('Aged, Blind, or Disabled'!$K$73,'Aged, Blind, or Disabled'!$K$75,'Aged, Blind, or Disabled'!$K$77)</c:f>
              <c:numCache>
                <c:formatCode>0.0%</c:formatCode>
                <c:ptCount val="3"/>
                <c:pt idx="0">
                  <c:v>0</c:v>
                </c:pt>
                <c:pt idx="1">
                  <c:v>0</c:v>
                </c:pt>
                <c:pt idx="2">
                  <c:v>0</c:v>
                </c:pt>
              </c:numCache>
            </c:numRef>
          </c:val>
          <c:extLst>
            <c:ext xmlns:c16="http://schemas.microsoft.com/office/drawing/2014/chart" uri="{C3380CC4-5D6E-409C-BE32-E72D297353CC}">
              <c16:uniqueId val="{00000001-CE98-420E-A7A5-B652E74C73D3}"/>
            </c:ext>
          </c:extLst>
        </c:ser>
        <c:ser>
          <c:idx val="2"/>
          <c:order val="2"/>
          <c:tx>
            <c:strRef>
              <c:f>'Aged, Blind, or Disabled'!$L$71</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Telephone Timesheet System</c:v>
                      </c:pt>
                      <c:pt idx="2">
                        <c:v>Large Font Timesheet</c:v>
                      </c:pt>
                      <c:pt idx="4">
                        <c:v>No Accommodation is Needed</c:v>
                      </c:pt>
                    </c:strCache>
                  </c16:filteredLitCache>
                </c:ext>
              </c:extLst>
              <c:f/>
              <c:strCache>
                <c:ptCount val="3"/>
                <c:pt idx="0">
                  <c:v>Telephone Timesheet System</c:v>
                </c:pt>
                <c:pt idx="1">
                  <c:v>Large Font Timesheet</c:v>
                </c:pt>
                <c:pt idx="2">
                  <c:v>No Accommodation is Needed</c:v>
                </c:pt>
              </c:strCache>
            </c:strRef>
          </c:cat>
          <c:val>
            <c:numRef>
              <c:extLst>
                <c:ext xmlns:c15="http://schemas.microsoft.com/office/drawing/2012/chart" uri="{02D57815-91ED-43cb-92C2-25804820EDAC}">
                  <c15:fullRef>
                    <c15:sqref>'Aged, Blind, or Disabled'!$L$72:$L$77</c15:sqref>
                  </c15:fullRef>
                </c:ext>
              </c:extLst>
              <c:f>('Aged, Blind, or Disabled'!$L$73,'Aged, Blind, or Disabled'!$L$75,'Aged, Blind, or Disabled'!$L$77)</c:f>
              <c:numCache>
                <c:formatCode>0.0%</c:formatCode>
                <c:ptCount val="3"/>
                <c:pt idx="0">
                  <c:v>8.9845100469673582E-3</c:v>
                </c:pt>
                <c:pt idx="1">
                  <c:v>7.2550656446839196E-2</c:v>
                </c:pt>
                <c:pt idx="2">
                  <c:v>0.91846483350619346</c:v>
                </c:pt>
              </c:numCache>
            </c:numRef>
          </c:val>
          <c:extLst>
            <c:ext xmlns:c16="http://schemas.microsoft.com/office/drawing/2014/chart" uri="{C3380CC4-5D6E-409C-BE32-E72D297353CC}">
              <c16:uniqueId val="{00000002-CE98-420E-A7A5-B652E74C73D3}"/>
            </c:ext>
          </c:extLst>
        </c:ser>
        <c:dLbls>
          <c:dLblPos val="outEnd"/>
          <c:showLegendKey val="0"/>
          <c:showVal val="1"/>
          <c:showCatName val="0"/>
          <c:showSerName val="0"/>
          <c:showPercent val="0"/>
          <c:showBubbleSize val="0"/>
        </c:dLbls>
        <c:gapWidth val="62"/>
        <c:overlap val="-10"/>
        <c:axId val="551170824"/>
        <c:axId val="551166888"/>
      </c:barChart>
      <c:catAx>
        <c:axId val="551170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 sourceLinked="1"/>
        <c:majorTickMark val="none"/>
        <c:minorTickMark val="none"/>
        <c:tickLblPos val="nextTo"/>
        <c:crossAx val="551170824"/>
        <c:crosses val="autoZero"/>
        <c:crossBetween val="between"/>
      </c:valAx>
      <c:spPr>
        <a:noFill/>
        <a:ln>
          <a:noFill/>
        </a:ln>
        <a:effectLst/>
      </c:spPr>
    </c:plotArea>
    <c:legend>
      <c:legendPos val="b"/>
      <c:layout>
        <c:manualLayout>
          <c:xMode val="edge"/>
          <c:yMode val="edge"/>
          <c:x val="0.19298111929557193"/>
          <c:y val="0.92340634693390611"/>
          <c:w val="0.61403759207518405"/>
          <c:h val="5.841183488427582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u="none" strike="noStrike" baseline="0">
                <a:effectLst/>
              </a:rPr>
              <a:t>Recipients: Blind and Visually Impaired</a:t>
            </a:r>
          </a:p>
          <a:p>
            <a:pPr>
              <a:defRPr sz="1200">
                <a:solidFill>
                  <a:sysClr val="windowText" lastClr="000000"/>
                </a:solidFill>
              </a:defRPr>
            </a:pPr>
            <a:r>
              <a:rPr lang="en-US"/>
              <a:t>(BVI)</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'Aged, Blind, or Disabled'!$E$43</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'Aged, Blind, or Disabled'!$D$44:$D$45</c15:sqref>
                  </c15:fullRef>
                </c:ext>
              </c:extLst>
              <c:f>'Aged, Blind, or Disabled'!$D$45</c:f>
              <c:strCache>
                <c:ptCount val="1"/>
                <c:pt idx="0">
                  <c:v> % of Total Recipients </c:v>
                </c:pt>
              </c:strCache>
            </c:strRef>
          </c:cat>
          <c:val>
            <c:numRef>
              <c:extLst>
                <c:ext xmlns:c15="http://schemas.microsoft.com/office/drawing/2012/chart" uri="{02D57815-91ED-43cb-92C2-25804820EDAC}">
                  <c15:fullRef>
                    <c15:sqref>'Aged, Blind, or Disabled'!$E$44:$E$45</c15:sqref>
                  </c15:fullRef>
                </c:ext>
              </c:extLst>
              <c:f>'Aged, Blind, or Disabled'!$E$45</c:f>
              <c:numCache>
                <c:formatCode>0.0%</c:formatCode>
                <c:ptCount val="1"/>
                <c:pt idx="0">
                  <c:v>0</c:v>
                </c:pt>
              </c:numCache>
            </c:numRef>
          </c:val>
          <c:extLst>
            <c:ext xmlns:c16="http://schemas.microsoft.com/office/drawing/2014/chart" uri="{C3380CC4-5D6E-409C-BE32-E72D297353CC}">
              <c16:uniqueId val="{00000000-D0EF-4E2C-A584-D0ED90B8C6C2}"/>
            </c:ext>
          </c:extLst>
        </c:ser>
        <c:ser>
          <c:idx val="1"/>
          <c:order val="1"/>
          <c:tx>
            <c:strRef>
              <c:f>'Aged, Blind, or Disabled'!$F$43</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'Aged, Blind, or Disabled'!$D$44:$D$45</c15:sqref>
                  </c15:fullRef>
                </c:ext>
              </c:extLst>
              <c:f>'Aged, Blind, or Disabled'!$D$45</c:f>
              <c:strCache>
                <c:ptCount val="1"/>
                <c:pt idx="0">
                  <c:v> % of Total Recipients </c:v>
                </c:pt>
              </c:strCache>
            </c:strRef>
          </c:cat>
          <c:val>
            <c:numRef>
              <c:extLst>
                <c:ext xmlns:c15="http://schemas.microsoft.com/office/drawing/2012/chart" uri="{02D57815-91ED-43cb-92C2-25804820EDAC}">
                  <c15:fullRef>
                    <c15:sqref>'Aged, Blind, or Disabled'!$F$44:$F$45</c15:sqref>
                  </c15:fullRef>
                </c:ext>
              </c:extLst>
              <c:f>'Aged, Blind, or Disabled'!$F$45</c:f>
              <c:numCache>
                <c:formatCode>0.0%</c:formatCode>
                <c:ptCount val="1"/>
                <c:pt idx="0">
                  <c:v>0</c:v>
                </c:pt>
              </c:numCache>
            </c:numRef>
          </c:val>
          <c:extLst>
            <c:ext xmlns:c16="http://schemas.microsoft.com/office/drawing/2014/chart" uri="{C3380CC4-5D6E-409C-BE32-E72D297353CC}">
              <c16:uniqueId val="{00000001-D0EF-4E2C-A584-D0ED90B8C6C2}"/>
            </c:ext>
          </c:extLst>
        </c:ser>
        <c:ser>
          <c:idx val="2"/>
          <c:order val="2"/>
          <c:tx>
            <c:strRef>
              <c:f>'Aged, Blind, or Disabled'!$G$43</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'Aged, Blind, or Disabled'!$D$44:$D$45</c15:sqref>
                  </c15:fullRef>
                </c:ext>
              </c:extLst>
              <c:f>'Aged, Blind, or Disabled'!$D$45</c:f>
              <c:strCache>
                <c:ptCount val="1"/>
                <c:pt idx="0">
                  <c:v> % of Total Recipients </c:v>
                </c:pt>
              </c:strCache>
            </c:strRef>
          </c:cat>
          <c:val>
            <c:numRef>
              <c:extLst>
                <c:ext xmlns:c15="http://schemas.microsoft.com/office/drawing/2012/chart" uri="{02D57815-91ED-43cb-92C2-25804820EDAC}">
                  <c15:fullRef>
                    <c15:sqref>'Aged, Blind, or Disabled'!$G$44:$G$45</c15:sqref>
                  </c15:fullRef>
                </c:ext>
              </c:extLst>
              <c:f>'Aged, Blind, or Disabled'!$G$45</c:f>
              <c:numCache>
                <c:formatCode>0.0%</c:formatCode>
                <c:ptCount val="1"/>
                <c:pt idx="0">
                  <c:v>0.32167443323912182</c:v>
                </c:pt>
              </c:numCache>
            </c:numRef>
          </c:val>
          <c:extLst>
            <c:ext xmlns:c16="http://schemas.microsoft.com/office/drawing/2014/chart" uri="{C3380CC4-5D6E-409C-BE32-E72D297353CC}">
              <c16:uniqueId val="{00000002-D0EF-4E2C-A584-D0ED90B8C6C2}"/>
            </c:ext>
          </c:extLst>
        </c:ser>
        <c:dLbls>
          <c:showLegendKey val="0"/>
          <c:showVal val="0"/>
          <c:showCatName val="0"/>
          <c:showSerName val="0"/>
          <c:showPercent val="0"/>
          <c:showBubbleSize val="0"/>
        </c:dLbls>
        <c:gapWidth val="211"/>
        <c:overlap val="-100"/>
        <c:axId val="453211992"/>
        <c:axId val="453216584"/>
      </c:barChart>
      <c:catAx>
        <c:axId val="453211992"/>
        <c:scaling>
          <c:orientation val="minMax"/>
        </c:scaling>
        <c:delete val="1"/>
        <c:axPos val="b"/>
        <c:numFmt formatCode="General" sourceLinked="1"/>
        <c:majorTickMark val="none"/>
        <c:minorTickMark val="none"/>
        <c:tickLblPos val="nextTo"/>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15727946240762461"/>
          <c:y val="0.86300322215820569"/>
          <c:w val="0.65943634705236309"/>
          <c:h val="0.10447645263854213"/>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New Applications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County Population) (Top 10)</a:t>
            </a:r>
          </a:p>
        </c:rich>
      </c:tx>
      <c:layout>
        <c:manualLayout>
          <c:xMode val="edge"/>
          <c:yMode val="edge"/>
          <c:x val="0.3143610304652017"/>
          <c:y val="2.301400709490990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720413466395578E-2"/>
          <c:y val="0.13781552767712069"/>
          <c:w val="0.9160301220832765"/>
          <c:h val="0.45962984859233147"/>
        </c:manualLayout>
      </c:layout>
      <c:lineChart>
        <c:grouping val="standard"/>
        <c:varyColors val="0"/>
        <c:ser>
          <c:idx val="1"/>
          <c:order val="1"/>
          <c:tx>
            <c:v>New Applications</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strRef>
              <c:f>'Program Equity'!$D$33:$D$51</c:f>
            </c:strRef>
          </c:cat>
          <c:val>
            <c:numRef>
              <c:f>'Program Equity'!$F$33:$F$42</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C278-4760-B19C-8FD894D8D75E}"/>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strRef>
              <c:f>'Program Equity'!$D$33:$D$51</c:f>
            </c:strRef>
          </c:cat>
          <c:val>
            <c:numRef>
              <c:f>'Program Equity'!$H$33:$H$42</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1B-C278-4760-B19C-8FD894D8D75E}"/>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'Program Equity'!$D$33:$D$51</c15:sqref>
                        </c15:formulaRef>
                      </c:ext>
                    </c:extLst>
                  </c: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C278-4760-B19C-8FD894D8D75E}"/>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15"/>
        <c:noMultiLvlLbl val="0"/>
      </c:catAx>
      <c:valAx>
        <c:axId val="630022392"/>
        <c:scaling>
          <c:orientation val="minMax"/>
          <c:min val="-5.000000000000001E-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402976507843616"/>
          <c:y val="0.18974135153087751"/>
          <c:w val="0.25017959083344343"/>
          <c:h val="0.134559780018469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New Applications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Statewide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30095556770225484"/>
          <c:y val="1.837978777998372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2542977155998093E-2"/>
          <c:y val="9.3152511074455616E-2"/>
          <c:w val="0.8907893959315123"/>
          <c:h val="0.52994745469069326"/>
        </c:manualLayout>
      </c:layout>
      <c:lineChart>
        <c:grouping val="standard"/>
        <c:varyColors val="0"/>
        <c:ser>
          <c:idx val="1"/>
          <c:order val="1"/>
          <c:tx>
            <c:v>New Applications</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strRef>
              <c:f>'Program Equity'!$K$33:$K$51</c:f>
            </c:strRef>
          </c:cat>
          <c:val>
            <c:numRef>
              <c:f>'Program Equity'!$M$33:$M$42</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1392-48DD-9026-F7ACB6C65A15}"/>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strRef>
              <c:f>'Program Equity'!$K$33:$K$51</c:f>
            </c:strRef>
          </c:cat>
          <c:val>
            <c:numRef>
              <c:f>'Program Equity'!$O$33:$O$42</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1392-48DD-9026-F7ACB6C65A15}"/>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'Program Equity'!$K$33:$K$51</c15:sqref>
                        </c15:formulaRef>
                      </c:ext>
                    </c:extLst>
                  </c: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1392-48DD-9026-F7ACB6C65A15}"/>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60"/>
        <c:noMultiLvlLbl val="0"/>
      </c:catAx>
      <c:valAx>
        <c:axId val="6300223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5553540492886861"/>
          <c:y val="0.19076908338013068"/>
          <c:w val="0.22073061657493281"/>
          <c:h val="0.1405510298303778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Denials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County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3565265658722741"/>
          <c:y val="1.638396413942889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5574128819793945E-2"/>
          <c:y val="0.15427383204427522"/>
          <c:w val="0.8892866989377517"/>
          <c:h val="0.41354683434170336"/>
        </c:manualLayout>
      </c:layout>
      <c:lineChart>
        <c:grouping val="standard"/>
        <c:varyColors val="0"/>
        <c:ser>
          <c:idx val="1"/>
          <c:order val="1"/>
          <c:tx>
            <c:v>Denials</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Equity'!$D$80:$D$98</c:f>
            </c:multiLvlStrRef>
          </c:cat>
          <c:val>
            <c:numRef>
              <c:f>'Program Equity'!$F$80:$F$89</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F39C-4022-A265-7C85C3A5C682}"/>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Equity'!$D$80:$D$98</c:f>
            </c:multiLvlStrRef>
          </c:cat>
          <c:val>
            <c:numRef>
              <c:f>'Program Equity'!$H$80:$H$89</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F39C-4022-A265-7C85C3A5C682}"/>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Equity'!$D$80:$D$98</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F39C-4022-A265-7C85C3A5C682}"/>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15"/>
        <c:noMultiLvlLbl val="0"/>
      </c:catAx>
      <c:valAx>
        <c:axId val="630022392"/>
        <c:scaling>
          <c:orientation val="minMax"/>
          <c:min val="-5.000000000000001E-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80619682213679189"/>
          <c:y val="0.18974135153087751"/>
          <c:w val="0.18428041082847046"/>
          <c:h val="0.134559780018469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Denials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Statewide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36193117745835235"/>
          <c:y val="2.16660930857188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3162114116598467E-2"/>
          <c:y val="0.13262574904430594"/>
          <c:w val="0.90017025897091196"/>
          <c:h val="0.44179609873276254"/>
        </c:manualLayout>
      </c:layout>
      <c:lineChart>
        <c:grouping val="standard"/>
        <c:varyColors val="0"/>
        <c:ser>
          <c:idx val="1"/>
          <c:order val="1"/>
          <c:tx>
            <c:v>Denials</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Equity'!$K$80:$K$98</c:f>
            </c:multiLvlStrRef>
          </c:cat>
          <c:val>
            <c:numRef>
              <c:f>'Program Equity'!$M$80:$M$89</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B433-45D8-9AF9-8C19AF3735D2}"/>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Equity'!$K$80:$K$98</c:f>
            </c:multiLvlStrRef>
          </c:cat>
          <c:val>
            <c:numRef>
              <c:f>'Program Equity'!$O$80:$O$89</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B433-45D8-9AF9-8C19AF3735D2}"/>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Equity'!$K$80:$K$98</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B433-45D8-9AF9-8C19AF3735D2}"/>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60"/>
        <c:noMultiLvlLbl val="0"/>
      </c:catAx>
      <c:valAx>
        <c:axId val="6300223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8678543307086612"/>
          <c:y val="0.20131692049901206"/>
          <c:w val="0.18948056102362204"/>
          <c:h val="0.1354478266329056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Authorized Hours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County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3109732112898913"/>
          <c:y val="2.295105459844966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5574128819793945E-2"/>
          <c:y val="0.15427383204427522"/>
          <c:w val="0.8892866989377517"/>
          <c:h val="0.41354683434170336"/>
        </c:manualLayout>
      </c:layout>
      <c:lineChart>
        <c:grouping val="standard"/>
        <c:varyColors val="0"/>
        <c:ser>
          <c:idx val="1"/>
          <c:order val="1"/>
          <c:tx>
            <c:v>Authorized Hours</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Equity'!$D$129:$D$147</c:f>
            </c:multiLvlStrRef>
          </c:cat>
          <c:val>
            <c:numRef>
              <c:f>'Program Equity'!$F$129:$F$138</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4366-4E1E-8E20-86EFADE30D5D}"/>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Equity'!$D$129:$D$147</c:f>
            </c:multiLvlStrRef>
          </c:cat>
          <c:val>
            <c:numRef>
              <c:f>'Program Equity'!$H$129:$H$138</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4366-4E1E-8E20-86EFADE30D5D}"/>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Equity'!$D$129:$D$147</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4366-4E1E-8E20-86EFADE30D5D}"/>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15"/>
        <c:noMultiLvlLbl val="0"/>
      </c:catAx>
      <c:valAx>
        <c:axId val="630022392"/>
        <c:scaling>
          <c:orientation val="minMax"/>
          <c:min val="-5.000000000000001E-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402976507843616"/>
          <c:y val="0.18974135153087751"/>
          <c:w val="0.25017959083344343"/>
          <c:h val="0.134559780018469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Authorized Hours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Statewide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32753467964722044"/>
          <c:y val="2.166817276745372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3162114116598467E-2"/>
          <c:y val="0.13262574904430594"/>
          <c:w val="0.90017025897091196"/>
          <c:h val="0.44179609873276254"/>
        </c:manualLayout>
      </c:layout>
      <c:lineChart>
        <c:grouping val="standard"/>
        <c:varyColors val="0"/>
        <c:ser>
          <c:idx val="1"/>
          <c:order val="1"/>
          <c:tx>
            <c:v>Authorized Hours</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Equity'!$K$129:$K$147</c:f>
            </c:multiLvlStrRef>
          </c:cat>
          <c:val>
            <c:numRef>
              <c:f>'Program Equity'!$M$129:$M$138</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25A1-4E9D-9304-F93712F35DF2}"/>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Equity'!$K$129:$K$147</c:f>
            </c:multiLvlStrRef>
          </c:cat>
          <c:val>
            <c:numRef>
              <c:f>'Program Equity'!$O$129:$O$138</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25A1-4E9D-9304-F93712F35DF2}"/>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Equity'!$K$129:$K$147</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25A1-4E9D-9304-F93712F35DF2}"/>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60"/>
        <c:noMultiLvlLbl val="0"/>
      </c:catAx>
      <c:valAx>
        <c:axId val="6300223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5553543707033477"/>
          <c:y val="0.17135363627828176"/>
          <c:w val="0.22073061657493281"/>
          <c:h val="0.1567990027094755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Severely Impaired (SI) &amp; Non-Severely Impaired (NSI) Recipients</a:t>
            </a:r>
          </a:p>
        </c:rich>
      </c:tx>
      <c:layout>
        <c:manualLayout>
          <c:xMode val="edge"/>
          <c:yMode val="edge"/>
          <c:x val="0.1445676539564785"/>
          <c:y val="1.470011561054867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200548851074221E-2"/>
          <c:y val="0.23325912385951755"/>
          <c:w val="0.94959908361970213"/>
          <c:h val="0.46276598237720296"/>
        </c:manualLayout>
      </c:layout>
      <c:barChart>
        <c:barDir val="col"/>
        <c:grouping val="clustered"/>
        <c:varyColors val="0"/>
        <c:ser>
          <c:idx val="0"/>
          <c:order val="0"/>
          <c:tx>
            <c:strRef>
              <c:f>'General Data'!$E$44</c:f>
              <c:strCache>
                <c:ptCount val="1"/>
              </c:strCache>
            </c:strRef>
          </c:tx>
          <c:spPr>
            <a:solidFill>
              <a:srgbClr val="5B9BD5">
                <a:lumMod val="50000"/>
              </a:srgb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SI Recipients</c:v>
                      </c:pt>
                      <c:pt idx="2">
                        <c:v>NSI Recipients</c:v>
                      </c:pt>
                    </c:strCache>
                  </c16:filteredLitCache>
                </c:ext>
              </c:extLst>
              <c:f/>
              <c:strCache>
                <c:ptCount val="2"/>
                <c:pt idx="0">
                  <c:v>SI Recipients</c:v>
                </c:pt>
                <c:pt idx="1">
                  <c:v>NSI Recipients</c:v>
                </c:pt>
              </c:strCache>
            </c:strRef>
          </c:cat>
          <c:val>
            <c:numRef>
              <c:extLst>
                <c:ext xmlns:c15="http://schemas.microsoft.com/office/drawing/2012/chart" uri="{02D57815-91ED-43cb-92C2-25804820EDAC}">
                  <c15:fullRef>
                    <c15:sqref>'General Data'!$E$45:$E$48</c15:sqref>
                  </c15:fullRef>
                </c:ext>
              </c:extLst>
              <c:f>('General Data'!$E$46,'General Data'!$E$48)</c:f>
              <c:numCache>
                <c:formatCode>0.0%</c:formatCode>
                <c:ptCount val="2"/>
                <c:pt idx="0">
                  <c:v>0</c:v>
                </c:pt>
                <c:pt idx="1">
                  <c:v>0</c:v>
                </c:pt>
              </c:numCache>
            </c:numRef>
          </c:val>
          <c:extLst>
            <c:ext xmlns:c16="http://schemas.microsoft.com/office/drawing/2014/chart" uri="{C3380CC4-5D6E-409C-BE32-E72D297353CC}">
              <c16:uniqueId val="{00000000-6E5A-4C9B-B5EA-13808D3DFD1F}"/>
            </c:ext>
          </c:extLst>
        </c:ser>
        <c:ser>
          <c:idx val="1"/>
          <c:order val="1"/>
          <c:tx>
            <c:strRef>
              <c:f>'General Data'!$F$44</c:f>
              <c:strCache>
                <c:ptCount val="1"/>
              </c:strCache>
            </c:strRef>
          </c:tx>
          <c:spPr>
            <a:solidFill>
              <a:srgbClr val="C75211"/>
            </a:solidFill>
            <a:ln>
              <a:noFill/>
            </a:ln>
            <a:effectLst/>
          </c:spPr>
          <c:invertIfNegative val="0"/>
          <c:dLbls>
            <c:numFmt formatCode="0%" sourceLinked="0"/>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SI Recipients</c:v>
                      </c:pt>
                      <c:pt idx="2">
                        <c:v>NSI Recipients</c:v>
                      </c:pt>
                    </c:strCache>
                  </c16:filteredLitCache>
                </c:ext>
              </c:extLst>
              <c:f/>
              <c:strCache>
                <c:ptCount val="2"/>
                <c:pt idx="0">
                  <c:v>SI Recipients</c:v>
                </c:pt>
                <c:pt idx="1">
                  <c:v>NSI Recipients</c:v>
                </c:pt>
              </c:strCache>
            </c:strRef>
          </c:cat>
          <c:val>
            <c:numRef>
              <c:extLst>
                <c:ext xmlns:c15="http://schemas.microsoft.com/office/drawing/2012/chart" uri="{02D57815-91ED-43cb-92C2-25804820EDAC}">
                  <c15:fullRef>
                    <c15:sqref>'General Data'!$F$45:$F$48</c15:sqref>
                  </c15:fullRef>
                </c:ext>
              </c:extLst>
              <c:f>('General Data'!$F$46,'General Data'!$F$48)</c:f>
              <c:numCache>
                <c:formatCode>0.0%</c:formatCode>
                <c:ptCount val="2"/>
                <c:pt idx="0">
                  <c:v>0</c:v>
                </c:pt>
                <c:pt idx="1">
                  <c:v>0</c:v>
                </c:pt>
              </c:numCache>
            </c:numRef>
          </c:val>
          <c:extLst>
            <c:ext xmlns:c16="http://schemas.microsoft.com/office/drawing/2014/chart" uri="{C3380CC4-5D6E-409C-BE32-E72D297353CC}">
              <c16:uniqueId val="{00000001-6E5A-4C9B-B5EA-13808D3DFD1F}"/>
            </c:ext>
          </c:extLst>
        </c:ser>
        <c:ser>
          <c:idx val="2"/>
          <c:order val="2"/>
          <c:tx>
            <c:strRef>
              <c:f>'General Data'!$G$44</c:f>
              <c:strCache>
                <c:ptCount val="1"/>
                <c:pt idx="0">
                  <c:v>Statewide</c:v>
                </c:pt>
              </c:strCache>
            </c:strRef>
          </c:tx>
          <c:spPr>
            <a:solidFill>
              <a:srgbClr val="6E6E6E"/>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SI Recipients</c:v>
                      </c:pt>
                      <c:pt idx="2">
                        <c:v>NSI Recipients</c:v>
                      </c:pt>
                    </c:strCache>
                  </c16:filteredLitCache>
                </c:ext>
              </c:extLst>
              <c:f/>
              <c:strCache>
                <c:ptCount val="2"/>
                <c:pt idx="0">
                  <c:v>SI Recipients</c:v>
                </c:pt>
                <c:pt idx="1">
                  <c:v>NSI Recipients</c:v>
                </c:pt>
              </c:strCache>
            </c:strRef>
          </c:cat>
          <c:val>
            <c:numRef>
              <c:extLst>
                <c:ext xmlns:c15="http://schemas.microsoft.com/office/drawing/2012/chart" uri="{02D57815-91ED-43cb-92C2-25804820EDAC}">
                  <c15:fullRef>
                    <c15:sqref>'General Data'!$G$45:$G$48</c15:sqref>
                  </c15:fullRef>
                </c:ext>
              </c:extLst>
              <c:f>('General Data'!$G$46,'General Data'!$G$48)</c:f>
              <c:numCache>
                <c:formatCode>0.0%</c:formatCode>
                <c:ptCount val="2"/>
                <c:pt idx="0">
                  <c:v>0.35526915377813462</c:v>
                </c:pt>
                <c:pt idx="1">
                  <c:v>0.64143389552829866</c:v>
                </c:pt>
              </c:numCache>
            </c:numRef>
          </c:val>
          <c:extLst>
            <c:ext xmlns:c16="http://schemas.microsoft.com/office/drawing/2014/chart" uri="{C3380CC4-5D6E-409C-BE32-E72D297353CC}">
              <c16:uniqueId val="{00000002-6E5A-4C9B-B5EA-13808D3DFD1F}"/>
            </c:ext>
          </c:extLst>
        </c:ser>
        <c:dLbls>
          <c:showLegendKey val="0"/>
          <c:showVal val="0"/>
          <c:showCatName val="0"/>
          <c:showSerName val="0"/>
          <c:showPercent val="0"/>
          <c:showBubbleSize val="0"/>
        </c:dLbls>
        <c:gapWidth val="201"/>
        <c:overlap val="-4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8.7226637769386384E-2"/>
          <c:y val="0.8128034776902886"/>
          <c:w val="0.82127821036750859"/>
          <c:h val="0.10189374420925836"/>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Protective Supervision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County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28431436034119356"/>
          <c:y val="1.30956667276674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5574128819793945E-2"/>
          <c:y val="0.15427383204427522"/>
          <c:w val="0.8892866989377517"/>
          <c:h val="0.41354683434170336"/>
        </c:manualLayout>
      </c:layout>
      <c:lineChart>
        <c:grouping val="standard"/>
        <c:varyColors val="0"/>
        <c:ser>
          <c:idx val="1"/>
          <c:order val="1"/>
          <c:tx>
            <c:v>Protective Supervision</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Equity'!$D$177:$D$195</c:f>
            </c:multiLvlStrRef>
          </c:cat>
          <c:val>
            <c:numRef>
              <c:f>'Program Equity'!$F$177:$F$186</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AA35-4918-A18E-E62197485049}"/>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Equity'!$D$177:$D$195</c:f>
            </c:multiLvlStrRef>
          </c:cat>
          <c:val>
            <c:numRef>
              <c:f>'Program Equity'!$H$177:$H$186</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AA35-4918-A18E-E62197485049}"/>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Equity'!$D$177:$D$195</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AA35-4918-A18E-E62197485049}"/>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15"/>
        <c:noMultiLvlLbl val="0"/>
      </c:catAx>
      <c:valAx>
        <c:axId val="630022392"/>
        <c:scaling>
          <c:orientation val="minMax"/>
          <c:min val="-5.000000000000001E-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402976507843616"/>
          <c:y val="0.18974135153087751"/>
          <c:w val="0.25017959083344343"/>
          <c:h val="0.134559780018469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Protective Supervision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Statewide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30095556770225484"/>
          <c:y val="1.837977381605223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3162114116598467E-2"/>
          <c:y val="0.13262574904430594"/>
          <c:w val="0.90017025897091196"/>
          <c:h val="0.44179609873276254"/>
        </c:manualLayout>
      </c:layout>
      <c:lineChart>
        <c:grouping val="standard"/>
        <c:varyColors val="0"/>
        <c:ser>
          <c:idx val="1"/>
          <c:order val="1"/>
          <c:tx>
            <c:v>Protective Supervision</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Equity'!$K$177:$K$195</c:f>
            </c:multiLvlStrRef>
          </c:cat>
          <c:val>
            <c:numRef>
              <c:f>'Program Equity'!$M$177:$M$186</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F5DB-4C8E-803D-371E71038DDA}"/>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Equity'!$K$177:$K$195</c:f>
            </c:multiLvlStrRef>
          </c:cat>
          <c:val>
            <c:numRef>
              <c:f>'Program Equity'!$O$177:$O$186</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F5DB-4C8E-803D-371E71038DDA}"/>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Equity'!$K$177:$K$195</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F5DB-4C8E-803D-371E71038DDA}"/>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60"/>
        <c:noMultiLvlLbl val="0"/>
      </c:catAx>
      <c:valAx>
        <c:axId val="6300223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1178543307086617"/>
          <c:y val="0.17135363627828176"/>
          <c:w val="0.26448056102362205"/>
          <c:h val="0.156784276399839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Paramedical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County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32671588587907024"/>
          <c:y val="2.296415845528348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5574128819793945E-2"/>
          <c:y val="0.15427383204427522"/>
          <c:w val="0.8892866989377517"/>
          <c:h val="0.41354683434170336"/>
        </c:manualLayout>
      </c:layout>
      <c:lineChart>
        <c:grouping val="standard"/>
        <c:varyColors val="0"/>
        <c:ser>
          <c:idx val="1"/>
          <c:order val="1"/>
          <c:tx>
            <c:v>Paramedical</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Equity'!$D$226:$D$244</c:f>
            </c:multiLvlStrRef>
          </c:cat>
          <c:val>
            <c:numRef>
              <c:f>'Program Equity'!$F$226:$F$235</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35B5-43CC-930E-8A48669B734B}"/>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Equity'!$D$226:$D$244</c:f>
            </c:multiLvlStrRef>
          </c:cat>
          <c:val>
            <c:numRef>
              <c:f>'Program Equity'!$H$226:$H$235</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35B5-43CC-930E-8A48669B734B}"/>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Equity'!$D$226:$D$244</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35B5-43CC-930E-8A48669B734B}"/>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15"/>
        <c:noMultiLvlLbl val="0"/>
      </c:catAx>
      <c:valAx>
        <c:axId val="630022392"/>
        <c:scaling>
          <c:orientation val="minMax"/>
          <c:min val="-5.000000000000001E-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402976507843616"/>
          <c:y val="0.18974135153087751"/>
          <c:w val="0.25017959083344343"/>
          <c:h val="0.134559780018469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Paramedical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Statewide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33535206551338681"/>
          <c:y val="2.166701201823456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3162114116598467E-2"/>
          <c:y val="0.13262574904430594"/>
          <c:w val="0.90017025897091196"/>
          <c:h val="0.44179609873276254"/>
        </c:manualLayout>
      </c:layout>
      <c:lineChart>
        <c:grouping val="standard"/>
        <c:varyColors val="0"/>
        <c:ser>
          <c:idx val="1"/>
          <c:order val="1"/>
          <c:tx>
            <c:v>Paramedical</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Equity'!$K$226:$K$244</c:f>
            </c:multiLvlStrRef>
          </c:cat>
          <c:val>
            <c:numRef>
              <c:f>'Program Equity'!$M$226:$M$235</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CC06-401E-959B-94595BFB05ED}"/>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Equity'!$K$226:$K$244</c:f>
            </c:multiLvlStrRef>
          </c:cat>
          <c:val>
            <c:numRef>
              <c:f>'Program Equity'!$O$226:$O$235</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CC06-401E-959B-94595BFB05ED}"/>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Equity'!$K$226:$K$244</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CC06-401E-959B-94595BFB05ED}"/>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60"/>
        <c:noMultiLvlLbl val="0"/>
      </c:catAx>
      <c:valAx>
        <c:axId val="6300223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5553543707033477"/>
          <c:y val="0.2146582068647149"/>
          <c:w val="0.22073061657493281"/>
          <c:h val="0.145404376085234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Non-Severely Impaired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County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2811694167076263"/>
          <c:y val="1.30955033225870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5574128819793945E-2"/>
          <c:y val="0.15427383204427522"/>
          <c:w val="0.8892866989377517"/>
          <c:h val="0.41354683434170336"/>
        </c:manualLayout>
      </c:layout>
      <c:lineChart>
        <c:grouping val="standard"/>
        <c:varyColors val="0"/>
        <c:ser>
          <c:idx val="1"/>
          <c:order val="1"/>
          <c:tx>
            <c:v>Non-Severely Impaired</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Equity'!$D$274:$D$292</c:f>
            </c:multiLvlStrRef>
          </c:cat>
          <c:val>
            <c:numRef>
              <c:f>'Program Equity'!$F$274:$F$283</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3A98-47CE-90E2-0E8D1C1FDE90}"/>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Equity'!$D$274:$D$292</c:f>
            </c:multiLvlStrRef>
          </c:cat>
          <c:val>
            <c:numRef>
              <c:f>'Program Equity'!$H$274:$H$283</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3A98-47CE-90E2-0E8D1C1FDE90}"/>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Equity'!$D$274:$D$292</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3A98-47CE-90E2-0E8D1C1FDE90}"/>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15"/>
        <c:noMultiLvlLbl val="0"/>
      </c:catAx>
      <c:valAx>
        <c:axId val="630022392"/>
        <c:scaling>
          <c:orientation val="minMax"/>
          <c:min val="-5.000000000000001E-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402976507843616"/>
          <c:y val="0.18974135153087751"/>
          <c:w val="0.25017959083344343"/>
          <c:h val="0.134559780018469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Non-Severely Impaired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Statewide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30720947639518792"/>
          <c:y val="2.166934314131786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3162114116598467E-2"/>
          <c:y val="0.13262574904430594"/>
          <c:w val="0.90017025897091196"/>
          <c:h val="0.44179609873276254"/>
        </c:manualLayout>
      </c:layout>
      <c:lineChart>
        <c:grouping val="standard"/>
        <c:varyColors val="0"/>
        <c:ser>
          <c:idx val="1"/>
          <c:order val="1"/>
          <c:tx>
            <c:v>Non-Severely Impaired</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Equity'!$K$274:$K$292</c:f>
            </c:multiLvlStrRef>
          </c:cat>
          <c:val>
            <c:numRef>
              <c:f>'Program Equity'!$M$274:$M$283</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6838-402F-9522-4769916A0839}"/>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Equity'!$K$274:$K$292</c:f>
            </c:multiLvlStrRef>
          </c:cat>
          <c:val>
            <c:numRef>
              <c:f>'Program Equity'!$O$274:$O$283</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6838-402F-9522-4769916A0839}"/>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Equity'!$K$274:$K$292</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6838-402F-9522-4769916A0839}"/>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60"/>
        <c:noMultiLvlLbl val="0"/>
      </c:catAx>
      <c:valAx>
        <c:axId val="6300223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2272490157480329"/>
          <c:y val="0.1907209629784011"/>
          <c:w val="0.25354109251968504"/>
          <c:h val="0.134247393543205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Severely Impaired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County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24193955154680791"/>
          <c:y val="1.309562468834181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5574128819793945E-2"/>
          <c:y val="0.15427383204427522"/>
          <c:w val="0.8892866989377517"/>
          <c:h val="0.41354683434170336"/>
        </c:manualLayout>
      </c:layout>
      <c:lineChart>
        <c:grouping val="standard"/>
        <c:varyColors val="0"/>
        <c:ser>
          <c:idx val="1"/>
          <c:order val="1"/>
          <c:tx>
            <c:v>Severely Impaired</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Equity'!$D$322:$D$340</c:f>
            </c:multiLvlStrRef>
          </c:cat>
          <c:val>
            <c:numRef>
              <c:f>'Program Equity'!$F$322:$F$331</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B5E4-42E2-B423-ED62A11545CB}"/>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Equity'!$D$322:$D$340</c:f>
            </c:multiLvlStrRef>
          </c:cat>
          <c:val>
            <c:numRef>
              <c:f>'Program Equity'!$H$322:$H$331</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B5E4-42E2-B423-ED62A11545CB}"/>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Equity'!$D$322:$D$340</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B5E4-42E2-B423-ED62A11545CB}"/>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15"/>
        <c:noMultiLvlLbl val="0"/>
      </c:catAx>
      <c:valAx>
        <c:axId val="630022392"/>
        <c:scaling>
          <c:orientation val="minMax"/>
          <c:min val="-5.000000000000001E-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402976507843616"/>
          <c:y val="0.18974135153087751"/>
          <c:w val="0.25017959083344343"/>
          <c:h val="0.134559780018469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0" i="0" u="none" strike="noStrike" baseline="0">
                <a:effectLst/>
              </a:rPr>
              <a:t>Statewide Severely Impaired by </a:t>
            </a:r>
            <a:r>
              <a:rPr lang="en-US" sz="1200" baseline="0">
                <a:solidFill>
                  <a:schemeClr val="tx1"/>
                </a:solidFill>
                <a:latin typeface="Arial" panose="020B0604020202020204" pitchFamily="34" charset="0"/>
                <a:cs typeface="Arial" panose="020B0604020202020204" pitchFamily="34" charset="0"/>
              </a:rPr>
              <a:t>Ethnicity Comparison </a:t>
            </a:r>
          </a:p>
          <a:p>
            <a:pPr>
              <a:defRPr sz="1200">
                <a:solidFill>
                  <a:schemeClr val="tx1"/>
                </a:solidFill>
                <a:latin typeface="Arial" panose="020B0604020202020204" pitchFamily="34" charset="0"/>
                <a:cs typeface="Arial" panose="020B0604020202020204" pitchFamily="34" charset="0"/>
              </a:defRPr>
            </a:pPr>
            <a:r>
              <a:rPr lang="en-US" sz="1200" baseline="0">
                <a:solidFill>
                  <a:schemeClr val="tx1"/>
                </a:solidFill>
                <a:latin typeface="Arial" panose="020B0604020202020204" pitchFamily="34" charset="0"/>
                <a:cs typeface="Arial" panose="020B0604020202020204" pitchFamily="34" charset="0"/>
              </a:rPr>
              <a:t>(with Statewide Population) </a:t>
            </a:r>
            <a:r>
              <a:rPr lang="en-US" sz="1200" b="0" i="0" u="none" strike="noStrike" baseline="0">
                <a:effectLst/>
              </a:rPr>
              <a:t>(Top 10)</a:t>
            </a:r>
            <a:endParaRPr lang="en-US" sz="1200" baseline="0">
              <a:solidFill>
                <a:schemeClr val="tx1"/>
              </a:solidFill>
              <a:latin typeface="Arial" panose="020B0604020202020204" pitchFamily="34" charset="0"/>
              <a:cs typeface="Arial" panose="020B0604020202020204" pitchFamily="34" charset="0"/>
            </a:endParaRPr>
          </a:p>
        </c:rich>
      </c:tx>
      <c:layout>
        <c:manualLayout>
          <c:xMode val="edge"/>
          <c:yMode val="edge"/>
          <c:x val="0.29470165900932177"/>
          <c:y val="2.49523237791135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3162114116598467E-2"/>
          <c:y val="0.13262574904430594"/>
          <c:w val="0.90017025897091196"/>
          <c:h val="0.44179609873276254"/>
        </c:manualLayout>
      </c:layout>
      <c:lineChart>
        <c:grouping val="standard"/>
        <c:varyColors val="0"/>
        <c:ser>
          <c:idx val="1"/>
          <c:order val="1"/>
          <c:tx>
            <c:v>Severely Impaired</c:v>
          </c:tx>
          <c:spPr>
            <a:ln w="28575" cap="rnd">
              <a:solidFill>
                <a:schemeClr val="accent1">
                  <a:lumMod val="50000"/>
                </a:schemeClr>
              </a:solidFill>
              <a:round/>
            </a:ln>
            <a:effectLst/>
          </c:spPr>
          <c:marker>
            <c:symbol val="circle"/>
            <c:size val="6"/>
            <c:spPr>
              <a:solidFill>
                <a:schemeClr val="accent1">
                  <a:lumMod val="50000"/>
                </a:schemeClr>
              </a:solidFill>
              <a:ln w="22225">
                <a:solidFill>
                  <a:schemeClr val="accent1">
                    <a:lumMod val="50000"/>
                  </a:schemeClr>
                </a:solidFill>
              </a:ln>
              <a:effectLst/>
            </c:spPr>
          </c:marker>
          <c:dLbls>
            <c:delete val="1"/>
          </c:dLbls>
          <c:cat>
            <c:multiLvlStrRef>
              <c:f>'Program Equity'!$K$322:$K$340</c:f>
            </c:multiLvlStrRef>
          </c:cat>
          <c:val>
            <c:numRef>
              <c:f>'Program Equity'!$M$322:$M$331</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0-F995-47D6-BEF0-71BF58FC4E2C}"/>
            </c:ext>
          </c:extLst>
        </c:ser>
        <c:ser>
          <c:idx val="2"/>
          <c:order val="2"/>
          <c:tx>
            <c:v>Recipients</c:v>
          </c:tx>
          <c:spPr>
            <a:ln w="28575" cap="rnd">
              <a:solidFill>
                <a:srgbClr val="C74F11"/>
              </a:solidFill>
              <a:round/>
            </a:ln>
            <a:effectLst/>
          </c:spPr>
          <c:marker>
            <c:symbol val="circle"/>
            <c:size val="6"/>
            <c:spPr>
              <a:solidFill>
                <a:srgbClr val="C74F11"/>
              </a:solidFill>
              <a:ln w="22225">
                <a:solidFill>
                  <a:srgbClr val="C74F11"/>
                </a:solidFill>
              </a:ln>
              <a:effectLst/>
            </c:spPr>
          </c:marker>
          <c:dLbls>
            <c:delete val="1"/>
          </c:dLbls>
          <c:cat>
            <c:multiLvlStrRef>
              <c:f>'Program Equity'!$K$322:$K$340</c:f>
            </c:multiLvlStrRef>
          </c:cat>
          <c:val>
            <c:numRef>
              <c:f>'Program Equity'!$O$322:$O$331</c:f>
              <c:numCache>
                <c:formatCode>0.0%</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1-F995-47D6-BEF0-71BF58FC4E2C}"/>
            </c:ext>
          </c:extLst>
        </c:ser>
        <c:dLbls>
          <c:dLblPos val="ctr"/>
          <c:showLegendKey val="0"/>
          <c:showVal val="1"/>
          <c:showCatName val="0"/>
          <c:showSerName val="0"/>
          <c:showPercent val="0"/>
          <c:showBubbleSize val="0"/>
        </c:dLbls>
        <c:marker val="1"/>
        <c:smooth val="0"/>
        <c:axId val="630009272"/>
        <c:axId val="630022392"/>
        <c:extLst>
          <c:ext xmlns:c15="http://schemas.microsoft.com/office/drawing/2012/chart" uri="{02D57815-91ED-43cb-92C2-25804820EDAC}">
            <c15:filteredLineSeries>
              <c15:ser>
                <c:idx val="0"/>
                <c:order val="0"/>
                <c:tx>
                  <c:strRef>
                    <c:extLst>
                      <c:ext uri="{02D57815-91ED-43cb-92C2-25804820EDAC}">
                        <c15:formulaRef>
                          <c15:sqref>'Program Equity'!$D$33:$D$51</c15:sqref>
                        </c15:formulaRef>
                      </c:ext>
                    </c:extLst>
                    <c:strCache>
                      <c:ptCount val="19"/>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'Program Equity'!$K$322:$K$340</c15:sqref>
                        </c15:formulaRef>
                      </c:ext>
                    </c:extLst>
                  </c:multiLvlStrRef>
                </c:cat>
                <c:val>
                  <c:numRef>
                    <c:extLst>
                      <c:ext uri="{02D57815-91ED-43cb-92C2-25804820EDAC}">
                        <c15:formulaRef>
                          <c15:sqref>'Program Equity'!$K$32:$K$51</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F995-47D6-BEF0-71BF58FC4E2C}"/>
                  </c:ext>
                </c:extLst>
              </c15:ser>
            </c15:filteredLineSeries>
          </c:ext>
        </c:extLst>
      </c:lineChart>
      <c:catAx>
        <c:axId val="63000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22392"/>
        <c:crosses val="autoZero"/>
        <c:auto val="1"/>
        <c:lblAlgn val="ctr"/>
        <c:lblOffset val="160"/>
        <c:noMultiLvlLbl val="0"/>
      </c:catAx>
      <c:valAx>
        <c:axId val="6300223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009272"/>
        <c:crosses val="autoZero"/>
        <c:crossBetween val="between"/>
      </c:valAx>
      <c:spPr>
        <a:noFill/>
        <a:ln>
          <a:noFill/>
        </a:ln>
        <a:effectLst/>
      </c:spPr>
    </c:plotArea>
    <c:legend>
      <c:legendPos val="r"/>
      <c:layout>
        <c:manualLayout>
          <c:xMode val="edge"/>
          <c:yMode val="edge"/>
          <c:x val="0.75553543707033477"/>
          <c:y val="0.20333317385534674"/>
          <c:w val="0.22073061657493281"/>
          <c:h val="0.1380740263239400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Protective Supervision (PS) &amp; Paramedical Services</a:t>
            </a:r>
            <a:r>
              <a:rPr lang="en-US" baseline="0"/>
              <a:t> (PM)</a:t>
            </a:r>
            <a:r>
              <a:rPr lang="en-US"/>
              <a:t>:</a:t>
            </a:r>
          </a:p>
          <a:p>
            <a:pPr>
              <a:defRPr sz="1200">
                <a:solidFill>
                  <a:sysClr val="windowText" lastClr="000000"/>
                </a:solidFill>
              </a:defRPr>
            </a:pPr>
            <a:r>
              <a:rPr lang="en-US"/>
              <a:t>Percentage of Total Recipients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'IHSS Services'!$D$21</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PS Cases</c:v>
                      </c:pt>
                      <c:pt idx="2">
                        <c:v>PM Cases</c:v>
                      </c:pt>
                    </c:strCache>
                  </c16:filteredLitCache>
                </c:ext>
              </c:extLst>
              <c:f/>
              <c:strCache>
                <c:ptCount val="2"/>
                <c:pt idx="0">
                  <c:v>PS Cases</c:v>
                </c:pt>
                <c:pt idx="1">
                  <c:v>PM Cases</c:v>
                </c:pt>
              </c:strCache>
            </c:strRef>
          </c:cat>
          <c:val>
            <c:numRef>
              <c:extLst>
                <c:ext xmlns:c15="http://schemas.microsoft.com/office/drawing/2012/chart" uri="{02D57815-91ED-43cb-92C2-25804820EDAC}">
                  <c15:fullRef>
                    <c15:sqref>'IHSS Services'!$D$22:$D$25</c15:sqref>
                  </c15:fullRef>
                </c:ext>
              </c:extLst>
              <c:f>('IHSS Services'!$D$23,'IHSS Services'!$D$25)</c:f>
              <c:numCache>
                <c:formatCode>0.0%</c:formatCode>
                <c:ptCount val="2"/>
                <c:pt idx="0">
                  <c:v>0</c:v>
                </c:pt>
                <c:pt idx="1">
                  <c:v>0</c:v>
                </c:pt>
              </c:numCache>
            </c:numRef>
          </c:val>
          <c:extLst>
            <c:ext xmlns:c16="http://schemas.microsoft.com/office/drawing/2014/chart" uri="{C3380CC4-5D6E-409C-BE32-E72D297353CC}">
              <c16:uniqueId val="{00000000-D0EF-4E2C-A584-D0ED90B8C6C2}"/>
            </c:ext>
          </c:extLst>
        </c:ser>
        <c:ser>
          <c:idx val="1"/>
          <c:order val="1"/>
          <c:tx>
            <c:strRef>
              <c:f>'IHSS Services'!$E$21</c:f>
              <c:strCache>
                <c:ptCount val="1"/>
                <c:pt idx="0">
                  <c:v>  </c:v>
                </c:pt>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PS Cases</c:v>
                      </c:pt>
                      <c:pt idx="2">
                        <c:v>PM Cases</c:v>
                      </c:pt>
                    </c:strCache>
                  </c16:filteredLitCache>
                </c:ext>
              </c:extLst>
              <c:f/>
              <c:strCache>
                <c:ptCount val="2"/>
                <c:pt idx="0">
                  <c:v>PS Cases</c:v>
                </c:pt>
                <c:pt idx="1">
                  <c:v>PM Cases</c:v>
                </c:pt>
              </c:strCache>
            </c:strRef>
          </c:cat>
          <c:val>
            <c:numRef>
              <c:extLst>
                <c:ext xmlns:c15="http://schemas.microsoft.com/office/drawing/2012/chart" uri="{02D57815-91ED-43cb-92C2-25804820EDAC}">
                  <c15:fullRef>
                    <c15:sqref>'IHSS Services'!$E$22:$E$25</c15:sqref>
                  </c15:fullRef>
                </c:ext>
              </c:extLst>
              <c:f>('IHSS Services'!$E$23,'IHSS Services'!$E$25)</c:f>
              <c:numCache>
                <c:formatCode>0.0%</c:formatCode>
                <c:ptCount val="2"/>
                <c:pt idx="0">
                  <c:v>0</c:v>
                </c:pt>
                <c:pt idx="1">
                  <c:v>0</c:v>
                </c:pt>
              </c:numCache>
            </c:numRef>
          </c:val>
          <c:extLst>
            <c:ext xmlns:c16="http://schemas.microsoft.com/office/drawing/2014/chart" uri="{C3380CC4-5D6E-409C-BE32-E72D297353CC}">
              <c16:uniqueId val="{00000001-D0EF-4E2C-A584-D0ED90B8C6C2}"/>
            </c:ext>
          </c:extLst>
        </c:ser>
        <c:ser>
          <c:idx val="2"/>
          <c:order val="2"/>
          <c:tx>
            <c:strRef>
              <c:f>'IHSS Services'!$F$21</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PS Cases</c:v>
                      </c:pt>
                      <c:pt idx="2">
                        <c:v>PM Cases</c:v>
                      </c:pt>
                    </c:strCache>
                  </c16:filteredLitCache>
                </c:ext>
              </c:extLst>
              <c:f/>
              <c:strCache>
                <c:ptCount val="2"/>
                <c:pt idx="0">
                  <c:v>PS Cases</c:v>
                </c:pt>
                <c:pt idx="1">
                  <c:v>PM Cases</c:v>
                </c:pt>
              </c:strCache>
            </c:strRef>
          </c:cat>
          <c:val>
            <c:numRef>
              <c:extLst>
                <c:ext xmlns:c15="http://schemas.microsoft.com/office/drawing/2012/chart" uri="{02D57815-91ED-43cb-92C2-25804820EDAC}">
                  <c15:fullRef>
                    <c15:sqref>'IHSS Services'!$F$22:$F$25</c15:sqref>
                  </c15:fullRef>
                </c:ext>
              </c:extLst>
              <c:f>('IHSS Services'!$F$23,'IHSS Services'!$F$25)</c:f>
              <c:numCache>
                <c:formatCode>0.0%</c:formatCode>
                <c:ptCount val="2"/>
                <c:pt idx="0">
                  <c:v>0.10275473724754119</c:v>
                </c:pt>
                <c:pt idx="1">
                  <c:v>0.10634056103766472</c:v>
                </c:pt>
              </c:numCache>
            </c:numRef>
          </c:val>
          <c:extLst>
            <c:ext xmlns:c16="http://schemas.microsoft.com/office/drawing/2014/chart" uri="{C3380CC4-5D6E-409C-BE32-E72D297353CC}">
              <c16:uniqueId val="{00000002-D0EF-4E2C-A584-D0ED90B8C6C2}"/>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20130815775379743"/>
          <c:y val="0.87454111345914765"/>
          <c:w val="0.58001739652297435"/>
          <c:h val="9.5677428507890322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Protective Supervision (PS) &amp; Paramedical Services (PM):</a:t>
            </a:r>
          </a:p>
          <a:p>
            <a:pPr>
              <a:defRPr sz="1200">
                <a:solidFill>
                  <a:sysClr val="windowText" lastClr="000000"/>
                </a:solidFill>
              </a:defRPr>
            </a:pPr>
            <a:r>
              <a:rPr lang="en-US"/>
              <a:t>Avg. Auth. Hours per Recipient</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324352879027998E-2"/>
          <c:y val="0.22194029850746269"/>
          <c:w val="0.95351294241944007"/>
          <c:h val="0.5470682022956086"/>
        </c:manualLayout>
      </c:layout>
      <c:barChart>
        <c:barDir val="col"/>
        <c:grouping val="clustered"/>
        <c:varyColors val="0"/>
        <c:ser>
          <c:idx val="0"/>
          <c:order val="0"/>
          <c:tx>
            <c:strRef>
              <c:f>'IHSS Services'!$I$21</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PS Cases</c:v>
                      </c:pt>
                      <c:pt idx="2">
                        <c:v>PS Cases</c:v>
                      </c:pt>
                    </c:strCache>
                  </c16:filteredLitCache>
                </c:ext>
              </c:extLst>
              <c:f/>
              <c:strCache>
                <c:ptCount val="4"/>
                <c:pt idx="0">
                  <c:v>PS Hours</c:v>
                </c:pt>
                <c:pt idx="1">
                  <c:v>PM Hours</c:v>
                </c:pt>
                <c:pt idx="2">
                  <c:v>PM Hours</c:v>
                </c:pt>
                <c:pt idx="3">
                  <c:v>PM Hours</c:v>
                </c:pt>
              </c:strCache>
            </c:strRef>
          </c:cat>
          <c:val>
            <c:numRef>
              <c:extLst>
                <c:ext xmlns:c15="http://schemas.microsoft.com/office/drawing/2012/chart" uri="{02D57815-91ED-43cb-92C2-25804820EDAC}">
                  <c15:fullRef>
                    <c15:sqref>'IHSS Services'!$I$22:$I$25</c15:sqref>
                  </c15:fullRef>
                </c:ext>
              </c:extLst>
              <c:f>('IHSS Services'!$I$23,'IHSS Services'!$I$25)</c:f>
              <c:numCache>
                <c:formatCode>#,##0.0</c:formatCode>
                <c:ptCount val="2"/>
                <c:pt idx="0">
                  <c:v>0</c:v>
                </c:pt>
                <c:pt idx="1">
                  <c:v>0</c:v>
                </c:pt>
              </c:numCache>
            </c:numRef>
          </c:val>
          <c:extLst>
            <c:ext xmlns:c16="http://schemas.microsoft.com/office/drawing/2014/chart" uri="{C3380CC4-5D6E-409C-BE32-E72D297353CC}">
              <c16:uniqueId val="{00000000-D0EF-4E2C-A584-D0ED90B8C6C2}"/>
            </c:ext>
          </c:extLst>
        </c:ser>
        <c:ser>
          <c:idx val="1"/>
          <c:order val="1"/>
          <c:tx>
            <c:strRef>
              <c:f>'IHSS Services'!$J$21</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PS Cases</c:v>
                      </c:pt>
                      <c:pt idx="2">
                        <c:v>PS Cases</c:v>
                      </c:pt>
                    </c:strCache>
                  </c16:filteredLitCache>
                </c:ext>
              </c:extLst>
              <c:f/>
              <c:strCache>
                <c:ptCount val="4"/>
                <c:pt idx="0">
                  <c:v>PS Hours</c:v>
                </c:pt>
                <c:pt idx="1">
                  <c:v>PM Hours</c:v>
                </c:pt>
                <c:pt idx="2">
                  <c:v>PM Hours</c:v>
                </c:pt>
                <c:pt idx="3">
                  <c:v>PM Hours</c:v>
                </c:pt>
              </c:strCache>
            </c:strRef>
          </c:cat>
          <c:val>
            <c:numRef>
              <c:extLst>
                <c:ext xmlns:c15="http://schemas.microsoft.com/office/drawing/2012/chart" uri="{02D57815-91ED-43cb-92C2-25804820EDAC}">
                  <c15:fullRef>
                    <c15:sqref>'IHSS Services'!$J$22:$J$25</c15:sqref>
                  </c15:fullRef>
                </c:ext>
              </c:extLst>
              <c:f>('IHSS Services'!$J$23,'IHSS Services'!$J$25)</c:f>
              <c:numCache>
                <c:formatCode>#,##0.0</c:formatCode>
                <c:ptCount val="2"/>
                <c:pt idx="0">
                  <c:v>0</c:v>
                </c:pt>
                <c:pt idx="1">
                  <c:v>0</c:v>
                </c:pt>
              </c:numCache>
            </c:numRef>
          </c:val>
          <c:extLst>
            <c:ext xmlns:c16="http://schemas.microsoft.com/office/drawing/2014/chart" uri="{C3380CC4-5D6E-409C-BE32-E72D297353CC}">
              <c16:uniqueId val="{00000001-D0EF-4E2C-A584-D0ED90B8C6C2}"/>
            </c:ext>
          </c:extLst>
        </c:ser>
        <c:ser>
          <c:idx val="2"/>
          <c:order val="2"/>
          <c:tx>
            <c:strRef>
              <c:f>'IHSS Services'!$K$21</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PS Cases</c:v>
                      </c:pt>
                      <c:pt idx="2">
                        <c:v>PS Cases</c:v>
                      </c:pt>
                    </c:strCache>
                  </c16:filteredLitCache>
                </c:ext>
              </c:extLst>
              <c:f/>
              <c:strCache>
                <c:ptCount val="4"/>
                <c:pt idx="0">
                  <c:v>PS Hours</c:v>
                </c:pt>
                <c:pt idx="1">
                  <c:v>PM Hours</c:v>
                </c:pt>
                <c:pt idx="2">
                  <c:v>PM Hours</c:v>
                </c:pt>
                <c:pt idx="3">
                  <c:v>PM Hours</c:v>
                </c:pt>
              </c:strCache>
            </c:strRef>
          </c:cat>
          <c:val>
            <c:numRef>
              <c:extLst>
                <c:ext xmlns:c15="http://schemas.microsoft.com/office/drawing/2012/chart" uri="{02D57815-91ED-43cb-92C2-25804820EDAC}">
                  <c15:fullRef>
                    <c15:sqref>'IHSS Services'!$K$22:$K$25</c15:sqref>
                  </c15:fullRef>
                </c:ext>
              </c:extLst>
              <c:f>('IHSS Services'!$K$23,'IHSS Services'!$K$25)</c:f>
              <c:numCache>
                <c:formatCode>#,##0.0</c:formatCode>
                <c:ptCount val="2"/>
                <c:pt idx="0">
                  <c:v>178.55767230683946</c:v>
                </c:pt>
                <c:pt idx="1">
                  <c:v>32.35180844280066</c:v>
                </c:pt>
              </c:numCache>
            </c:numRef>
          </c:val>
          <c:extLst>
            <c:ext xmlns:c16="http://schemas.microsoft.com/office/drawing/2014/chart" uri="{C3380CC4-5D6E-409C-BE32-E72D297353CC}">
              <c16:uniqueId val="{00000002-D0EF-4E2C-A584-D0ED90B8C6C2}"/>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Protective Supervision (PS) / Paramedical (PM) Services: (%) of Total Recipients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4444966337873806E-2"/>
          <c:y val="0.23616071428571428"/>
          <c:w val="0.93111006732425239"/>
          <c:h val="0.46409081677290337"/>
        </c:manualLayout>
      </c:layout>
      <c:barChart>
        <c:barDir val="col"/>
        <c:grouping val="clustered"/>
        <c:varyColors val="0"/>
        <c:ser>
          <c:idx val="0"/>
          <c:order val="0"/>
          <c:tx>
            <c:strRef>
              <c:f>'IHSS Services'!$D$21</c:f>
              <c:strCache>
                <c:ptCount val="1"/>
              </c:strCache>
            </c:strRef>
          </c:tx>
          <c:spPr>
            <a:solidFill>
              <a:srgbClr val="5B9BD5">
                <a:lumMod val="50000"/>
              </a:srgb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PS Cases</c:v>
                      </c:pt>
                      <c:pt idx="2">
                        <c:v>PM Cases</c:v>
                      </c:pt>
                    </c:strCache>
                  </c16:filteredLitCache>
                </c:ext>
              </c:extLst>
              <c:f/>
              <c:strCache>
                <c:ptCount val="2"/>
                <c:pt idx="0">
                  <c:v>PS Cases</c:v>
                </c:pt>
                <c:pt idx="1">
                  <c:v>PM Cases</c:v>
                </c:pt>
              </c:strCache>
            </c:strRef>
          </c:cat>
          <c:val>
            <c:numRef>
              <c:extLst>
                <c:ext xmlns:c15="http://schemas.microsoft.com/office/drawing/2012/chart" uri="{02D57815-91ED-43cb-92C2-25804820EDAC}">
                  <c15:fullRef>
                    <c15:sqref>'IHSS Services'!$D$22:$D$25</c15:sqref>
                  </c15:fullRef>
                </c:ext>
              </c:extLst>
              <c:f>('IHSS Services'!$D$23,'IHSS Services'!$D$25)</c:f>
              <c:numCache>
                <c:formatCode>0.0%</c:formatCode>
                <c:ptCount val="2"/>
                <c:pt idx="0">
                  <c:v>0</c:v>
                </c:pt>
                <c:pt idx="1">
                  <c:v>0</c:v>
                </c:pt>
              </c:numCache>
            </c:numRef>
          </c:val>
          <c:extLst>
            <c:ext xmlns:c16="http://schemas.microsoft.com/office/drawing/2014/chart" uri="{C3380CC4-5D6E-409C-BE32-E72D297353CC}">
              <c16:uniqueId val="{00000000-101E-4508-88C7-E960F28D0DA6}"/>
            </c:ext>
          </c:extLst>
        </c:ser>
        <c:ser>
          <c:idx val="1"/>
          <c:order val="1"/>
          <c:tx>
            <c:strRef>
              <c:f>'IHSS Services'!$E$21</c:f>
              <c:strCache>
                <c:ptCount val="1"/>
                <c:pt idx="0">
                  <c:v>  </c:v>
                </c:pt>
              </c:strCache>
            </c:strRef>
          </c:tx>
          <c:spPr>
            <a:solidFill>
              <a:srgbClr val="C75211"/>
            </a:solidFill>
            <a:ln>
              <a:noFill/>
            </a:ln>
            <a:effectLst/>
          </c:spPr>
          <c:invertIfNegative val="0"/>
          <c:dLbls>
            <c:numFmt formatCode="0%" sourceLinked="0"/>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PS Cases</c:v>
                      </c:pt>
                      <c:pt idx="2">
                        <c:v>PM Cases</c:v>
                      </c:pt>
                    </c:strCache>
                  </c16:filteredLitCache>
                </c:ext>
              </c:extLst>
              <c:f/>
              <c:strCache>
                <c:ptCount val="2"/>
                <c:pt idx="0">
                  <c:v>PS Cases</c:v>
                </c:pt>
                <c:pt idx="1">
                  <c:v>PM Cases</c:v>
                </c:pt>
              </c:strCache>
            </c:strRef>
          </c:cat>
          <c:val>
            <c:numRef>
              <c:extLst>
                <c:ext xmlns:c15="http://schemas.microsoft.com/office/drawing/2012/chart" uri="{02D57815-91ED-43cb-92C2-25804820EDAC}">
                  <c15:fullRef>
                    <c15:sqref>'IHSS Services'!$E$22:$E$25</c15:sqref>
                  </c15:fullRef>
                </c:ext>
              </c:extLst>
              <c:f>('IHSS Services'!$E$23,'IHSS Services'!$E$25)</c:f>
              <c:numCache>
                <c:formatCode>0.0%</c:formatCode>
                <c:ptCount val="2"/>
                <c:pt idx="0">
                  <c:v>0</c:v>
                </c:pt>
                <c:pt idx="1">
                  <c:v>0</c:v>
                </c:pt>
              </c:numCache>
            </c:numRef>
          </c:val>
          <c:extLst>
            <c:ext xmlns:c16="http://schemas.microsoft.com/office/drawing/2014/chart" uri="{C3380CC4-5D6E-409C-BE32-E72D297353CC}">
              <c16:uniqueId val="{00000001-101E-4508-88C7-E960F28D0DA6}"/>
            </c:ext>
          </c:extLst>
        </c:ser>
        <c:ser>
          <c:idx val="2"/>
          <c:order val="2"/>
          <c:tx>
            <c:strRef>
              <c:f>'IHSS Services'!$F$21</c:f>
              <c:strCache>
                <c:ptCount val="1"/>
                <c:pt idx="0">
                  <c:v>Statewide</c:v>
                </c:pt>
              </c:strCache>
            </c:strRef>
          </c:tx>
          <c:spPr>
            <a:solidFill>
              <a:srgbClr val="6E6E6E"/>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PS Cases</c:v>
                      </c:pt>
                      <c:pt idx="2">
                        <c:v>PM Cases</c:v>
                      </c:pt>
                    </c:strCache>
                  </c16:filteredLitCache>
                </c:ext>
              </c:extLst>
              <c:f/>
              <c:strCache>
                <c:ptCount val="2"/>
                <c:pt idx="0">
                  <c:v>PS Cases</c:v>
                </c:pt>
                <c:pt idx="1">
                  <c:v>PM Cases</c:v>
                </c:pt>
              </c:strCache>
            </c:strRef>
          </c:cat>
          <c:val>
            <c:numRef>
              <c:extLst>
                <c:ext xmlns:c15="http://schemas.microsoft.com/office/drawing/2012/chart" uri="{02D57815-91ED-43cb-92C2-25804820EDAC}">
                  <c15:fullRef>
                    <c15:sqref>'IHSS Services'!$F$22:$F$25</c15:sqref>
                  </c15:fullRef>
                </c:ext>
              </c:extLst>
              <c:f>('IHSS Services'!$F$23,'IHSS Services'!$F$25)</c:f>
              <c:numCache>
                <c:formatCode>0.0%</c:formatCode>
                <c:ptCount val="2"/>
                <c:pt idx="0">
                  <c:v>0.10275473724754119</c:v>
                </c:pt>
                <c:pt idx="1">
                  <c:v>0.10634056103766472</c:v>
                </c:pt>
              </c:numCache>
            </c:numRef>
          </c:val>
          <c:extLst>
            <c:ext xmlns:c16="http://schemas.microsoft.com/office/drawing/2014/chart" uri="{C3380CC4-5D6E-409C-BE32-E72D297353CC}">
              <c16:uniqueId val="{00000002-101E-4508-88C7-E960F28D0DA6}"/>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14993916037620708"/>
          <c:y val="0.81013935758030253"/>
          <c:w val="0.71264712155226717"/>
          <c:h val="9.5614610673665792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Personal Care Services: Recipient Percent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44692255866470837"/>
          <c:y val="4.7068015266901485E-2"/>
          <c:w val="0.53185035466100938"/>
          <c:h val="0.90318113108638443"/>
        </c:manualLayout>
      </c:layout>
      <c:barChart>
        <c:barDir val="bar"/>
        <c:grouping val="clustered"/>
        <c:varyColors val="0"/>
        <c:ser>
          <c:idx val="0"/>
          <c:order val="0"/>
          <c:tx>
            <c:strRef>
              <c:f>'IHSS Services'!$D$62</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13"/>
                      <c:pt idx="0">
                        <c:v>Bowel &amp; Bladder Care</c:v>
                      </c:pt>
                      <c:pt idx="2">
                        <c:v>Respiration</c:v>
                      </c:pt>
                      <c:pt idx="4">
                        <c:v>Feeding</c:v>
                      </c:pt>
                      <c:pt idx="6">
                        <c:v>Routine Bed Baths</c:v>
                      </c:pt>
                      <c:pt idx="8">
                        <c:v>Bathing Oral Hygiene &amp; Grooming</c:v>
                      </c:pt>
                      <c:pt idx="10">
                        <c:v>Dressing</c:v>
                      </c:pt>
                      <c:pt idx="12">
                        <c:v>Repositioning &amp; Rubbing Skin</c:v>
                      </c:pt>
                      <c:pt idx="14">
                        <c:v>Transfer</c:v>
                      </c:pt>
                      <c:pt idx="16">
                        <c:v>Care of &amp; Assistance Prosthetic Devices</c:v>
                      </c:pt>
                      <c:pt idx="18">
                        <c:v>Menstrual Care</c:v>
                      </c:pt>
                      <c:pt idx="20">
                        <c:v>Ambulation</c:v>
                      </c:pt>
                      <c:pt idx="22">
                        <c:v>Medical Accompaniment</c:v>
                      </c:pt>
                      <c:pt idx="24">
                        <c:v>Accompaniment to Alt Resources</c:v>
                      </c:pt>
                    </c:strCache>
                  </c16:filteredLitCache>
                </c:ext>
              </c:extLst>
              <c:f/>
              <c:strCache>
                <c:ptCount val="13"/>
                <c:pt idx="0">
                  <c:v>Bowel &amp; Bladder Care</c:v>
                </c:pt>
                <c:pt idx="1">
                  <c:v>Respiration</c:v>
                </c:pt>
                <c:pt idx="2">
                  <c:v>Feeding</c:v>
                </c:pt>
                <c:pt idx="3">
                  <c:v>Routine Bed Baths</c:v>
                </c:pt>
                <c:pt idx="4">
                  <c:v>Bathing Oral Hygiene &amp; Grooming</c:v>
                </c:pt>
                <c:pt idx="5">
                  <c:v>Dressing</c:v>
                </c:pt>
                <c:pt idx="6">
                  <c:v>Repositioning &amp; Rubbing Skin</c:v>
                </c:pt>
                <c:pt idx="7">
                  <c:v>Transfer</c:v>
                </c:pt>
                <c:pt idx="8">
                  <c:v>Care of &amp; Assistance Prosthetic Devices</c:v>
                </c:pt>
                <c:pt idx="9">
                  <c:v>Menstrual Care</c:v>
                </c:pt>
                <c:pt idx="10">
                  <c:v>Ambulation</c:v>
                </c:pt>
                <c:pt idx="11">
                  <c:v>Medical Accompaniment</c:v>
                </c:pt>
                <c:pt idx="12">
                  <c:v>Accompaniment to Alt Resources</c:v>
                </c:pt>
              </c:strCache>
            </c:strRef>
          </c:cat>
          <c:val>
            <c:numRef>
              <c:extLst>
                <c:ext xmlns:c15="http://schemas.microsoft.com/office/drawing/2012/chart" uri="{02D57815-91ED-43cb-92C2-25804820EDAC}">
                  <c15:fullRef>
                    <c15:sqref>'IHSS Services'!$D$63:$D$88</c15:sqref>
                  </c15:fullRef>
                </c:ext>
              </c:extLst>
              <c:f>('IHSS Services'!$D$64,'IHSS Services'!$D$66,'IHSS Services'!$D$68,'IHSS Services'!$D$70,'IHSS Services'!$D$72,'IHSS Services'!$D$74,'IHSS Services'!$D$76,'IHSS Services'!$D$78,'IHSS Services'!$D$80,'IHSS Services'!$D$82,'IHSS Services'!$D$84,'IHSS Services'!$D$86,'IHSS Services'!$D$88)</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CE98-420E-A7A5-B652E74C73D3}"/>
            </c:ext>
          </c:extLst>
        </c:ser>
        <c:ser>
          <c:idx val="1"/>
          <c:order val="1"/>
          <c:tx>
            <c:strRef>
              <c:f>'IHSS Services'!$E$62</c:f>
              <c:strCache>
                <c:ptCount val="1"/>
                <c:pt idx="0">
                  <c:v>  </c:v>
                </c:pt>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13"/>
                      <c:pt idx="0">
                        <c:v>Bowel &amp; Bladder Care</c:v>
                      </c:pt>
                      <c:pt idx="2">
                        <c:v>Respiration</c:v>
                      </c:pt>
                      <c:pt idx="4">
                        <c:v>Feeding</c:v>
                      </c:pt>
                      <c:pt idx="6">
                        <c:v>Routine Bed Baths</c:v>
                      </c:pt>
                      <c:pt idx="8">
                        <c:v>Bathing Oral Hygiene &amp; Grooming</c:v>
                      </c:pt>
                      <c:pt idx="10">
                        <c:v>Dressing</c:v>
                      </c:pt>
                      <c:pt idx="12">
                        <c:v>Repositioning &amp; Rubbing Skin</c:v>
                      </c:pt>
                      <c:pt idx="14">
                        <c:v>Transfer</c:v>
                      </c:pt>
                      <c:pt idx="16">
                        <c:v>Care of &amp; Assistance Prosthetic Devices</c:v>
                      </c:pt>
                      <c:pt idx="18">
                        <c:v>Menstrual Care</c:v>
                      </c:pt>
                      <c:pt idx="20">
                        <c:v>Ambulation</c:v>
                      </c:pt>
                      <c:pt idx="22">
                        <c:v>Medical Accompaniment</c:v>
                      </c:pt>
                      <c:pt idx="24">
                        <c:v>Accompaniment to Alt Resources</c:v>
                      </c:pt>
                    </c:strCache>
                  </c16:filteredLitCache>
                </c:ext>
              </c:extLst>
              <c:f/>
              <c:strCache>
                <c:ptCount val="13"/>
                <c:pt idx="0">
                  <c:v>Bowel &amp; Bladder Care</c:v>
                </c:pt>
                <c:pt idx="1">
                  <c:v>Respiration</c:v>
                </c:pt>
                <c:pt idx="2">
                  <c:v>Feeding</c:v>
                </c:pt>
                <c:pt idx="3">
                  <c:v>Routine Bed Baths</c:v>
                </c:pt>
                <c:pt idx="4">
                  <c:v>Bathing Oral Hygiene &amp; Grooming</c:v>
                </c:pt>
                <c:pt idx="5">
                  <c:v>Dressing</c:v>
                </c:pt>
                <c:pt idx="6">
                  <c:v>Repositioning &amp; Rubbing Skin</c:v>
                </c:pt>
                <c:pt idx="7">
                  <c:v>Transfer</c:v>
                </c:pt>
                <c:pt idx="8">
                  <c:v>Care of &amp; Assistance Prosthetic Devices</c:v>
                </c:pt>
                <c:pt idx="9">
                  <c:v>Menstrual Care</c:v>
                </c:pt>
                <c:pt idx="10">
                  <c:v>Ambulation</c:v>
                </c:pt>
                <c:pt idx="11">
                  <c:v>Medical Accompaniment</c:v>
                </c:pt>
                <c:pt idx="12">
                  <c:v>Accompaniment to Alt Resources</c:v>
                </c:pt>
              </c:strCache>
            </c:strRef>
          </c:cat>
          <c:val>
            <c:numRef>
              <c:extLst>
                <c:ext xmlns:c15="http://schemas.microsoft.com/office/drawing/2012/chart" uri="{02D57815-91ED-43cb-92C2-25804820EDAC}">
                  <c15:fullRef>
                    <c15:sqref>'IHSS Services'!$E$63:$E$88</c15:sqref>
                  </c15:fullRef>
                </c:ext>
              </c:extLst>
              <c:f>('IHSS Services'!$E$64,'IHSS Services'!$E$66,'IHSS Services'!$E$68,'IHSS Services'!$E$70,'IHSS Services'!$E$72,'IHSS Services'!$E$74,'IHSS Services'!$E$76,'IHSS Services'!$E$78,'IHSS Services'!$E$80,'IHSS Services'!$E$82,'IHSS Services'!$E$84,'IHSS Services'!$E$86,'IHSS Services'!$E$88)</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CE98-420E-A7A5-B652E74C73D3}"/>
            </c:ext>
          </c:extLst>
        </c:ser>
        <c:ser>
          <c:idx val="2"/>
          <c:order val="2"/>
          <c:tx>
            <c:strRef>
              <c:f>'IHSS Services'!$F$62</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13"/>
                      <c:pt idx="0">
                        <c:v>Bowel &amp; Bladder Care</c:v>
                      </c:pt>
                      <c:pt idx="2">
                        <c:v>Respiration</c:v>
                      </c:pt>
                      <c:pt idx="4">
                        <c:v>Feeding</c:v>
                      </c:pt>
                      <c:pt idx="6">
                        <c:v>Routine Bed Baths</c:v>
                      </c:pt>
                      <c:pt idx="8">
                        <c:v>Bathing Oral Hygiene &amp; Grooming</c:v>
                      </c:pt>
                      <c:pt idx="10">
                        <c:v>Dressing</c:v>
                      </c:pt>
                      <c:pt idx="12">
                        <c:v>Repositioning &amp; Rubbing Skin</c:v>
                      </c:pt>
                      <c:pt idx="14">
                        <c:v>Transfer</c:v>
                      </c:pt>
                      <c:pt idx="16">
                        <c:v>Care of &amp; Assistance Prosthetic Devices</c:v>
                      </c:pt>
                      <c:pt idx="18">
                        <c:v>Menstrual Care</c:v>
                      </c:pt>
                      <c:pt idx="20">
                        <c:v>Ambulation</c:v>
                      </c:pt>
                      <c:pt idx="22">
                        <c:v>Medical Accompaniment</c:v>
                      </c:pt>
                      <c:pt idx="24">
                        <c:v>Accompaniment to Alt Resources</c:v>
                      </c:pt>
                    </c:strCache>
                  </c16:filteredLitCache>
                </c:ext>
              </c:extLst>
              <c:f/>
              <c:strCache>
                <c:ptCount val="13"/>
                <c:pt idx="0">
                  <c:v>Bowel &amp; Bladder Care</c:v>
                </c:pt>
                <c:pt idx="1">
                  <c:v>Respiration</c:v>
                </c:pt>
                <c:pt idx="2">
                  <c:v>Feeding</c:v>
                </c:pt>
                <c:pt idx="3">
                  <c:v>Routine Bed Baths</c:v>
                </c:pt>
                <c:pt idx="4">
                  <c:v>Bathing Oral Hygiene &amp; Grooming</c:v>
                </c:pt>
                <c:pt idx="5">
                  <c:v>Dressing</c:v>
                </c:pt>
                <c:pt idx="6">
                  <c:v>Repositioning &amp; Rubbing Skin</c:v>
                </c:pt>
                <c:pt idx="7">
                  <c:v>Transfer</c:v>
                </c:pt>
                <c:pt idx="8">
                  <c:v>Care of &amp; Assistance Prosthetic Devices</c:v>
                </c:pt>
                <c:pt idx="9">
                  <c:v>Menstrual Care</c:v>
                </c:pt>
                <c:pt idx="10">
                  <c:v>Ambulation</c:v>
                </c:pt>
                <c:pt idx="11">
                  <c:v>Medical Accompaniment</c:v>
                </c:pt>
                <c:pt idx="12">
                  <c:v>Accompaniment to Alt Resources</c:v>
                </c:pt>
              </c:strCache>
            </c:strRef>
          </c:cat>
          <c:val>
            <c:numRef>
              <c:extLst>
                <c:ext xmlns:c15="http://schemas.microsoft.com/office/drawing/2012/chart" uri="{02D57815-91ED-43cb-92C2-25804820EDAC}">
                  <c15:fullRef>
                    <c15:sqref>'IHSS Services'!$F$63:$F$88</c15:sqref>
                  </c15:fullRef>
                </c:ext>
              </c:extLst>
              <c:f>('IHSS Services'!$F$64,'IHSS Services'!$F$66,'IHSS Services'!$F$68,'IHSS Services'!$F$70,'IHSS Services'!$F$72,'IHSS Services'!$F$74,'IHSS Services'!$F$76,'IHSS Services'!$F$78,'IHSS Services'!$F$80,'IHSS Services'!$F$82,'IHSS Services'!$F$84,'IHSS Services'!$F$86,'IHSS Services'!$F$88)</c:f>
              <c:numCache>
                <c:formatCode>0.0%</c:formatCode>
                <c:ptCount val="13"/>
                <c:pt idx="0">
                  <c:v>0.70552574903573351</c:v>
                </c:pt>
                <c:pt idx="1">
                  <c:v>0.11253437996712543</c:v>
                </c:pt>
                <c:pt idx="2">
                  <c:v>0.27379880327877748</c:v>
                </c:pt>
                <c:pt idx="3">
                  <c:v>8.5849558146221319E-2</c:v>
                </c:pt>
                <c:pt idx="4">
                  <c:v>0.89160206578169332</c:v>
                </c:pt>
                <c:pt idx="5">
                  <c:v>0.8792022220172836</c:v>
                </c:pt>
                <c:pt idx="6">
                  <c:v>0.46902005565892901</c:v>
                </c:pt>
                <c:pt idx="7">
                  <c:v>0.67688120127809392</c:v>
                </c:pt>
                <c:pt idx="8">
                  <c:v>0.76791691304512932</c:v>
                </c:pt>
                <c:pt idx="9">
                  <c:v>4.4230132854500184E-2</c:v>
                </c:pt>
                <c:pt idx="10">
                  <c:v>0.78266300308673786</c:v>
                </c:pt>
                <c:pt idx="11">
                  <c:v>0.79729788376723065</c:v>
                </c:pt>
                <c:pt idx="12">
                  <c:v>9.7932048367934815E-3</c:v>
                </c:pt>
              </c:numCache>
            </c:numRef>
          </c:val>
          <c:extLst>
            <c:ext xmlns:c16="http://schemas.microsoft.com/office/drawing/2014/chart" uri="{C3380CC4-5D6E-409C-BE32-E72D297353CC}">
              <c16:uniqueId val="{00000002-CE98-420E-A7A5-B652E74C73D3}"/>
            </c:ext>
          </c:extLst>
        </c:ser>
        <c:dLbls>
          <c:dLblPos val="outEnd"/>
          <c:showLegendKey val="0"/>
          <c:showVal val="1"/>
          <c:showCatName val="0"/>
          <c:showSerName val="0"/>
          <c:showPercent val="0"/>
          <c:showBubbleSize val="0"/>
        </c:dLbls>
        <c:gapWidth val="62"/>
        <c:overlap val="-20"/>
        <c:axId val="551170824"/>
        <c:axId val="551166888"/>
      </c:barChart>
      <c:catAx>
        <c:axId val="551170824"/>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 sourceLinked="1"/>
        <c:majorTickMark val="none"/>
        <c:minorTickMark val="none"/>
        <c:tickLblPos val="nextTo"/>
        <c:crossAx val="551170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Personal Care Services: Avg.</a:t>
            </a:r>
            <a:r>
              <a:rPr lang="en-US" baseline="0"/>
              <a:t> Auth. </a:t>
            </a:r>
            <a:r>
              <a:rPr lang="en-US"/>
              <a:t>Hours Per</a:t>
            </a:r>
            <a:r>
              <a:rPr lang="en-US" baseline="0"/>
              <a:t> Recipient</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44688453295418529"/>
          <c:y val="5.2611944054938339E-2"/>
          <c:w val="0.53189018644517416"/>
          <c:h val="0.8993955344623018"/>
        </c:manualLayout>
      </c:layout>
      <c:barChart>
        <c:barDir val="bar"/>
        <c:grouping val="clustered"/>
        <c:varyColors val="0"/>
        <c:ser>
          <c:idx val="0"/>
          <c:order val="0"/>
          <c:tx>
            <c:strRef>
              <c:f>'IHSS Services'!$I$62</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13"/>
                      <c:pt idx="0">
                        <c:v>Bowel &amp; Bladder Care</c:v>
                      </c:pt>
                      <c:pt idx="2">
                        <c:v>Respiration</c:v>
                      </c:pt>
                      <c:pt idx="4">
                        <c:v>Feeding</c:v>
                      </c:pt>
                      <c:pt idx="6">
                        <c:v>Routine Bed Baths</c:v>
                      </c:pt>
                      <c:pt idx="8">
                        <c:v>Bathing Oral Hygiene &amp; Grooming</c:v>
                      </c:pt>
                      <c:pt idx="10">
                        <c:v>Dressing</c:v>
                      </c:pt>
                      <c:pt idx="12">
                        <c:v>Repositioning &amp; Rubbing Skin</c:v>
                      </c:pt>
                      <c:pt idx="14">
                        <c:v>Transfer</c:v>
                      </c:pt>
                      <c:pt idx="16">
                        <c:v>Care of &amp; Assistance Prosthetic Devices</c:v>
                      </c:pt>
                      <c:pt idx="18">
                        <c:v>Menstrual Care</c:v>
                      </c:pt>
                      <c:pt idx="20">
                        <c:v>Ambulation</c:v>
                      </c:pt>
                      <c:pt idx="22">
                        <c:v>Medical Accompaniment</c:v>
                      </c:pt>
                      <c:pt idx="24">
                        <c:v>Accompaniment to Alt Resources</c:v>
                      </c:pt>
                    </c:strCache>
                  </c16:filteredLitCache>
                </c:ext>
              </c:extLst>
              <c:f/>
              <c:strCache>
                <c:ptCount val="13"/>
                <c:pt idx="0">
                  <c:v>Bowel &amp; Bladder Care</c:v>
                </c:pt>
                <c:pt idx="1">
                  <c:v>Respiration</c:v>
                </c:pt>
                <c:pt idx="2">
                  <c:v>Feeding</c:v>
                </c:pt>
                <c:pt idx="3">
                  <c:v>Routine Bed Baths</c:v>
                </c:pt>
                <c:pt idx="4">
                  <c:v>Bathing Oral Hygiene &amp; Grooming</c:v>
                </c:pt>
                <c:pt idx="5">
                  <c:v>Dressing</c:v>
                </c:pt>
                <c:pt idx="6">
                  <c:v>Repositioning &amp; Rubbing Skin</c:v>
                </c:pt>
                <c:pt idx="7">
                  <c:v>Transfer</c:v>
                </c:pt>
                <c:pt idx="8">
                  <c:v>Care of &amp; Assistance Prosthetic Devices</c:v>
                </c:pt>
                <c:pt idx="9">
                  <c:v>Menstrual Care</c:v>
                </c:pt>
                <c:pt idx="10">
                  <c:v>Ambulation</c:v>
                </c:pt>
                <c:pt idx="11">
                  <c:v>Medical Accompaniment</c:v>
                </c:pt>
                <c:pt idx="12">
                  <c:v>Accompaniment to Alt Resources</c:v>
                </c:pt>
              </c:strCache>
            </c:strRef>
          </c:cat>
          <c:val>
            <c:numRef>
              <c:extLst>
                <c:ext xmlns:c15="http://schemas.microsoft.com/office/drawing/2012/chart" uri="{02D57815-91ED-43cb-92C2-25804820EDAC}">
                  <c15:fullRef>
                    <c15:sqref>'IHSS Services'!$I$63:$I$88</c15:sqref>
                  </c15:fullRef>
                </c:ext>
              </c:extLst>
              <c:f>('IHSS Services'!$I$64,'IHSS Services'!$I$66,'IHSS Services'!$I$68,'IHSS Services'!$I$70,'IHSS Services'!$I$72,'IHSS Services'!$I$74,'IHSS Services'!$I$76,'IHSS Services'!$I$78,'IHSS Services'!$I$80,'IHSS Services'!$I$82,'IHSS Services'!$I$84,'IHSS Services'!$I$86,'IHSS Services'!$I$88)</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CE98-420E-A7A5-B652E74C73D3}"/>
            </c:ext>
          </c:extLst>
        </c:ser>
        <c:ser>
          <c:idx val="1"/>
          <c:order val="1"/>
          <c:tx>
            <c:strRef>
              <c:f>'IHSS Services'!$J$62</c:f>
              <c:strCache>
                <c:ptCount val="1"/>
                <c:pt idx="0">
                  <c:v>  </c:v>
                </c:pt>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13"/>
                      <c:pt idx="0">
                        <c:v>Bowel &amp; Bladder Care</c:v>
                      </c:pt>
                      <c:pt idx="2">
                        <c:v>Respiration</c:v>
                      </c:pt>
                      <c:pt idx="4">
                        <c:v>Feeding</c:v>
                      </c:pt>
                      <c:pt idx="6">
                        <c:v>Routine Bed Baths</c:v>
                      </c:pt>
                      <c:pt idx="8">
                        <c:v>Bathing Oral Hygiene &amp; Grooming</c:v>
                      </c:pt>
                      <c:pt idx="10">
                        <c:v>Dressing</c:v>
                      </c:pt>
                      <c:pt idx="12">
                        <c:v>Repositioning &amp; Rubbing Skin</c:v>
                      </c:pt>
                      <c:pt idx="14">
                        <c:v>Transfer</c:v>
                      </c:pt>
                      <c:pt idx="16">
                        <c:v>Care of &amp; Assistance Prosthetic Devices</c:v>
                      </c:pt>
                      <c:pt idx="18">
                        <c:v>Menstrual Care</c:v>
                      </c:pt>
                      <c:pt idx="20">
                        <c:v>Ambulation</c:v>
                      </c:pt>
                      <c:pt idx="22">
                        <c:v>Medical Accompaniment</c:v>
                      </c:pt>
                      <c:pt idx="24">
                        <c:v>Accompaniment to Alt Resources</c:v>
                      </c:pt>
                    </c:strCache>
                  </c16:filteredLitCache>
                </c:ext>
              </c:extLst>
              <c:f/>
              <c:strCache>
                <c:ptCount val="13"/>
                <c:pt idx="0">
                  <c:v>Bowel &amp; Bladder Care</c:v>
                </c:pt>
                <c:pt idx="1">
                  <c:v>Respiration</c:v>
                </c:pt>
                <c:pt idx="2">
                  <c:v>Feeding</c:v>
                </c:pt>
                <c:pt idx="3">
                  <c:v>Routine Bed Baths</c:v>
                </c:pt>
                <c:pt idx="4">
                  <c:v>Bathing Oral Hygiene &amp; Grooming</c:v>
                </c:pt>
                <c:pt idx="5">
                  <c:v>Dressing</c:v>
                </c:pt>
                <c:pt idx="6">
                  <c:v>Repositioning &amp; Rubbing Skin</c:v>
                </c:pt>
                <c:pt idx="7">
                  <c:v>Transfer</c:v>
                </c:pt>
                <c:pt idx="8">
                  <c:v>Care of &amp; Assistance Prosthetic Devices</c:v>
                </c:pt>
                <c:pt idx="9">
                  <c:v>Menstrual Care</c:v>
                </c:pt>
                <c:pt idx="10">
                  <c:v>Ambulation</c:v>
                </c:pt>
                <c:pt idx="11">
                  <c:v>Medical Accompaniment</c:v>
                </c:pt>
                <c:pt idx="12">
                  <c:v>Accompaniment to Alt Resources</c:v>
                </c:pt>
              </c:strCache>
            </c:strRef>
          </c:cat>
          <c:val>
            <c:numRef>
              <c:extLst>
                <c:ext xmlns:c15="http://schemas.microsoft.com/office/drawing/2012/chart" uri="{02D57815-91ED-43cb-92C2-25804820EDAC}">
                  <c15:fullRef>
                    <c15:sqref>'IHSS Services'!$J$63:$J$88</c15:sqref>
                  </c15:fullRef>
                </c:ext>
              </c:extLst>
              <c:f>('IHSS Services'!$J$64,'IHSS Services'!$J$66,'IHSS Services'!$J$68,'IHSS Services'!$J$70,'IHSS Services'!$J$72,'IHSS Services'!$J$74,'IHSS Services'!$J$76,'IHSS Services'!$J$78,'IHSS Services'!$J$80,'IHSS Services'!$J$82,'IHSS Services'!$J$84,'IHSS Services'!$J$86,'IHSS Services'!$J$88)</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CE98-420E-A7A5-B652E74C73D3}"/>
            </c:ext>
          </c:extLst>
        </c:ser>
        <c:ser>
          <c:idx val="2"/>
          <c:order val="2"/>
          <c:tx>
            <c:strRef>
              <c:f>'IHSS Services'!$K$62</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13"/>
                      <c:pt idx="0">
                        <c:v>Bowel &amp; Bladder Care</c:v>
                      </c:pt>
                      <c:pt idx="2">
                        <c:v>Respiration</c:v>
                      </c:pt>
                      <c:pt idx="4">
                        <c:v>Feeding</c:v>
                      </c:pt>
                      <c:pt idx="6">
                        <c:v>Routine Bed Baths</c:v>
                      </c:pt>
                      <c:pt idx="8">
                        <c:v>Bathing Oral Hygiene &amp; Grooming</c:v>
                      </c:pt>
                      <c:pt idx="10">
                        <c:v>Dressing</c:v>
                      </c:pt>
                      <c:pt idx="12">
                        <c:v>Repositioning &amp; Rubbing Skin</c:v>
                      </c:pt>
                      <c:pt idx="14">
                        <c:v>Transfer</c:v>
                      </c:pt>
                      <c:pt idx="16">
                        <c:v>Care of &amp; Assistance Prosthetic Devices</c:v>
                      </c:pt>
                      <c:pt idx="18">
                        <c:v>Menstrual Care</c:v>
                      </c:pt>
                      <c:pt idx="20">
                        <c:v>Ambulation</c:v>
                      </c:pt>
                      <c:pt idx="22">
                        <c:v>Medical Accompaniment</c:v>
                      </c:pt>
                      <c:pt idx="24">
                        <c:v>Accompaniment to Alt Resources</c:v>
                      </c:pt>
                    </c:strCache>
                  </c16:filteredLitCache>
                </c:ext>
              </c:extLst>
              <c:f/>
              <c:strCache>
                <c:ptCount val="13"/>
                <c:pt idx="0">
                  <c:v>Bowel &amp; Bladder Care</c:v>
                </c:pt>
                <c:pt idx="1">
                  <c:v>Respiration</c:v>
                </c:pt>
                <c:pt idx="2">
                  <c:v>Feeding</c:v>
                </c:pt>
                <c:pt idx="3">
                  <c:v>Routine Bed Baths</c:v>
                </c:pt>
                <c:pt idx="4">
                  <c:v>Bathing Oral Hygiene &amp; Grooming</c:v>
                </c:pt>
                <c:pt idx="5">
                  <c:v>Dressing</c:v>
                </c:pt>
                <c:pt idx="6">
                  <c:v>Repositioning &amp; Rubbing Skin</c:v>
                </c:pt>
                <c:pt idx="7">
                  <c:v>Transfer</c:v>
                </c:pt>
                <c:pt idx="8">
                  <c:v>Care of &amp; Assistance Prosthetic Devices</c:v>
                </c:pt>
                <c:pt idx="9">
                  <c:v>Menstrual Care</c:v>
                </c:pt>
                <c:pt idx="10">
                  <c:v>Ambulation</c:v>
                </c:pt>
                <c:pt idx="11">
                  <c:v>Medical Accompaniment</c:v>
                </c:pt>
                <c:pt idx="12">
                  <c:v>Accompaniment to Alt Resources</c:v>
                </c:pt>
              </c:strCache>
            </c:strRef>
          </c:cat>
          <c:val>
            <c:numRef>
              <c:extLst>
                <c:ext xmlns:c15="http://schemas.microsoft.com/office/drawing/2012/chart" uri="{02D57815-91ED-43cb-92C2-25804820EDAC}">
                  <c15:fullRef>
                    <c15:sqref>'IHSS Services'!$K$63:$K$88</c15:sqref>
                  </c15:fullRef>
                </c:ext>
              </c:extLst>
              <c:f>('IHSS Services'!$K$64,'IHSS Services'!$K$66,'IHSS Services'!$K$68,'IHSS Services'!$K$70,'IHSS Services'!$K$72,'IHSS Services'!$K$74,'IHSS Services'!$K$76,'IHSS Services'!$K$78,'IHSS Services'!$K$80,'IHSS Services'!$K$82,'IHSS Services'!$K$84,'IHSS Services'!$K$86,'IHSS Services'!$K$88)</c:f>
              <c:numCache>
                <c:formatCode>#,##0.0</c:formatCode>
                <c:ptCount val="13"/>
                <c:pt idx="0">
                  <c:v>15.380700014224805</c:v>
                </c:pt>
                <c:pt idx="1">
                  <c:v>5.8749641466912523</c:v>
                </c:pt>
                <c:pt idx="2">
                  <c:v>13.811219258488743</c:v>
                </c:pt>
                <c:pt idx="3">
                  <c:v>10.451885436249032</c:v>
                </c:pt>
                <c:pt idx="4">
                  <c:v>13.24737314445386</c:v>
                </c:pt>
                <c:pt idx="5">
                  <c:v>8.2797195030527035</c:v>
                </c:pt>
                <c:pt idx="6">
                  <c:v>8.970825056169053</c:v>
                </c:pt>
                <c:pt idx="7">
                  <c:v>6.7331807243882444</c:v>
                </c:pt>
                <c:pt idx="8">
                  <c:v>3.4687078566357363</c:v>
                </c:pt>
                <c:pt idx="9">
                  <c:v>2.6439364670530154</c:v>
                </c:pt>
                <c:pt idx="10">
                  <c:v>8.6139689305920175</c:v>
                </c:pt>
                <c:pt idx="11">
                  <c:v>3.1454776946550864</c:v>
                </c:pt>
                <c:pt idx="12">
                  <c:v>7.2742279462678292</c:v>
                </c:pt>
              </c:numCache>
            </c:numRef>
          </c:val>
          <c:extLst>
            <c:ext xmlns:c16="http://schemas.microsoft.com/office/drawing/2014/chart" uri="{C3380CC4-5D6E-409C-BE32-E72D297353CC}">
              <c16:uniqueId val="{00000002-CE98-420E-A7A5-B652E74C73D3}"/>
            </c:ext>
          </c:extLst>
        </c:ser>
        <c:dLbls>
          <c:dLblPos val="outEnd"/>
          <c:showLegendKey val="0"/>
          <c:showVal val="1"/>
          <c:showCatName val="0"/>
          <c:showSerName val="0"/>
          <c:showPercent val="0"/>
          <c:showBubbleSize val="0"/>
        </c:dLbls>
        <c:gapWidth val="52"/>
        <c:overlap val="-10"/>
        <c:axId val="551170824"/>
        <c:axId val="551166888"/>
      </c:barChart>
      <c:catAx>
        <c:axId val="551170824"/>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0" sourceLinked="1"/>
        <c:majorTickMark val="none"/>
        <c:minorTickMark val="none"/>
        <c:tickLblPos val="nextTo"/>
        <c:crossAx val="551170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Domestic and Related Services:</a:t>
            </a:r>
          </a:p>
          <a:p>
            <a:pPr>
              <a:defRPr sz="1200">
                <a:solidFill>
                  <a:schemeClr val="tx1"/>
                </a:solidFill>
                <a:latin typeface="Arial" panose="020B0604020202020204" pitchFamily="34" charset="0"/>
                <a:cs typeface="Arial" panose="020B0604020202020204" pitchFamily="34" charset="0"/>
              </a:defRPr>
            </a:pPr>
            <a:r>
              <a:rPr lang="en-US"/>
              <a:t>Percent of Recipients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'IHSS Services'!$D$122</c:f>
              <c:strCache>
                <c:ptCount val="1"/>
              </c:strCache>
            </c:strRef>
          </c:tx>
          <c:spPr>
            <a:solidFill>
              <a:srgbClr val="5B9BD5">
                <a:lumMod val="50000"/>
              </a:srgbClr>
            </a:solidFill>
            <a:ln>
              <a:solidFill>
                <a:sysClr val="windowText" lastClr="000000"/>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7"/>
                      <c:pt idx="0">
                        <c:v>Domestic Services</c:v>
                      </c:pt>
                      <c:pt idx="2">
                        <c:v>Meal Preparation</c:v>
                      </c:pt>
                      <c:pt idx="4">
                        <c:v>Meal Clean Up</c:v>
                      </c:pt>
                      <c:pt idx="6">
                        <c:v>Laundry</c:v>
                      </c:pt>
                      <c:pt idx="8">
                        <c:v>Shopping for Food</c:v>
                      </c:pt>
                      <c:pt idx="10">
                        <c:v>Other Shopping/Errands</c:v>
                      </c:pt>
                      <c:pt idx="12">
                        <c:v>Restaurant Meal Allowance</c:v>
                      </c:pt>
                    </c:strCache>
                  </c16:filteredLitCache>
                </c:ext>
              </c:extLst>
              <c:f/>
              <c:strCache>
                <c:ptCount val="7"/>
                <c:pt idx="0">
                  <c:v>Domestic Services</c:v>
                </c:pt>
                <c:pt idx="1">
                  <c:v>Meal Preparation</c:v>
                </c:pt>
                <c:pt idx="2">
                  <c:v>Meal Clean Up</c:v>
                </c:pt>
                <c:pt idx="3">
                  <c:v>Laundry</c:v>
                </c:pt>
                <c:pt idx="4">
                  <c:v>Shopping for Food</c:v>
                </c:pt>
                <c:pt idx="5">
                  <c:v>Other Shopping/Errands</c:v>
                </c:pt>
                <c:pt idx="6">
                  <c:v>Restaurant Meal Allowance</c:v>
                </c:pt>
              </c:strCache>
            </c:strRef>
          </c:cat>
          <c:val>
            <c:numRef>
              <c:extLst>
                <c:ext xmlns:c15="http://schemas.microsoft.com/office/drawing/2012/chart" uri="{02D57815-91ED-43cb-92C2-25804820EDAC}">
                  <c15:fullRef>
                    <c15:sqref>'IHSS Services'!$D$123:$D$136</c15:sqref>
                  </c15:fullRef>
                </c:ext>
              </c:extLst>
              <c:f>('IHSS Services'!$D$124,'IHSS Services'!$D$126,'IHSS Services'!$D$128,'IHSS Services'!$D$130,'IHSS Services'!$D$132,'IHSS Services'!$D$134,'IHSS Services'!$D$136)</c:f>
              <c:numCache>
                <c:formatCode>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E98-420E-A7A5-B652E74C73D3}"/>
            </c:ext>
          </c:extLst>
        </c:ser>
        <c:ser>
          <c:idx val="1"/>
          <c:order val="1"/>
          <c:tx>
            <c:strRef>
              <c:f>'IHSS Services'!$E$122</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7"/>
                      <c:pt idx="0">
                        <c:v>Domestic Services</c:v>
                      </c:pt>
                      <c:pt idx="2">
                        <c:v>Meal Preparation</c:v>
                      </c:pt>
                      <c:pt idx="4">
                        <c:v>Meal Clean Up</c:v>
                      </c:pt>
                      <c:pt idx="6">
                        <c:v>Laundry</c:v>
                      </c:pt>
                      <c:pt idx="8">
                        <c:v>Shopping for Food</c:v>
                      </c:pt>
                      <c:pt idx="10">
                        <c:v>Other Shopping/Errands</c:v>
                      </c:pt>
                      <c:pt idx="12">
                        <c:v>Restaurant Meal Allowance</c:v>
                      </c:pt>
                    </c:strCache>
                  </c16:filteredLitCache>
                </c:ext>
              </c:extLst>
              <c:f/>
              <c:strCache>
                <c:ptCount val="7"/>
                <c:pt idx="0">
                  <c:v>Domestic Services</c:v>
                </c:pt>
                <c:pt idx="1">
                  <c:v>Meal Preparation</c:v>
                </c:pt>
                <c:pt idx="2">
                  <c:v>Meal Clean Up</c:v>
                </c:pt>
                <c:pt idx="3">
                  <c:v>Laundry</c:v>
                </c:pt>
                <c:pt idx="4">
                  <c:v>Shopping for Food</c:v>
                </c:pt>
                <c:pt idx="5">
                  <c:v>Other Shopping/Errands</c:v>
                </c:pt>
                <c:pt idx="6">
                  <c:v>Restaurant Meal Allowance</c:v>
                </c:pt>
              </c:strCache>
            </c:strRef>
          </c:cat>
          <c:val>
            <c:numRef>
              <c:extLst>
                <c:ext xmlns:c15="http://schemas.microsoft.com/office/drawing/2012/chart" uri="{02D57815-91ED-43cb-92C2-25804820EDAC}">
                  <c15:fullRef>
                    <c15:sqref>'IHSS Services'!$E$123:$E$136</c15:sqref>
                  </c15:fullRef>
                </c:ext>
              </c:extLst>
              <c:f>('IHSS Services'!$E$124,'IHSS Services'!$E$126,'IHSS Services'!$E$128,'IHSS Services'!$E$130,'IHSS Services'!$E$132,'IHSS Services'!$E$134,'IHSS Services'!$E$136)</c:f>
              <c:numCache>
                <c:formatCode>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CE98-420E-A7A5-B652E74C73D3}"/>
            </c:ext>
          </c:extLst>
        </c:ser>
        <c:ser>
          <c:idx val="2"/>
          <c:order val="2"/>
          <c:tx>
            <c:strRef>
              <c:f>'IHSS Services'!$F$122</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7"/>
                      <c:pt idx="0">
                        <c:v>Domestic Services</c:v>
                      </c:pt>
                      <c:pt idx="2">
                        <c:v>Meal Preparation</c:v>
                      </c:pt>
                      <c:pt idx="4">
                        <c:v>Meal Clean Up</c:v>
                      </c:pt>
                      <c:pt idx="6">
                        <c:v>Laundry</c:v>
                      </c:pt>
                      <c:pt idx="8">
                        <c:v>Shopping for Food</c:v>
                      </c:pt>
                      <c:pt idx="10">
                        <c:v>Other Shopping/Errands</c:v>
                      </c:pt>
                      <c:pt idx="12">
                        <c:v>Restaurant Meal Allowance</c:v>
                      </c:pt>
                    </c:strCache>
                  </c16:filteredLitCache>
                </c:ext>
              </c:extLst>
              <c:f/>
              <c:strCache>
                <c:ptCount val="7"/>
                <c:pt idx="0">
                  <c:v>Domestic Services</c:v>
                </c:pt>
                <c:pt idx="1">
                  <c:v>Meal Preparation</c:v>
                </c:pt>
                <c:pt idx="2">
                  <c:v>Meal Clean Up</c:v>
                </c:pt>
                <c:pt idx="3">
                  <c:v>Laundry</c:v>
                </c:pt>
                <c:pt idx="4">
                  <c:v>Shopping for Food</c:v>
                </c:pt>
                <c:pt idx="5">
                  <c:v>Other Shopping/Errands</c:v>
                </c:pt>
                <c:pt idx="6">
                  <c:v>Restaurant Meal Allowance</c:v>
                </c:pt>
              </c:strCache>
            </c:strRef>
          </c:cat>
          <c:val>
            <c:numRef>
              <c:extLst>
                <c:ext xmlns:c15="http://schemas.microsoft.com/office/drawing/2012/chart" uri="{02D57815-91ED-43cb-92C2-25804820EDAC}">
                  <c15:fullRef>
                    <c15:sqref>'IHSS Services'!$F$123:$F$136</c15:sqref>
                  </c15:fullRef>
                </c:ext>
              </c:extLst>
              <c:f>('IHSS Services'!$F$124,'IHSS Services'!$F$126,'IHSS Services'!$F$128,'IHSS Services'!$F$130,'IHSS Services'!$F$132,'IHSS Services'!$F$134,'IHSS Services'!$F$136)</c:f>
              <c:numCache>
                <c:formatCode>0.0%</c:formatCode>
                <c:ptCount val="7"/>
                <c:pt idx="0">
                  <c:v>0.83263533636763098</c:v>
                </c:pt>
                <c:pt idx="1">
                  <c:v>0.83623472227496376</c:v>
                </c:pt>
                <c:pt idx="2">
                  <c:v>0.82617705615259007</c:v>
                </c:pt>
                <c:pt idx="3">
                  <c:v>0.85697255569961539</c:v>
                </c:pt>
                <c:pt idx="4">
                  <c:v>0.82829410264895276</c:v>
                </c:pt>
                <c:pt idx="5">
                  <c:v>0.82990799459685249</c:v>
                </c:pt>
                <c:pt idx="6">
                  <c:v>1.3019632520872099E-4</c:v>
                </c:pt>
              </c:numCache>
            </c:numRef>
          </c:val>
          <c:extLst>
            <c:ext xmlns:c16="http://schemas.microsoft.com/office/drawing/2014/chart" uri="{C3380CC4-5D6E-409C-BE32-E72D297353CC}">
              <c16:uniqueId val="{00000002-CE98-420E-A7A5-B652E74C73D3}"/>
            </c:ext>
          </c:extLst>
        </c:ser>
        <c:dLbls>
          <c:dLblPos val="outEnd"/>
          <c:showLegendKey val="0"/>
          <c:showVal val="1"/>
          <c:showCatName val="0"/>
          <c:showSerName val="0"/>
          <c:showPercent val="0"/>
          <c:showBubbleSize val="0"/>
        </c:dLbls>
        <c:gapWidth val="92"/>
        <c:overlap val="-10"/>
        <c:axId val="551170824"/>
        <c:axId val="551166888"/>
      </c:barChart>
      <c:catAx>
        <c:axId val="551170824"/>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 sourceLinked="1"/>
        <c:majorTickMark val="none"/>
        <c:minorTickMark val="none"/>
        <c:tickLblPos val="nextTo"/>
        <c:crossAx val="551170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r>
              <a:rPr lang="en-US" sz="1200"/>
              <a:t>Domestic and Related Services: </a:t>
            </a:r>
          </a:p>
          <a:p>
            <a:pPr>
              <a:defRPr sz="1200"/>
            </a:pPr>
            <a:r>
              <a:rPr lang="en-US" sz="1200"/>
              <a:t>Authorized Hours per Recipient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3366635622160135"/>
          <c:y val="0.11705971734563586"/>
          <c:w val="0.64380420189411802"/>
          <c:h val="0.79870079884375822"/>
        </c:manualLayout>
      </c:layout>
      <c:barChart>
        <c:barDir val="bar"/>
        <c:grouping val="clustered"/>
        <c:varyColors val="0"/>
        <c:ser>
          <c:idx val="0"/>
          <c:order val="0"/>
          <c:tx>
            <c:strRef>
              <c:f>'IHSS Services'!$I$122</c:f>
              <c:strCache>
                <c:ptCount val="1"/>
              </c:strCache>
            </c:strRef>
          </c:tx>
          <c:spPr>
            <a:solidFill>
              <a:srgbClr val="5B9BD5">
                <a:lumMod val="50000"/>
              </a:srgbClr>
            </a:solidFill>
            <a:ln>
              <a:solidFill>
                <a:sysClr val="windowText" lastClr="000000"/>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7"/>
                      <c:pt idx="0">
                        <c:v>Domestic Services</c:v>
                      </c:pt>
                      <c:pt idx="2">
                        <c:v>Meal Preparation</c:v>
                      </c:pt>
                      <c:pt idx="4">
                        <c:v>Meal Clean Up</c:v>
                      </c:pt>
                      <c:pt idx="6">
                        <c:v>Laundry</c:v>
                      </c:pt>
                      <c:pt idx="8">
                        <c:v>Shopping for Food</c:v>
                      </c:pt>
                      <c:pt idx="10">
                        <c:v>Other Shopping/Errands</c:v>
                      </c:pt>
                      <c:pt idx="12">
                        <c:v>Restaurant Meal Allowance</c:v>
                      </c:pt>
                    </c:strCache>
                  </c16:filteredLitCache>
                </c:ext>
              </c:extLst>
              <c:f/>
              <c:strCache>
                <c:ptCount val="7"/>
                <c:pt idx="0">
                  <c:v>Domestic Services</c:v>
                </c:pt>
                <c:pt idx="1">
                  <c:v>Meal Preparation</c:v>
                </c:pt>
                <c:pt idx="2">
                  <c:v>Meal Clean Up</c:v>
                </c:pt>
                <c:pt idx="3">
                  <c:v>Laundry</c:v>
                </c:pt>
                <c:pt idx="4">
                  <c:v>Shopping for Food</c:v>
                </c:pt>
                <c:pt idx="5">
                  <c:v>Other Shopping/Errands</c:v>
                </c:pt>
                <c:pt idx="6">
                  <c:v>Restaurant Meal Allowance</c:v>
                </c:pt>
              </c:strCache>
            </c:strRef>
          </c:cat>
          <c:val>
            <c:numRef>
              <c:extLst>
                <c:ext xmlns:c15="http://schemas.microsoft.com/office/drawing/2012/chart" uri="{02D57815-91ED-43cb-92C2-25804820EDAC}">
                  <c15:fullRef>
                    <c15:sqref>'IHSS Services'!$I$123:$I$136</c15:sqref>
                  </c15:fullRef>
                </c:ext>
              </c:extLst>
              <c:f>('IHSS Services'!$I$124,'IHSS Services'!$I$126,'IHSS Services'!$I$128,'IHSS Services'!$I$130,'IHSS Services'!$I$132,'IHSS Services'!$I$134,'IHSS Services'!$I$136)</c:f>
              <c:numCache>
                <c:formatCode>#,##0.0</c:formatCode>
                <c:ptCount val="7"/>
                <c:pt idx="0">
                  <c:v>0</c:v>
                </c:pt>
                <c:pt idx="1">
                  <c:v>0</c:v>
                </c:pt>
                <c:pt idx="2">
                  <c:v>0</c:v>
                </c:pt>
                <c:pt idx="3">
                  <c:v>0</c:v>
                </c:pt>
                <c:pt idx="4">
                  <c:v>0</c:v>
                </c:pt>
                <c:pt idx="5">
                  <c:v>0</c:v>
                </c:pt>
                <c:pt idx="6" formatCode="#,##0">
                  <c:v>0</c:v>
                </c:pt>
              </c:numCache>
            </c:numRef>
          </c:val>
          <c:extLst>
            <c:ext xmlns:c16="http://schemas.microsoft.com/office/drawing/2014/chart" uri="{C3380CC4-5D6E-409C-BE32-E72D297353CC}">
              <c16:uniqueId val="{00000000-EE5C-4F9A-ABF2-79ABF689A284}"/>
            </c:ext>
          </c:extLst>
        </c:ser>
        <c:ser>
          <c:idx val="1"/>
          <c:order val="1"/>
          <c:tx>
            <c:strRef>
              <c:f>'IHSS Services'!$J$122</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7"/>
                      <c:pt idx="0">
                        <c:v>Domestic Services</c:v>
                      </c:pt>
                      <c:pt idx="2">
                        <c:v>Meal Preparation</c:v>
                      </c:pt>
                      <c:pt idx="4">
                        <c:v>Meal Clean Up</c:v>
                      </c:pt>
                      <c:pt idx="6">
                        <c:v>Laundry</c:v>
                      </c:pt>
                      <c:pt idx="8">
                        <c:v>Shopping for Food</c:v>
                      </c:pt>
                      <c:pt idx="10">
                        <c:v>Other Shopping/Errands</c:v>
                      </c:pt>
                      <c:pt idx="12">
                        <c:v>Restaurant Meal Allowance</c:v>
                      </c:pt>
                    </c:strCache>
                  </c16:filteredLitCache>
                </c:ext>
              </c:extLst>
              <c:f/>
              <c:strCache>
                <c:ptCount val="7"/>
                <c:pt idx="0">
                  <c:v>Domestic Services</c:v>
                </c:pt>
                <c:pt idx="1">
                  <c:v>Meal Preparation</c:v>
                </c:pt>
                <c:pt idx="2">
                  <c:v>Meal Clean Up</c:v>
                </c:pt>
                <c:pt idx="3">
                  <c:v>Laundry</c:v>
                </c:pt>
                <c:pt idx="4">
                  <c:v>Shopping for Food</c:v>
                </c:pt>
                <c:pt idx="5">
                  <c:v>Other Shopping/Errands</c:v>
                </c:pt>
                <c:pt idx="6">
                  <c:v>Restaurant Meal Allowance</c:v>
                </c:pt>
              </c:strCache>
            </c:strRef>
          </c:cat>
          <c:val>
            <c:numRef>
              <c:extLst>
                <c:ext xmlns:c15="http://schemas.microsoft.com/office/drawing/2012/chart" uri="{02D57815-91ED-43cb-92C2-25804820EDAC}">
                  <c15:fullRef>
                    <c15:sqref>'IHSS Services'!$J$123:$J$136</c15:sqref>
                  </c15:fullRef>
                </c:ext>
              </c:extLst>
              <c:f>('IHSS Services'!$J$124,'IHSS Services'!$J$126,'IHSS Services'!$J$128,'IHSS Services'!$J$130,'IHSS Services'!$J$132,'IHSS Services'!$J$134,'IHSS Services'!$J$136)</c:f>
              <c:numCache>
                <c:formatCode>#,##0.0</c:formatCode>
                <c:ptCount val="7"/>
                <c:pt idx="0">
                  <c:v>0</c:v>
                </c:pt>
                <c:pt idx="1">
                  <c:v>0</c:v>
                </c:pt>
                <c:pt idx="2">
                  <c:v>0</c:v>
                </c:pt>
                <c:pt idx="3">
                  <c:v>0</c:v>
                </c:pt>
                <c:pt idx="4">
                  <c:v>0</c:v>
                </c:pt>
                <c:pt idx="5">
                  <c:v>0</c:v>
                </c:pt>
                <c:pt idx="6" formatCode="#,##0">
                  <c:v>0</c:v>
                </c:pt>
              </c:numCache>
            </c:numRef>
          </c:val>
          <c:extLst>
            <c:ext xmlns:c16="http://schemas.microsoft.com/office/drawing/2014/chart" uri="{C3380CC4-5D6E-409C-BE32-E72D297353CC}">
              <c16:uniqueId val="{00000001-EE5C-4F9A-ABF2-79ABF689A284}"/>
            </c:ext>
          </c:extLst>
        </c:ser>
        <c:ser>
          <c:idx val="2"/>
          <c:order val="2"/>
          <c:tx>
            <c:strRef>
              <c:f>'IHSS Services'!$K$122</c:f>
              <c:strCache>
                <c:ptCount val="1"/>
                <c:pt idx="0">
                  <c:v>Statewide</c:v>
                </c:pt>
              </c:strCache>
            </c:strRef>
          </c:tx>
          <c:spPr>
            <a:solidFill>
              <a:srgbClr val="E7E6E6">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7"/>
                      <c:pt idx="0">
                        <c:v>Domestic Services</c:v>
                      </c:pt>
                      <c:pt idx="2">
                        <c:v>Meal Preparation</c:v>
                      </c:pt>
                      <c:pt idx="4">
                        <c:v>Meal Clean Up</c:v>
                      </c:pt>
                      <c:pt idx="6">
                        <c:v>Laundry</c:v>
                      </c:pt>
                      <c:pt idx="8">
                        <c:v>Shopping for Food</c:v>
                      </c:pt>
                      <c:pt idx="10">
                        <c:v>Other Shopping/Errands</c:v>
                      </c:pt>
                      <c:pt idx="12">
                        <c:v>Restaurant Meal Allowance</c:v>
                      </c:pt>
                    </c:strCache>
                  </c16:filteredLitCache>
                </c:ext>
              </c:extLst>
              <c:f/>
              <c:strCache>
                <c:ptCount val="7"/>
                <c:pt idx="0">
                  <c:v>Domestic Services</c:v>
                </c:pt>
                <c:pt idx="1">
                  <c:v>Meal Preparation</c:v>
                </c:pt>
                <c:pt idx="2">
                  <c:v>Meal Clean Up</c:v>
                </c:pt>
                <c:pt idx="3">
                  <c:v>Laundry</c:v>
                </c:pt>
                <c:pt idx="4">
                  <c:v>Shopping for Food</c:v>
                </c:pt>
                <c:pt idx="5">
                  <c:v>Other Shopping/Errands</c:v>
                </c:pt>
                <c:pt idx="6">
                  <c:v>Restaurant Meal Allowance</c:v>
                </c:pt>
              </c:strCache>
            </c:strRef>
          </c:cat>
          <c:val>
            <c:numRef>
              <c:extLst>
                <c:ext xmlns:c15="http://schemas.microsoft.com/office/drawing/2012/chart" uri="{02D57815-91ED-43cb-92C2-25804820EDAC}">
                  <c15:fullRef>
                    <c15:sqref>'IHSS Services'!$K$123:$K$136</c15:sqref>
                  </c15:fullRef>
                </c:ext>
              </c:extLst>
              <c:f>('IHSS Services'!$K$124,'IHSS Services'!$K$126,'IHSS Services'!$K$128,'IHSS Services'!$K$130,'IHSS Services'!$K$132,'IHSS Services'!$K$134,'IHSS Services'!$K$136)</c:f>
              <c:numCache>
                <c:formatCode>#,##0.0</c:formatCode>
                <c:ptCount val="7"/>
                <c:pt idx="0">
                  <c:v>3.1152669144642329</c:v>
                </c:pt>
                <c:pt idx="1">
                  <c:v>22.707354410343239</c:v>
                </c:pt>
                <c:pt idx="2">
                  <c:v>9.3822786368561015</c:v>
                </c:pt>
                <c:pt idx="3">
                  <c:v>4.9301170937208711</c:v>
                </c:pt>
                <c:pt idx="4">
                  <c:v>2.8605202532661145</c:v>
                </c:pt>
                <c:pt idx="5">
                  <c:v>2.0525302689355498</c:v>
                </c:pt>
                <c:pt idx="6" formatCode="#,##0">
                  <c:v>0</c:v>
                </c:pt>
              </c:numCache>
            </c:numRef>
          </c:val>
          <c:extLst>
            <c:ext xmlns:c16="http://schemas.microsoft.com/office/drawing/2014/chart" uri="{C3380CC4-5D6E-409C-BE32-E72D297353CC}">
              <c16:uniqueId val="{00000002-EE5C-4F9A-ABF2-79ABF689A284}"/>
            </c:ext>
          </c:extLst>
        </c:ser>
        <c:dLbls>
          <c:dLblPos val="outEnd"/>
          <c:showLegendKey val="0"/>
          <c:showVal val="1"/>
          <c:showCatName val="0"/>
          <c:showSerName val="0"/>
          <c:showPercent val="0"/>
          <c:showBubbleSize val="0"/>
        </c:dLbls>
        <c:gapWidth val="92"/>
        <c:overlap val="-10"/>
        <c:axId val="551170824"/>
        <c:axId val="551166888"/>
      </c:barChart>
      <c:catAx>
        <c:axId val="551170824"/>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0" sourceLinked="1"/>
        <c:majorTickMark val="none"/>
        <c:minorTickMark val="none"/>
        <c:tickLblPos val="nextTo"/>
        <c:crossAx val="551170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solidFill>
            <a:schemeClr val="tx1">
              <a:lumMod val="95000"/>
              <a:lumOff val="5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Recipients: Age by Groups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'Age Gender'!$C$23</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6"/>
                      <c:pt idx="0">
                        <c:v>0-17 yrs  (Minors)</c:v>
                      </c:pt>
                      <c:pt idx="2">
                        <c:v>18-44 yrs</c:v>
                      </c:pt>
                      <c:pt idx="4">
                        <c:v>45 to 64 yrs</c:v>
                      </c:pt>
                      <c:pt idx="6">
                        <c:v>65 to 74 yrs</c:v>
                      </c:pt>
                      <c:pt idx="8">
                        <c:v>75 to 84 yrs</c:v>
                      </c:pt>
                      <c:pt idx="10">
                        <c:v>85+ yrs</c:v>
                      </c:pt>
                    </c:strCache>
                  </c16:filteredLitCache>
                </c:ext>
              </c:extLst>
              <c:f/>
              <c:strCache>
                <c:ptCount val="6"/>
                <c:pt idx="0">
                  <c:v>0-17 yrs  (Minors)</c:v>
                </c:pt>
                <c:pt idx="1">
                  <c:v>18-44 yrs</c:v>
                </c:pt>
                <c:pt idx="2">
                  <c:v>45 to 64 yrs</c:v>
                </c:pt>
                <c:pt idx="3">
                  <c:v>65 to 74 yrs</c:v>
                </c:pt>
                <c:pt idx="4">
                  <c:v>75 to 84 yrs</c:v>
                </c:pt>
                <c:pt idx="5">
                  <c:v>85+ yrs</c:v>
                </c:pt>
              </c:strCache>
            </c:strRef>
          </c:cat>
          <c:val>
            <c:numRef>
              <c:extLst>
                <c:ext xmlns:c15="http://schemas.microsoft.com/office/drawing/2012/chart" uri="{02D57815-91ED-43cb-92C2-25804820EDAC}">
                  <c15:fullRef>
                    <c15:sqref>'Age Gender'!$D$23:$O$23</c15:sqref>
                  </c15:fullRef>
                </c:ext>
              </c:extLst>
              <c:f>('Age Gender'!$E$23,'Age Gender'!$G$23,'Age Gender'!$I$23,'Age Gender'!$K$23,'Age Gender'!$M$23,'Age Gender'!$O$23)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0EF-4E2C-A584-D0ED90B8C6C2}"/>
            </c:ext>
          </c:extLst>
        </c:ser>
        <c:ser>
          <c:idx val="1"/>
          <c:order val="1"/>
          <c:tx>
            <c:strRef>
              <c:f>'Age Gender'!$C$24</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6"/>
                      <c:pt idx="0">
                        <c:v>0-17 yrs  (Minors)</c:v>
                      </c:pt>
                      <c:pt idx="2">
                        <c:v>18-44 yrs</c:v>
                      </c:pt>
                      <c:pt idx="4">
                        <c:v>45 to 64 yrs</c:v>
                      </c:pt>
                      <c:pt idx="6">
                        <c:v>65 to 74 yrs</c:v>
                      </c:pt>
                      <c:pt idx="8">
                        <c:v>75 to 84 yrs</c:v>
                      </c:pt>
                      <c:pt idx="10">
                        <c:v>85+ yrs</c:v>
                      </c:pt>
                    </c:strCache>
                  </c16:filteredLitCache>
                </c:ext>
              </c:extLst>
              <c:f/>
              <c:strCache>
                <c:ptCount val="6"/>
                <c:pt idx="0">
                  <c:v>0-17 yrs  (Minors)</c:v>
                </c:pt>
                <c:pt idx="1">
                  <c:v>18-44 yrs</c:v>
                </c:pt>
                <c:pt idx="2">
                  <c:v>45 to 64 yrs</c:v>
                </c:pt>
                <c:pt idx="3">
                  <c:v>65 to 74 yrs</c:v>
                </c:pt>
                <c:pt idx="4">
                  <c:v>75 to 84 yrs</c:v>
                </c:pt>
                <c:pt idx="5">
                  <c:v>85+ yrs</c:v>
                </c:pt>
              </c:strCache>
            </c:strRef>
          </c:cat>
          <c:val>
            <c:numRef>
              <c:extLst>
                <c:ext xmlns:c15="http://schemas.microsoft.com/office/drawing/2012/chart" uri="{02D57815-91ED-43cb-92C2-25804820EDAC}">
                  <c15:fullRef>
                    <c15:sqref>'Age Gender'!$D$24:$O$24</c15:sqref>
                  </c15:fullRef>
                </c:ext>
              </c:extLst>
              <c:f>('Age Gender'!$E$24,'Age Gender'!$G$24,'Age Gender'!$I$24,'Age Gender'!$K$24,'Age Gender'!$M$24,'Age Gender'!$O$24)</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D0EF-4E2C-A584-D0ED90B8C6C2}"/>
            </c:ext>
          </c:extLst>
        </c:ser>
        <c:ser>
          <c:idx val="2"/>
          <c:order val="2"/>
          <c:tx>
            <c:strRef>
              <c:f>'Age Gender'!$C$25</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6"/>
                      <c:pt idx="0">
                        <c:v>0-17 yrs  (Minors)</c:v>
                      </c:pt>
                      <c:pt idx="2">
                        <c:v>18-44 yrs</c:v>
                      </c:pt>
                      <c:pt idx="4">
                        <c:v>45 to 64 yrs</c:v>
                      </c:pt>
                      <c:pt idx="6">
                        <c:v>65 to 74 yrs</c:v>
                      </c:pt>
                      <c:pt idx="8">
                        <c:v>75 to 84 yrs</c:v>
                      </c:pt>
                      <c:pt idx="10">
                        <c:v>85+ yrs</c:v>
                      </c:pt>
                    </c:strCache>
                  </c16:filteredLitCache>
                </c:ext>
              </c:extLst>
              <c:f/>
              <c:strCache>
                <c:ptCount val="6"/>
                <c:pt idx="0">
                  <c:v>0-17 yrs  (Minors)</c:v>
                </c:pt>
                <c:pt idx="1">
                  <c:v>18-44 yrs</c:v>
                </c:pt>
                <c:pt idx="2">
                  <c:v>45 to 64 yrs</c:v>
                </c:pt>
                <c:pt idx="3">
                  <c:v>65 to 74 yrs</c:v>
                </c:pt>
                <c:pt idx="4">
                  <c:v>75 to 84 yrs</c:v>
                </c:pt>
                <c:pt idx="5">
                  <c:v>85+ yrs</c:v>
                </c:pt>
              </c:strCache>
            </c:strRef>
          </c:cat>
          <c:val>
            <c:numRef>
              <c:extLst>
                <c:ext xmlns:c15="http://schemas.microsoft.com/office/drawing/2012/chart" uri="{02D57815-91ED-43cb-92C2-25804820EDAC}">
                  <c15:fullRef>
                    <c15:sqref>'Age Gender'!$D$25:$O$25</c15:sqref>
                  </c15:fullRef>
                </c:ext>
              </c:extLst>
              <c:f>('Age Gender'!$E$25,'Age Gender'!$G$25,'Age Gender'!$I$25,'Age Gender'!$K$25,'Age Gender'!$M$25,'Age Gender'!$O$25)</c:f>
              <c:numCache>
                <c:formatCode>0.0%</c:formatCode>
                <c:ptCount val="6"/>
                <c:pt idx="0">
                  <c:v>9.3246336872141788E-2</c:v>
                </c:pt>
                <c:pt idx="1">
                  <c:v>0.14445960387768056</c:v>
                </c:pt>
                <c:pt idx="2">
                  <c:v>0.20547285677861743</c:v>
                </c:pt>
                <c:pt idx="3">
                  <c:v>0.20780418472688608</c:v>
                </c:pt>
                <c:pt idx="4">
                  <c:v>0.20375318031648557</c:v>
                </c:pt>
                <c:pt idx="5">
                  <c:v>0.1452638374281886</c:v>
                </c:pt>
              </c:numCache>
            </c:numRef>
          </c:val>
          <c:extLst>
            <c:ext xmlns:c16="http://schemas.microsoft.com/office/drawing/2014/chart" uri="{C3380CC4-5D6E-409C-BE32-E72D297353CC}">
              <c16:uniqueId val="{00000002-D0EF-4E2C-A584-D0ED90B8C6C2}"/>
            </c:ext>
          </c:extLst>
        </c:ser>
        <c:dLbls>
          <c:showLegendKey val="0"/>
          <c:showVal val="0"/>
          <c:showCatName val="0"/>
          <c:showSerName val="0"/>
          <c:showPercent val="0"/>
          <c:showBubbleSize val="0"/>
        </c:dLbls>
        <c:gapWidth val="180"/>
        <c:overlap val="-20"/>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Recipients:</a:t>
            </a:r>
            <a:r>
              <a:rPr lang="en-US" baseline="0"/>
              <a:t> </a:t>
            </a:r>
            <a:r>
              <a:rPr lang="en-US"/>
              <a:t>Gender</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1746024531927937E-2"/>
          <c:y val="0.14939869358435459"/>
          <c:w val="0.93650795093614414"/>
          <c:h val="0.5877978410593413"/>
        </c:manualLayout>
      </c:layout>
      <c:barChart>
        <c:barDir val="col"/>
        <c:grouping val="clustered"/>
        <c:varyColors val="0"/>
        <c:ser>
          <c:idx val="0"/>
          <c:order val="0"/>
          <c:tx>
            <c:strRef>
              <c:f>'Age Gender'!$H$65</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Female</c:v>
                      </c:pt>
                      <c:pt idx="2">
                        <c:v>Male</c:v>
                      </c:pt>
                    </c:strCache>
                  </c16:filteredLitCache>
                </c:ext>
              </c:extLst>
              <c:f/>
              <c:strCache>
                <c:ptCount val="2"/>
                <c:pt idx="0">
                  <c:v>Female</c:v>
                </c:pt>
                <c:pt idx="1">
                  <c:v>Male</c:v>
                </c:pt>
              </c:strCache>
            </c:strRef>
          </c:cat>
          <c:val>
            <c:numRef>
              <c:extLst>
                <c:ext xmlns:c15="http://schemas.microsoft.com/office/drawing/2012/chart" uri="{02D57815-91ED-43cb-92C2-25804820EDAC}">
                  <c15:fullRef>
                    <c15:sqref>'Age Gender'!$H$66:$H$69</c15:sqref>
                  </c15:fullRef>
                </c:ext>
              </c:extLst>
              <c:f>('Age Gender'!$H$67,'Age Gender'!$H$69)</c:f>
              <c:numCache>
                <c:formatCode>0.0%</c:formatCode>
                <c:ptCount val="2"/>
                <c:pt idx="0">
                  <c:v>0</c:v>
                </c:pt>
                <c:pt idx="1">
                  <c:v>0</c:v>
                </c:pt>
              </c:numCache>
            </c:numRef>
          </c:val>
          <c:extLst>
            <c:ext xmlns:c16="http://schemas.microsoft.com/office/drawing/2014/chart" uri="{C3380CC4-5D6E-409C-BE32-E72D297353CC}">
              <c16:uniqueId val="{00000000-32BA-4049-A453-9FFF5B6F9264}"/>
            </c:ext>
          </c:extLst>
        </c:ser>
        <c:ser>
          <c:idx val="1"/>
          <c:order val="1"/>
          <c:tx>
            <c:strRef>
              <c:f>'Age Gender'!$I$65</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Female</c:v>
                      </c:pt>
                      <c:pt idx="2">
                        <c:v>Male</c:v>
                      </c:pt>
                    </c:strCache>
                  </c16:filteredLitCache>
                </c:ext>
              </c:extLst>
              <c:f/>
              <c:strCache>
                <c:ptCount val="2"/>
                <c:pt idx="0">
                  <c:v>Female</c:v>
                </c:pt>
                <c:pt idx="1">
                  <c:v>Male</c:v>
                </c:pt>
              </c:strCache>
            </c:strRef>
          </c:cat>
          <c:val>
            <c:numRef>
              <c:extLst>
                <c:ext xmlns:c15="http://schemas.microsoft.com/office/drawing/2012/chart" uri="{02D57815-91ED-43cb-92C2-25804820EDAC}">
                  <c15:fullRef>
                    <c15:sqref>'Age Gender'!$I$66:$I$69</c15:sqref>
                  </c15:fullRef>
                </c:ext>
              </c:extLst>
              <c:f>('Age Gender'!$I$67,'Age Gender'!$I$69)</c:f>
              <c:numCache>
                <c:formatCode>0.0%</c:formatCode>
                <c:ptCount val="2"/>
                <c:pt idx="0">
                  <c:v>0</c:v>
                </c:pt>
                <c:pt idx="1">
                  <c:v>0</c:v>
                </c:pt>
              </c:numCache>
            </c:numRef>
          </c:val>
          <c:extLst>
            <c:ext xmlns:c16="http://schemas.microsoft.com/office/drawing/2014/chart" uri="{C3380CC4-5D6E-409C-BE32-E72D297353CC}">
              <c16:uniqueId val="{00000001-32BA-4049-A453-9FFF5B6F9264}"/>
            </c:ext>
          </c:extLst>
        </c:ser>
        <c:ser>
          <c:idx val="2"/>
          <c:order val="2"/>
          <c:tx>
            <c:strRef>
              <c:f>'Age Gender'!$J$65</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Female</c:v>
                      </c:pt>
                      <c:pt idx="2">
                        <c:v>Male</c:v>
                      </c:pt>
                    </c:strCache>
                  </c16:filteredLitCache>
                </c:ext>
              </c:extLst>
              <c:f/>
              <c:strCache>
                <c:ptCount val="2"/>
                <c:pt idx="0">
                  <c:v>Female</c:v>
                </c:pt>
                <c:pt idx="1">
                  <c:v>Male</c:v>
                </c:pt>
              </c:strCache>
            </c:strRef>
          </c:cat>
          <c:val>
            <c:numRef>
              <c:extLst>
                <c:ext xmlns:c15="http://schemas.microsoft.com/office/drawing/2012/chart" uri="{02D57815-91ED-43cb-92C2-25804820EDAC}">
                  <c15:fullRef>
                    <c15:sqref>'Age Gender'!$J$66:$J$69</c15:sqref>
                  </c15:fullRef>
                </c:ext>
              </c:extLst>
              <c:f>('Age Gender'!$J$67,'Age Gender'!$J$69)</c:f>
              <c:numCache>
                <c:formatCode>0.0%</c:formatCode>
                <c:ptCount val="2"/>
                <c:pt idx="0">
                  <c:v>0.58112994135740514</c:v>
                </c:pt>
                <c:pt idx="1">
                  <c:v>0.4188700586425948</c:v>
                </c:pt>
              </c:numCache>
            </c:numRef>
          </c:val>
          <c:extLst>
            <c:ext xmlns:c16="http://schemas.microsoft.com/office/drawing/2014/chart" uri="{C3380CC4-5D6E-409C-BE32-E72D297353CC}">
              <c16:uniqueId val="{00000002-32BA-4049-A453-9FFF5B6F9264}"/>
            </c:ext>
          </c:extLst>
        </c:ser>
        <c:dLbls>
          <c:showLegendKey val="0"/>
          <c:showVal val="0"/>
          <c:showCatName val="0"/>
          <c:showSerName val="0"/>
          <c:showPercent val="0"/>
          <c:showBubbleSize val="0"/>
        </c:dLbls>
        <c:gapWidth val="201"/>
        <c:overlap val="-3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lang="en-US"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a:t>Recipients: Avg.</a:t>
            </a:r>
            <a:r>
              <a:rPr lang="en-US" sz="1200" baseline="0"/>
              <a:t> Hours Per Recipient </a:t>
            </a:r>
          </a:p>
          <a:p>
            <a:pPr>
              <a:defRPr sz="1200"/>
            </a:pPr>
            <a:r>
              <a:rPr lang="en-US" sz="1200" baseline="0"/>
              <a:t>by Age Groups</a:t>
            </a:r>
            <a:endParaRPr lang="en-US" sz="1200"/>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'Age Gender'!$C$44</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6"/>
                      <c:pt idx="0">
                        <c:v>1</c:v>
                      </c:pt>
                      <c:pt idx="2">
                        <c:v>2</c:v>
                      </c:pt>
                      <c:pt idx="4">
                        <c:v>3</c:v>
                      </c:pt>
                      <c:pt idx="6">
                        <c:v>4</c:v>
                      </c:pt>
                      <c:pt idx="8">
                        <c:v>5</c:v>
                      </c:pt>
                      <c:pt idx="10">
                        <c:v>6</c:v>
                      </c:pt>
                    </c:strCache>
                  </c16:filteredLitCache>
                </c:ext>
              </c:extLst>
              <c:f/>
              <c:strCache>
                <c:ptCount val="6"/>
                <c:pt idx="0">
                  <c:v>0-17 yrs  (Minors)</c:v>
                </c:pt>
                <c:pt idx="1">
                  <c:v>18-44 yrs</c:v>
                </c:pt>
                <c:pt idx="2">
                  <c:v>45 to 64 yrs</c:v>
                </c:pt>
                <c:pt idx="3">
                  <c:v>65 to 74 yrs</c:v>
                </c:pt>
                <c:pt idx="4">
                  <c:v>75 to 84 yrs</c:v>
                </c:pt>
                <c:pt idx="5">
                  <c:v>85+ yrs</c:v>
                </c:pt>
              </c:strCache>
            </c:strRef>
          </c:cat>
          <c:val>
            <c:numRef>
              <c:extLst>
                <c:ext xmlns:c15="http://schemas.microsoft.com/office/drawing/2012/chart" uri="{02D57815-91ED-43cb-92C2-25804820EDAC}">
                  <c15:fullRef>
                    <c15:sqref>'Age Gender'!$D$44:$O$44</c15:sqref>
                  </c15:fullRef>
                </c:ext>
              </c:extLst>
              <c:f>('Age Gender'!$E$44,'Age Gender'!$G$44,'Age Gender'!$I$44,'Age Gender'!$K$44,'Age Gender'!$M$44,'Age Gender'!$O$44)</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0EF-4E2C-A584-D0ED90B8C6C2}"/>
            </c:ext>
          </c:extLst>
        </c:ser>
        <c:ser>
          <c:idx val="1"/>
          <c:order val="1"/>
          <c:tx>
            <c:strRef>
              <c:f>'Age Gender'!$C$45</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6"/>
                      <c:pt idx="0">
                        <c:v>1</c:v>
                      </c:pt>
                      <c:pt idx="2">
                        <c:v>2</c:v>
                      </c:pt>
                      <c:pt idx="4">
                        <c:v>3</c:v>
                      </c:pt>
                      <c:pt idx="6">
                        <c:v>4</c:v>
                      </c:pt>
                      <c:pt idx="8">
                        <c:v>5</c:v>
                      </c:pt>
                      <c:pt idx="10">
                        <c:v>6</c:v>
                      </c:pt>
                    </c:strCache>
                  </c16:filteredLitCache>
                </c:ext>
              </c:extLst>
              <c:f/>
              <c:strCache>
                <c:ptCount val="6"/>
                <c:pt idx="0">
                  <c:v>0-17 yrs  (Minors)</c:v>
                </c:pt>
                <c:pt idx="1">
                  <c:v>18-44 yrs</c:v>
                </c:pt>
                <c:pt idx="2">
                  <c:v>45 to 64 yrs</c:v>
                </c:pt>
                <c:pt idx="3">
                  <c:v>65 to 74 yrs</c:v>
                </c:pt>
                <c:pt idx="4">
                  <c:v>75 to 84 yrs</c:v>
                </c:pt>
                <c:pt idx="5">
                  <c:v>85+ yrs</c:v>
                </c:pt>
              </c:strCache>
            </c:strRef>
          </c:cat>
          <c:val>
            <c:numRef>
              <c:extLst>
                <c:ext xmlns:c15="http://schemas.microsoft.com/office/drawing/2012/chart" uri="{02D57815-91ED-43cb-92C2-25804820EDAC}">
                  <c15:fullRef>
                    <c15:sqref>'Age Gender'!$D$45:$O$45</c15:sqref>
                  </c15:fullRef>
                </c:ext>
              </c:extLst>
              <c:f>('Age Gender'!$E$45,'Age Gender'!$G$45,'Age Gender'!$I$45,'Age Gender'!$K$45,'Age Gender'!$M$45,'Age Gender'!$O$45)</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D0EF-4E2C-A584-D0ED90B8C6C2}"/>
            </c:ext>
          </c:extLst>
        </c:ser>
        <c:ser>
          <c:idx val="2"/>
          <c:order val="2"/>
          <c:tx>
            <c:strRef>
              <c:f>'Age Gender'!$C$46</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6"/>
                      <c:pt idx="0">
                        <c:v>1</c:v>
                      </c:pt>
                      <c:pt idx="2">
                        <c:v>2</c:v>
                      </c:pt>
                      <c:pt idx="4">
                        <c:v>3</c:v>
                      </c:pt>
                      <c:pt idx="6">
                        <c:v>4</c:v>
                      </c:pt>
                      <c:pt idx="8">
                        <c:v>5</c:v>
                      </c:pt>
                      <c:pt idx="10">
                        <c:v>6</c:v>
                      </c:pt>
                    </c:strCache>
                  </c16:filteredLitCache>
                </c:ext>
              </c:extLst>
              <c:f/>
              <c:strCache>
                <c:ptCount val="6"/>
                <c:pt idx="0">
                  <c:v>0-17 yrs  (Minors)</c:v>
                </c:pt>
                <c:pt idx="1">
                  <c:v>18-44 yrs</c:v>
                </c:pt>
                <c:pt idx="2">
                  <c:v>45 to 64 yrs</c:v>
                </c:pt>
                <c:pt idx="3">
                  <c:v>65 to 74 yrs</c:v>
                </c:pt>
                <c:pt idx="4">
                  <c:v>75 to 84 yrs</c:v>
                </c:pt>
                <c:pt idx="5">
                  <c:v>85+ yrs</c:v>
                </c:pt>
              </c:strCache>
            </c:strRef>
          </c:cat>
          <c:val>
            <c:numRef>
              <c:extLst>
                <c:ext xmlns:c15="http://schemas.microsoft.com/office/drawing/2012/chart" uri="{02D57815-91ED-43cb-92C2-25804820EDAC}">
                  <c15:fullRef>
                    <c15:sqref>'Age Gender'!$D$46:$O$46</c15:sqref>
                  </c15:fullRef>
                </c:ext>
              </c:extLst>
              <c:f>('Age Gender'!$E$46,'Age Gender'!$G$46,'Age Gender'!$I$46,'Age Gender'!$K$46,'Age Gender'!$M$46,'Age Gender'!$O$46)</c:f>
              <c:numCache>
                <c:formatCode>#,##0.0</c:formatCode>
                <c:ptCount val="6"/>
                <c:pt idx="0">
                  <c:v>153.32477928877898</c:v>
                </c:pt>
                <c:pt idx="1">
                  <c:v>145.80928678051393</c:v>
                </c:pt>
                <c:pt idx="2">
                  <c:v>103.14016039074617</c:v>
                </c:pt>
                <c:pt idx="3">
                  <c:v>96.726627682347413</c:v>
                </c:pt>
                <c:pt idx="4">
                  <c:v>102.05620852386562</c:v>
                </c:pt>
                <c:pt idx="5">
                  <c:v>124.51704789468771</c:v>
                </c:pt>
              </c:numCache>
            </c:numRef>
          </c:val>
          <c:extLst>
            <c:ext xmlns:c16="http://schemas.microsoft.com/office/drawing/2014/chart" uri="{C3380CC4-5D6E-409C-BE32-E72D297353CC}">
              <c16:uniqueId val="{00000002-D0EF-4E2C-A584-D0ED90B8C6C2}"/>
            </c:ext>
          </c:extLst>
        </c:ser>
        <c:dLbls>
          <c:showLegendKey val="0"/>
          <c:showVal val="0"/>
          <c:showCatName val="0"/>
          <c:showSerName val="0"/>
          <c:showPercent val="0"/>
          <c:showBubbleSize val="0"/>
        </c:dLbls>
        <c:gapWidth val="180"/>
        <c:overlap val="-30"/>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0_);\(#,##0.0\)" sourceLinked="1"/>
        <c:majorTickMark val="none"/>
        <c:minorTickMark val="none"/>
        <c:tickLblPos val="none"/>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a:solidFill>
                  <a:schemeClr val="tx1"/>
                </a:solidFill>
                <a:latin typeface="Arial" panose="020B0604020202020204" pitchFamily="34" charset="0"/>
                <a:cs typeface="Arial" panose="020B0604020202020204" pitchFamily="34" charset="0"/>
              </a:rPr>
              <a:t>Recipients: Ethnicity (Top 10)</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7925663248928417"/>
          <c:y val="6.9057617797775278E-2"/>
          <c:w val="0.6708632715874544"/>
          <c:h val="0.90911698537682795"/>
        </c:manualLayout>
      </c:layout>
      <c:barChart>
        <c:barDir val="bar"/>
        <c:grouping val="clustered"/>
        <c:varyColors val="0"/>
        <c:ser>
          <c:idx val="0"/>
          <c:order val="0"/>
          <c:tx>
            <c:strRef>
              <c:f>'Demo Rank'!$C$2</c:f>
              <c:strCache>
                <c:ptCount val="1"/>
                <c:pt idx="0">
                  <c:v>County Name</c:v>
                </c:pt>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'Ethnicity Language'!$I$9:$I$18</c:f>
            </c:multiLvlStrRef>
          </c:cat>
          <c:val>
            <c:numRef>
              <c:f>'Demo Rank'!$D$3:$D$12</c:f>
              <c:numCache>
                <c:formatCode>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0-CE98-420E-A7A5-B652E74C73D3}"/>
            </c:ext>
          </c:extLst>
        </c:ser>
        <c:ser>
          <c:idx val="1"/>
          <c:order val="1"/>
          <c:tx>
            <c:strRef>
              <c:f>'Demo Rank'!$E$2</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'Ethnicity Language'!$I$9:$I$18</c:f>
            </c:multiLvlStrRef>
          </c:cat>
          <c:val>
            <c:numRef>
              <c:f>'Demo Rank'!$F$3:$F$12</c:f>
              <c:numCache>
                <c:formatCode>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1-CE98-420E-A7A5-B652E74C73D3}"/>
            </c:ext>
          </c:extLst>
        </c:ser>
        <c:ser>
          <c:idx val="2"/>
          <c:order val="2"/>
          <c:tx>
            <c:strRef>
              <c:f>'Demo Rank'!$G$2</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'Ethnicity Language'!$I$9:$I$18</c:f>
            </c:multiLvlStrRef>
          </c:cat>
          <c:val>
            <c:numRef>
              <c:f>'Demo Rank'!$H$3:$H$12</c:f>
              <c:numCache>
                <c:formatCode>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2-CE98-420E-A7A5-B652E74C73D3}"/>
            </c:ext>
          </c:extLst>
        </c:ser>
        <c:dLbls>
          <c:dLblPos val="outEnd"/>
          <c:showLegendKey val="0"/>
          <c:showVal val="1"/>
          <c:showCatName val="0"/>
          <c:showSerName val="0"/>
          <c:showPercent val="0"/>
          <c:showBubbleSize val="0"/>
        </c:dLbls>
        <c:gapWidth val="142"/>
        <c:overlap val="-40"/>
        <c:axId val="551170824"/>
        <c:axId val="551166888"/>
      </c:barChart>
      <c:catAx>
        <c:axId val="551170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0%" sourceLinked="1"/>
        <c:majorTickMark val="none"/>
        <c:minorTickMark val="none"/>
        <c:tickLblPos val="nextTo"/>
        <c:crossAx val="551170824"/>
        <c:crosses val="autoZero"/>
        <c:crossBetween val="between"/>
      </c:valAx>
      <c:spPr>
        <a:noFill/>
        <a:ln>
          <a:noFill/>
        </a:ln>
        <a:effectLst/>
      </c:spPr>
    </c:plotArea>
    <c:legend>
      <c:legendPos val="r"/>
      <c:layout>
        <c:manualLayout>
          <c:xMode val="edge"/>
          <c:yMode val="edge"/>
          <c:x val="0.77107132109636634"/>
          <c:y val="0.46525528058992627"/>
          <c:w val="0.21663989043948384"/>
          <c:h val="0.1425153105861767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Recipients: Spoken Language (Top 10)</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2045435361927388"/>
          <c:y val="6.4115769312619711E-2"/>
          <c:w val="0.62981579063719628"/>
          <c:h val="0.91502126245599102"/>
        </c:manualLayout>
      </c:layout>
      <c:barChart>
        <c:barDir val="bar"/>
        <c:grouping val="clustered"/>
        <c:varyColors val="0"/>
        <c:ser>
          <c:idx val="1"/>
          <c:order val="1"/>
          <c:tx>
            <c:strRef>
              <c:f>'Ethnicity Language'!$J$41</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'Ethnicity Language'!$I$42:$I$51</c:f>
            </c:multiLvlStrRef>
          </c:cat>
          <c:val>
            <c:numRef>
              <c:f>'Ethnicity Language'!$K$42:$K$51</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CE98-420E-A7A5-B652E74C73D3}"/>
            </c:ext>
          </c:extLst>
        </c:ser>
        <c:ser>
          <c:idx val="3"/>
          <c:order val="3"/>
          <c:tx>
            <c:strRef>
              <c:f>'Ethnicity Language'!$L$41</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'Ethnicity Language'!$I$42:$I$51</c:f>
            </c:multiLvlStrRef>
          </c:cat>
          <c:val>
            <c:numRef>
              <c:f>'Ethnicity Language'!$M$42:$M$51</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F-A088-439A-AF94-719A0D57443C}"/>
            </c:ext>
          </c:extLst>
        </c:ser>
        <c:ser>
          <c:idx val="5"/>
          <c:order val="5"/>
          <c:tx>
            <c:strRef>
              <c:f>'Ethnicity Language'!$N$41</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'Ethnicity Language'!$I$42:$I$51</c:f>
            </c:multiLvlStrRef>
          </c:cat>
          <c:val>
            <c:numRef>
              <c:f>'Ethnicity Language'!$O$42:$O$51</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1-A088-439A-AF94-719A0D57443C}"/>
            </c:ext>
          </c:extLst>
        </c:ser>
        <c:dLbls>
          <c:dLblPos val="outEnd"/>
          <c:showLegendKey val="0"/>
          <c:showVal val="1"/>
          <c:showCatName val="0"/>
          <c:showSerName val="0"/>
          <c:showPercent val="0"/>
          <c:showBubbleSize val="0"/>
        </c:dLbls>
        <c:gapWidth val="142"/>
        <c:overlap val="-40"/>
        <c:axId val="551170824"/>
        <c:axId val="551166888"/>
        <c:extLst>
          <c:ext xmlns:c15="http://schemas.microsoft.com/office/drawing/2012/chart" uri="{02D57815-91ED-43cb-92C2-25804820EDAC}">
            <c15:filteredBarSeries>
              <c15:ser>
                <c:idx val="0"/>
                <c:order val="0"/>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'Ethnicity Language'!$I$42:$I$51</c15:sqref>
                        </c15:formulaRef>
                      </c:ext>
                    </c:extLst>
                  </c:multiLvlStrRef>
                </c:cat>
                <c:val>
                  <c:numRef>
                    <c:extLst>
                      <c:ext uri="{02D57815-91ED-43cb-92C2-25804820EDAC}">
                        <c15:formulaRef>
                          <c15:sqref>'Ethnicity Language'!$J$42:$J$51</c15:sqref>
                        </c15:formulaRef>
                      </c:ext>
                    </c:extLst>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CE98-420E-A7A5-B652E74C73D3}"/>
                  </c:ext>
                </c:extLst>
              </c15:ser>
            </c15:filteredBarSeries>
            <c15:filteredBarSeries>
              <c15:ser>
                <c:idx val="2"/>
                <c:order val="2"/>
                <c:spPr>
                  <a:solidFill>
                    <a:srgbClr val="E7E6E6">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'Ethnicity Language'!$I$42:$I$51</c15:sqref>
                        </c15:formulaRef>
                      </c:ext>
                    </c:extLst>
                  </c:multiLvlStrRef>
                </c:cat>
                <c:val>
                  <c:numRef>
                    <c:extLst xmlns:c15="http://schemas.microsoft.com/office/drawing/2012/chart">
                      <c:ext xmlns:c15="http://schemas.microsoft.com/office/drawing/2012/chart" uri="{02D57815-91ED-43cb-92C2-25804820EDAC}">
                        <c15:formulaRef>
                          <c15:sqref>'Ethnicity Language'!$L$42:$L$51</c15:sqref>
                        </c15:formulaRef>
                      </c:ext>
                    </c:extLst>
                    <c:numCache>
                      <c:formatCode>#,##0</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2-CE98-420E-A7A5-B652E74C73D3}"/>
                  </c:ext>
                </c:extLst>
              </c15:ser>
            </c15:filteredBarSeries>
            <c15:filteredBarSeries>
              <c15:ser>
                <c:idx val="4"/>
                <c:order val="4"/>
                <c:spPr>
                  <a:solidFill>
                    <a:srgbClr val="C75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'Ethnicity Language'!$I$42:$I$51</c15:sqref>
                        </c15:formulaRef>
                      </c:ext>
                    </c:extLst>
                  </c:multiLvlStrRef>
                </c:cat>
                <c:val>
                  <c:numRef>
                    <c:extLst xmlns:c15="http://schemas.microsoft.com/office/drawing/2012/chart">
                      <c:ext xmlns:c15="http://schemas.microsoft.com/office/drawing/2012/chart" uri="{02D57815-91ED-43cb-92C2-25804820EDAC}">
                        <c15:formulaRef>
                          <c15:sqref>'Ethnicity Language'!$N$42:$N$51</c15:sqref>
                        </c15:formulaRef>
                      </c:ext>
                    </c:extLst>
                    <c:numCache>
                      <c:formatCode>#,##0</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10-A088-439A-AF94-719A0D57443C}"/>
                  </c:ext>
                </c:extLst>
              </c15:ser>
            </c15:filteredBarSeries>
          </c:ext>
        </c:extLst>
      </c:barChart>
      <c:catAx>
        <c:axId val="551170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0%" sourceLinked="1"/>
        <c:majorTickMark val="none"/>
        <c:minorTickMark val="none"/>
        <c:tickLblPos val="nextTo"/>
        <c:crossAx val="551170824"/>
        <c:crosses val="autoZero"/>
        <c:crossBetween val="between"/>
      </c:valAx>
      <c:spPr>
        <a:noFill/>
        <a:ln>
          <a:noFill/>
        </a:ln>
        <a:effectLst/>
      </c:spPr>
    </c:plotArea>
    <c:legend>
      <c:legendPos val="r"/>
      <c:layout>
        <c:manualLayout>
          <c:xMode val="edge"/>
          <c:yMode val="edge"/>
          <c:x val="0.77789809198811866"/>
          <c:y val="0.4667873343712548"/>
          <c:w val="0.20985075946670526"/>
          <c:h val="0.1343342181800532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u="none" strike="noStrike" baseline="0">
                <a:solidFill>
                  <a:sysClr val="windowText" lastClr="000000"/>
                </a:solidFill>
                <a:effectLst/>
              </a:rPr>
              <a:t>Percent of Total Live-In Provider</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'Provider Details'!$E$23</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Individual Providers</c:v>
                      </c:pt>
                      <c:pt idx="1">
                        <c:v>Live-in Providers</c:v>
                      </c:pt>
                      <c:pt idx="3">
                        <c:v>Relative Providers</c:v>
                      </c:pt>
                    </c:strCache>
                  </c16:filteredLitCache>
                </c:ext>
              </c:extLst>
              <c:f/>
              <c:strCache>
                <c:ptCount val="2"/>
                <c:pt idx="0">
                  <c:v>Live-in</c:v>
                </c:pt>
                <c:pt idx="1">
                  <c:v>Live-in Relative</c:v>
                </c:pt>
              </c:strCache>
            </c:strRef>
          </c:cat>
          <c:val>
            <c:numRef>
              <c:extLst>
                <c:ext xmlns:c15="http://schemas.microsoft.com/office/drawing/2012/chart" uri="{02D57815-91ED-43cb-92C2-25804820EDAC}">
                  <c15:fullRef>
                    <c15:sqref>'Provider Details'!$E$24:$E$28</c15:sqref>
                  </c15:fullRef>
                </c:ext>
              </c:extLst>
              <c:f>('Provider Details'!$E$26,'Provider Details'!$E$28)</c:f>
              <c:numCache>
                <c:formatCode>#,##0_);\(#,##0\)</c:formatCode>
                <c:ptCount val="2"/>
                <c:pt idx="0" formatCode="0.0%">
                  <c:v>0</c:v>
                </c:pt>
                <c:pt idx="1" formatCode="0.0%">
                  <c:v>0</c:v>
                </c:pt>
              </c:numCache>
            </c:numRef>
          </c:val>
          <c:extLst>
            <c:ext xmlns:c16="http://schemas.microsoft.com/office/drawing/2014/chart" uri="{C3380CC4-5D6E-409C-BE32-E72D297353CC}">
              <c16:uniqueId val="{00000000-D0EF-4E2C-A584-D0ED90B8C6C2}"/>
            </c:ext>
          </c:extLst>
        </c:ser>
        <c:ser>
          <c:idx val="1"/>
          <c:order val="1"/>
          <c:tx>
            <c:strRef>
              <c:f>'Provider Details'!$F$23</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Individual Providers</c:v>
                      </c:pt>
                      <c:pt idx="1">
                        <c:v>Live-in Providers</c:v>
                      </c:pt>
                      <c:pt idx="3">
                        <c:v>Relative Providers</c:v>
                      </c:pt>
                    </c:strCache>
                  </c16:filteredLitCache>
                </c:ext>
              </c:extLst>
              <c:f/>
              <c:strCache>
                <c:ptCount val="2"/>
                <c:pt idx="0">
                  <c:v>Live-in</c:v>
                </c:pt>
                <c:pt idx="1">
                  <c:v>Live-in Relative</c:v>
                </c:pt>
              </c:strCache>
            </c:strRef>
          </c:cat>
          <c:val>
            <c:numRef>
              <c:extLst>
                <c:ext xmlns:c15="http://schemas.microsoft.com/office/drawing/2012/chart" uri="{02D57815-91ED-43cb-92C2-25804820EDAC}">
                  <c15:fullRef>
                    <c15:sqref>'Provider Details'!$F$24:$F$28</c15:sqref>
                  </c15:fullRef>
                </c:ext>
              </c:extLst>
              <c:f>('Provider Details'!$F$26,'Provider Details'!$F$28)</c:f>
              <c:numCache>
                <c:formatCode>#,##0_);\(#,##0\)</c:formatCode>
                <c:ptCount val="2"/>
                <c:pt idx="0" formatCode="0.0%">
                  <c:v>0</c:v>
                </c:pt>
                <c:pt idx="1" formatCode="0.0%">
                  <c:v>0</c:v>
                </c:pt>
              </c:numCache>
            </c:numRef>
          </c:val>
          <c:extLst>
            <c:ext xmlns:c16="http://schemas.microsoft.com/office/drawing/2014/chart" uri="{C3380CC4-5D6E-409C-BE32-E72D297353CC}">
              <c16:uniqueId val="{00000001-D0EF-4E2C-A584-D0ED90B8C6C2}"/>
            </c:ext>
          </c:extLst>
        </c:ser>
        <c:ser>
          <c:idx val="2"/>
          <c:order val="2"/>
          <c:tx>
            <c:strRef>
              <c:f>'Provider Details'!$G$23</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Individual Providers</c:v>
                      </c:pt>
                      <c:pt idx="1">
                        <c:v>Live-in Providers</c:v>
                      </c:pt>
                      <c:pt idx="3">
                        <c:v>Relative Providers</c:v>
                      </c:pt>
                    </c:strCache>
                  </c16:filteredLitCache>
                </c:ext>
              </c:extLst>
              <c:f/>
              <c:strCache>
                <c:ptCount val="2"/>
                <c:pt idx="0">
                  <c:v>Live-in</c:v>
                </c:pt>
                <c:pt idx="1">
                  <c:v>Live-in Relative</c:v>
                </c:pt>
              </c:strCache>
            </c:strRef>
          </c:cat>
          <c:val>
            <c:numRef>
              <c:extLst>
                <c:ext xmlns:c15="http://schemas.microsoft.com/office/drawing/2012/chart" uri="{02D57815-91ED-43cb-92C2-25804820EDAC}">
                  <c15:fullRef>
                    <c15:sqref>'Provider Details'!$G$24:$G$28</c15:sqref>
                  </c15:fullRef>
                </c:ext>
              </c:extLst>
              <c:f>('Provider Details'!$G$26,'Provider Details'!$G$28)</c:f>
              <c:numCache>
                <c:formatCode>#,##0_);\(#,##0\)</c:formatCode>
                <c:ptCount val="2"/>
                <c:pt idx="0" formatCode="0.0%">
                  <c:v>0.57781288035385892</c:v>
                </c:pt>
                <c:pt idx="1" formatCode="0.0%">
                  <c:v>0.49452290443089297</c:v>
                </c:pt>
              </c:numCache>
            </c:numRef>
          </c:val>
          <c:extLst>
            <c:ext xmlns:c16="http://schemas.microsoft.com/office/drawing/2014/chart" uri="{C3380CC4-5D6E-409C-BE32-E72D297353CC}">
              <c16:uniqueId val="{00000002-D0EF-4E2C-A584-D0ED90B8C6C2}"/>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u="none" strike="noStrike" baseline="0">
                <a:solidFill>
                  <a:sysClr val="windowText" lastClr="000000"/>
                </a:solidFill>
                <a:effectLst/>
              </a:rPr>
              <a:t>Percent of Total Live-In Providers</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4409409409409411E-2"/>
          <c:y val="0.16768372703412074"/>
          <c:w val="0.93118118118118121"/>
          <c:h val="0.50280589926259223"/>
        </c:manualLayout>
      </c:layout>
      <c:barChart>
        <c:barDir val="col"/>
        <c:grouping val="clustered"/>
        <c:varyColors val="0"/>
        <c:ser>
          <c:idx val="0"/>
          <c:order val="0"/>
          <c:tx>
            <c:strRef>
              <c:f>'Provider Details'!$E$23</c:f>
              <c:strCache>
                <c:ptCount val="1"/>
              </c:strCache>
            </c:strRef>
          </c:tx>
          <c:spPr>
            <a:solidFill>
              <a:srgbClr val="5B9BD5">
                <a:lumMod val="50000"/>
              </a:srgb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Individual Providers</c:v>
                      </c:pt>
                      <c:pt idx="1">
                        <c:v>Live-in Providers</c:v>
                      </c:pt>
                      <c:pt idx="3">
                        <c:v>Relative Providers</c:v>
                      </c:pt>
                    </c:strCache>
                  </c16:filteredLitCache>
                </c:ext>
              </c:extLst>
              <c:f/>
              <c:strCache>
                <c:ptCount val="2"/>
                <c:pt idx="0">
                  <c:v>Live-in</c:v>
                </c:pt>
                <c:pt idx="1">
                  <c:v>Live-in Relative</c:v>
                </c:pt>
              </c:strCache>
            </c:strRef>
          </c:cat>
          <c:val>
            <c:numRef>
              <c:extLst>
                <c:ext xmlns:c15="http://schemas.microsoft.com/office/drawing/2012/chart" uri="{02D57815-91ED-43cb-92C2-25804820EDAC}">
                  <c15:fullRef>
                    <c15:sqref>'Provider Details'!$E$24:$E$28</c15:sqref>
                  </c15:fullRef>
                </c:ext>
              </c:extLst>
              <c:f>('Provider Details'!$E$26,'Provider Details'!$E$28)</c:f>
              <c:numCache>
                <c:formatCode>#,##0_);\(#,##0\)</c:formatCode>
                <c:ptCount val="2"/>
                <c:pt idx="0" formatCode="0.0%">
                  <c:v>0</c:v>
                </c:pt>
                <c:pt idx="1" formatCode="0.0%">
                  <c:v>0</c:v>
                </c:pt>
              </c:numCache>
            </c:numRef>
          </c:val>
          <c:extLst>
            <c:ext xmlns:c16="http://schemas.microsoft.com/office/drawing/2014/chart" uri="{C3380CC4-5D6E-409C-BE32-E72D297353CC}">
              <c16:uniqueId val="{00000000-BD31-4224-AA8E-535CA1401E59}"/>
            </c:ext>
          </c:extLst>
        </c:ser>
        <c:ser>
          <c:idx val="1"/>
          <c:order val="1"/>
          <c:tx>
            <c:strRef>
              <c:f>'Provider Details'!$F$23</c:f>
              <c:strCache>
                <c:ptCount val="1"/>
              </c:strCache>
            </c:strRef>
          </c:tx>
          <c:spPr>
            <a:solidFill>
              <a:srgbClr val="C75211"/>
            </a:solidFill>
            <a:ln>
              <a:noFill/>
            </a:ln>
            <a:effectLst/>
          </c:spPr>
          <c:invertIfNegative val="0"/>
          <c:dLbls>
            <c:numFmt formatCode="0%" sourceLinked="0"/>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Individual Providers</c:v>
                      </c:pt>
                      <c:pt idx="1">
                        <c:v>Live-in Providers</c:v>
                      </c:pt>
                      <c:pt idx="3">
                        <c:v>Relative Providers</c:v>
                      </c:pt>
                    </c:strCache>
                  </c16:filteredLitCache>
                </c:ext>
              </c:extLst>
              <c:f/>
              <c:strCache>
                <c:ptCount val="2"/>
                <c:pt idx="0">
                  <c:v>Live-in</c:v>
                </c:pt>
                <c:pt idx="1">
                  <c:v>Live-in Relative</c:v>
                </c:pt>
              </c:strCache>
            </c:strRef>
          </c:cat>
          <c:val>
            <c:numRef>
              <c:extLst>
                <c:ext xmlns:c15="http://schemas.microsoft.com/office/drawing/2012/chart" uri="{02D57815-91ED-43cb-92C2-25804820EDAC}">
                  <c15:fullRef>
                    <c15:sqref>'Provider Details'!$F$24:$F$28</c15:sqref>
                  </c15:fullRef>
                </c:ext>
              </c:extLst>
              <c:f>('Provider Details'!$F$26,'Provider Details'!$F$28)</c:f>
              <c:numCache>
                <c:formatCode>#,##0_);\(#,##0\)</c:formatCode>
                <c:ptCount val="2"/>
                <c:pt idx="0" formatCode="0.0%">
                  <c:v>0</c:v>
                </c:pt>
                <c:pt idx="1" formatCode="0.0%">
                  <c:v>0</c:v>
                </c:pt>
              </c:numCache>
            </c:numRef>
          </c:val>
          <c:extLst>
            <c:ext xmlns:c16="http://schemas.microsoft.com/office/drawing/2014/chart" uri="{C3380CC4-5D6E-409C-BE32-E72D297353CC}">
              <c16:uniqueId val="{00000001-BD31-4224-AA8E-535CA1401E59}"/>
            </c:ext>
          </c:extLst>
        </c:ser>
        <c:ser>
          <c:idx val="2"/>
          <c:order val="2"/>
          <c:tx>
            <c:strRef>
              <c:f>'Provider Details'!$G$23</c:f>
              <c:strCache>
                <c:ptCount val="1"/>
                <c:pt idx="0">
                  <c:v>Statewide</c:v>
                </c:pt>
              </c:strCache>
            </c:strRef>
          </c:tx>
          <c:spPr>
            <a:solidFill>
              <a:srgbClr val="6E6E6E"/>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Individual Providers</c:v>
                      </c:pt>
                      <c:pt idx="1">
                        <c:v>Live-in Providers</c:v>
                      </c:pt>
                      <c:pt idx="3">
                        <c:v>Relative Providers</c:v>
                      </c:pt>
                    </c:strCache>
                  </c16:filteredLitCache>
                </c:ext>
              </c:extLst>
              <c:f/>
              <c:strCache>
                <c:ptCount val="2"/>
                <c:pt idx="0">
                  <c:v>Live-in</c:v>
                </c:pt>
                <c:pt idx="1">
                  <c:v>Live-in Relative</c:v>
                </c:pt>
              </c:strCache>
            </c:strRef>
          </c:cat>
          <c:val>
            <c:numRef>
              <c:extLst>
                <c:ext xmlns:c15="http://schemas.microsoft.com/office/drawing/2012/chart" uri="{02D57815-91ED-43cb-92C2-25804820EDAC}">
                  <c15:fullRef>
                    <c15:sqref>'Provider Details'!$G$24:$G$28</c15:sqref>
                  </c15:fullRef>
                </c:ext>
              </c:extLst>
              <c:f>('Provider Details'!$G$26,'Provider Details'!$G$28)</c:f>
              <c:numCache>
                <c:formatCode>#,##0_);\(#,##0\)</c:formatCode>
                <c:ptCount val="2"/>
                <c:pt idx="0" formatCode="0.0%">
                  <c:v>0.57781288035385892</c:v>
                </c:pt>
                <c:pt idx="1" formatCode="0.0%">
                  <c:v>0.49452290443089297</c:v>
                </c:pt>
              </c:numCache>
            </c:numRef>
          </c:val>
          <c:extLst>
            <c:ext xmlns:c16="http://schemas.microsoft.com/office/drawing/2014/chart" uri="{C3380CC4-5D6E-409C-BE32-E72D297353CC}">
              <c16:uniqueId val="{00000002-BD31-4224-AA8E-535CA1401E59}"/>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15030680286585799"/>
          <c:y val="0.79525840519935032"/>
          <c:w val="0.68687363544647007"/>
          <c:h val="9.5614610673665792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Providers: Wage Rate (</a:t>
            </a:r>
            <a:r>
              <a:rPr lang="en-US" baseline="0"/>
              <a:t>Hourly)</a:t>
            </a:r>
            <a:endParaRPr lang="en-US"/>
          </a:p>
        </c:rich>
      </c:tx>
      <c:layout>
        <c:manualLayout>
          <c:xMode val="edge"/>
          <c:yMode val="edge"/>
          <c:x val="0.3343706380964675"/>
          <c:y val="3.369435693429107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'Provider Details'!$E$85</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'Provider Details'!$D$86</c:f>
              <c:strCache>
                <c:ptCount val="1"/>
                <c:pt idx="0">
                  <c:v> Wage Rate (Hourly) </c:v>
                </c:pt>
              </c:strCache>
            </c:strRef>
          </c:cat>
          <c:val>
            <c:numRef>
              <c:f>'Provider Details'!$E$86</c:f>
              <c:numCache>
                <c:formatCode>"$"#,##0.00</c:formatCode>
                <c:ptCount val="1"/>
                <c:pt idx="0">
                  <c:v>0</c:v>
                </c:pt>
              </c:numCache>
            </c:numRef>
          </c:val>
          <c:extLst>
            <c:ext xmlns:c16="http://schemas.microsoft.com/office/drawing/2014/chart" uri="{C3380CC4-5D6E-409C-BE32-E72D297353CC}">
              <c16:uniqueId val="{00000000-D0EF-4E2C-A584-D0ED90B8C6C2}"/>
            </c:ext>
          </c:extLst>
        </c:ser>
        <c:ser>
          <c:idx val="1"/>
          <c:order val="1"/>
          <c:tx>
            <c:strRef>
              <c:f>'Provider Details'!$F$85</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'Provider Details'!$D$86</c:f>
              <c:strCache>
                <c:ptCount val="1"/>
                <c:pt idx="0">
                  <c:v> Wage Rate (Hourly) </c:v>
                </c:pt>
              </c:strCache>
            </c:strRef>
          </c:cat>
          <c:val>
            <c:numRef>
              <c:f>'Provider Details'!$F$86</c:f>
              <c:numCache>
                <c:formatCode>"$"#,##0.00</c:formatCode>
                <c:ptCount val="1"/>
                <c:pt idx="0">
                  <c:v>0</c:v>
                </c:pt>
              </c:numCache>
            </c:numRef>
          </c:val>
          <c:extLst>
            <c:ext xmlns:c16="http://schemas.microsoft.com/office/drawing/2014/chart" uri="{C3380CC4-5D6E-409C-BE32-E72D297353CC}">
              <c16:uniqueId val="{00000001-D0EF-4E2C-A584-D0ED90B8C6C2}"/>
            </c:ext>
          </c:extLst>
        </c:ser>
        <c:ser>
          <c:idx val="2"/>
          <c:order val="2"/>
          <c:tx>
            <c:strRef>
              <c:f>'Provider Details'!$G$85</c:f>
              <c:strCache>
                <c:ptCount val="1"/>
                <c:pt idx="0">
                  <c:v>Statewide Avg.</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'Provider Details'!$D$86</c:f>
              <c:strCache>
                <c:ptCount val="1"/>
                <c:pt idx="0">
                  <c:v> Wage Rate (Hourly) </c:v>
                </c:pt>
              </c:strCache>
            </c:strRef>
          </c:cat>
          <c:val>
            <c:numRef>
              <c:f>'Provider Details'!$G$86</c:f>
              <c:numCache>
                <c:formatCode>"$"#,##0.00</c:formatCode>
                <c:ptCount val="1"/>
                <c:pt idx="0">
                  <c:v>16.63</c:v>
                </c:pt>
              </c:numCache>
            </c:numRef>
          </c:val>
          <c:extLst>
            <c:ext xmlns:c16="http://schemas.microsoft.com/office/drawing/2014/chart" uri="{C3380CC4-5D6E-409C-BE32-E72D297353CC}">
              <c16:uniqueId val="{00000002-D0EF-4E2C-A584-D0ED90B8C6C2}"/>
            </c:ext>
          </c:extLst>
        </c:ser>
        <c:dLbls>
          <c:showLegendKey val="0"/>
          <c:showVal val="0"/>
          <c:showCatName val="0"/>
          <c:showSerName val="0"/>
          <c:showPercent val="0"/>
          <c:showBubbleSize val="0"/>
        </c:dLbls>
        <c:gapWidth val="191"/>
        <c:overlap val="-100"/>
        <c:axId val="453211992"/>
        <c:axId val="453216584"/>
      </c:barChart>
      <c:catAx>
        <c:axId val="453211992"/>
        <c:scaling>
          <c:orientation val="minMax"/>
        </c:scaling>
        <c:delete val="1"/>
        <c:axPos val="b"/>
        <c:numFmt formatCode="General" sourceLinked="1"/>
        <c:majorTickMark val="none"/>
        <c:minorTickMark val="none"/>
        <c:tickLblPos val="nextTo"/>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quot;$&quot;#,##0.0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17814064504072913"/>
          <c:y val="0.87833494540680346"/>
          <c:w val="0.67176617485921053"/>
          <c:h val="9.278417722094704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aseline="0"/>
              <a:t>Percent of Total Relative, Spouse, or Parent Providers</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'Provider Details'!$J$23</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Providers</c:v>
                      </c:pt>
                      <c:pt idx="1">
                        <c:v>rel</c:v>
                      </c:pt>
                      <c:pt idx="3">
                        <c:v>spouse</c:v>
                      </c:pt>
                      <c:pt idx="5">
                        <c:v>Par</c:v>
                      </c:pt>
                    </c:strCache>
                  </c16:filteredLitCache>
                </c:ext>
              </c:extLst>
              <c:f/>
              <c:strCache>
                <c:ptCount val="3"/>
                <c:pt idx="0">
                  <c:v>Relative</c:v>
                </c:pt>
                <c:pt idx="1">
                  <c:v>Spouse</c:v>
                </c:pt>
                <c:pt idx="2">
                  <c:v>Parent</c:v>
                </c:pt>
              </c:strCache>
            </c:strRef>
          </c:cat>
          <c:val>
            <c:numRef>
              <c:extLst>
                <c:ext xmlns:c15="http://schemas.microsoft.com/office/drawing/2012/chart" uri="{02D57815-91ED-43cb-92C2-25804820EDAC}">
                  <c15:fullRef>
                    <c15:sqref>'Provider Details'!$J$24:$J$30</c15:sqref>
                  </c15:fullRef>
                </c:ext>
              </c:extLst>
              <c:f>('Provider Details'!$J$26,'Provider Details'!$J$28,'Provider Details'!$J$30)</c:f>
              <c:numCache>
                <c:formatCode>#,##0_);\(#,##0\)</c:formatCode>
                <c:ptCount val="3"/>
                <c:pt idx="0" formatCode="0.0%">
                  <c:v>0</c:v>
                </c:pt>
                <c:pt idx="1" formatCode="0.0%">
                  <c:v>0</c:v>
                </c:pt>
                <c:pt idx="2" formatCode="0.0%">
                  <c:v>0</c:v>
                </c:pt>
              </c:numCache>
            </c:numRef>
          </c:val>
          <c:extLst>
            <c:ext xmlns:c16="http://schemas.microsoft.com/office/drawing/2014/chart" uri="{C3380CC4-5D6E-409C-BE32-E72D297353CC}">
              <c16:uniqueId val="{00000000-D0EF-4E2C-A584-D0ED90B8C6C2}"/>
            </c:ext>
          </c:extLst>
        </c:ser>
        <c:ser>
          <c:idx val="1"/>
          <c:order val="1"/>
          <c:tx>
            <c:strRef>
              <c:f>'Provider Details'!$K$23</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Providers</c:v>
                      </c:pt>
                      <c:pt idx="1">
                        <c:v>rel</c:v>
                      </c:pt>
                      <c:pt idx="3">
                        <c:v>spouse</c:v>
                      </c:pt>
                      <c:pt idx="5">
                        <c:v>Par</c:v>
                      </c:pt>
                    </c:strCache>
                  </c16:filteredLitCache>
                </c:ext>
              </c:extLst>
              <c:f/>
              <c:strCache>
                <c:ptCount val="3"/>
                <c:pt idx="0">
                  <c:v>Relative</c:v>
                </c:pt>
                <c:pt idx="1">
                  <c:v>Spouse</c:v>
                </c:pt>
                <c:pt idx="2">
                  <c:v>Parent</c:v>
                </c:pt>
              </c:strCache>
            </c:strRef>
          </c:cat>
          <c:val>
            <c:numRef>
              <c:extLst>
                <c:ext xmlns:c15="http://schemas.microsoft.com/office/drawing/2012/chart" uri="{02D57815-91ED-43cb-92C2-25804820EDAC}">
                  <c15:fullRef>
                    <c15:sqref>'Provider Details'!$K$24:$K$30</c15:sqref>
                  </c15:fullRef>
                </c:ext>
              </c:extLst>
              <c:f>('Provider Details'!$K$26,'Provider Details'!$K$28,'Provider Details'!$K$30)</c:f>
              <c:numCache>
                <c:formatCode>#,##0_);\(#,##0\)</c:formatCode>
                <c:ptCount val="3"/>
                <c:pt idx="0" formatCode="0.0%">
                  <c:v>0</c:v>
                </c:pt>
                <c:pt idx="1" formatCode="0.0%">
                  <c:v>0</c:v>
                </c:pt>
                <c:pt idx="2" formatCode="0.0%">
                  <c:v>0</c:v>
                </c:pt>
              </c:numCache>
            </c:numRef>
          </c:val>
          <c:extLst>
            <c:ext xmlns:c16="http://schemas.microsoft.com/office/drawing/2014/chart" uri="{C3380CC4-5D6E-409C-BE32-E72D297353CC}">
              <c16:uniqueId val="{00000001-D0EF-4E2C-A584-D0ED90B8C6C2}"/>
            </c:ext>
          </c:extLst>
        </c:ser>
        <c:ser>
          <c:idx val="2"/>
          <c:order val="2"/>
          <c:tx>
            <c:strRef>
              <c:f>'Provider Details'!$L$23</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Providers</c:v>
                      </c:pt>
                      <c:pt idx="1">
                        <c:v>rel</c:v>
                      </c:pt>
                      <c:pt idx="3">
                        <c:v>spouse</c:v>
                      </c:pt>
                      <c:pt idx="5">
                        <c:v>Par</c:v>
                      </c:pt>
                    </c:strCache>
                  </c16:filteredLitCache>
                </c:ext>
              </c:extLst>
              <c:f/>
              <c:strCache>
                <c:ptCount val="3"/>
                <c:pt idx="0">
                  <c:v>Relative</c:v>
                </c:pt>
                <c:pt idx="1">
                  <c:v>Spouse</c:v>
                </c:pt>
                <c:pt idx="2">
                  <c:v>Parent</c:v>
                </c:pt>
              </c:strCache>
            </c:strRef>
          </c:cat>
          <c:val>
            <c:numRef>
              <c:extLst>
                <c:ext xmlns:c15="http://schemas.microsoft.com/office/drawing/2012/chart" uri="{02D57815-91ED-43cb-92C2-25804820EDAC}">
                  <c15:fullRef>
                    <c15:sqref>'Provider Details'!$L$24:$L$30</c15:sqref>
                  </c15:fullRef>
                </c:ext>
              </c:extLst>
              <c:f>('Provider Details'!$L$26,'Provider Details'!$L$28,'Provider Details'!$L$30)</c:f>
              <c:numCache>
                <c:formatCode>#,##0_);\(#,##0\)</c:formatCode>
                <c:ptCount val="3"/>
                <c:pt idx="0" formatCode="0.0%">
                  <c:v>0.7204392300973862</c:v>
                </c:pt>
                <c:pt idx="1" formatCode="0.0%">
                  <c:v>4.9010279221722769E-2</c:v>
                </c:pt>
                <c:pt idx="2" formatCode="0.0%">
                  <c:v>0.19653171965645308</c:v>
                </c:pt>
              </c:numCache>
            </c:numRef>
          </c:val>
          <c:extLst>
            <c:ext xmlns:c16="http://schemas.microsoft.com/office/drawing/2014/chart" uri="{C3380CC4-5D6E-409C-BE32-E72D297353CC}">
              <c16:uniqueId val="{00000003-6BA4-4650-A508-B1FDE10CFDE7}"/>
            </c:ext>
          </c:extLst>
        </c:ser>
        <c:dLbls>
          <c:showLegendKey val="0"/>
          <c:showVal val="0"/>
          <c:showCatName val="0"/>
          <c:showSerName val="0"/>
          <c:showPercent val="0"/>
          <c:showBubbleSize val="0"/>
        </c:dLbls>
        <c:gapWidth val="131"/>
        <c:overlap val="-3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Providers:</a:t>
            </a:r>
            <a:r>
              <a:rPr lang="en-US" baseline="0"/>
              <a:t> </a:t>
            </a:r>
            <a:r>
              <a:rPr lang="en-US"/>
              <a:t>Spoken Language (Top</a:t>
            </a:r>
            <a:r>
              <a:rPr lang="en-US" baseline="0"/>
              <a:t> 10</a:t>
            </a:r>
            <a:r>
              <a:rPr lang="en-US"/>
              <a: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2602692405384809"/>
          <c:y val="6.4115769312619711E-2"/>
          <c:w val="0.63019845906358485"/>
          <c:h val="0.89605492770018258"/>
        </c:manualLayout>
      </c:layout>
      <c:barChart>
        <c:barDir val="bar"/>
        <c:grouping val="clustered"/>
        <c:varyColors val="0"/>
        <c:ser>
          <c:idx val="1"/>
          <c:order val="0"/>
          <c:tx>
            <c:strRef>
              <c:f>'Provider Details'!$J$33</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'Provider Details'!$I$34:$I$43</c:f>
            </c:multiLvlStrRef>
          </c:cat>
          <c:val>
            <c:numRef>
              <c:f>'Provider Details'!$K$34:$K$43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C09B-4038-A1FE-E9382ADDD733}"/>
            </c:ext>
          </c:extLst>
        </c:ser>
        <c:ser>
          <c:idx val="3"/>
          <c:order val="2"/>
          <c:tx>
            <c:strRef>
              <c:f>'Provider Details'!$L$33</c:f>
              <c:strCache>
                <c:ptCount val="1"/>
              </c:strCache>
            </c:strRef>
          </c:tx>
          <c:spPr>
            <a:solidFill>
              <a:srgbClr val="C74F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'Provider Details'!$I$34:$I$43</c:f>
            </c:multiLvlStrRef>
          </c:cat>
          <c:val>
            <c:numRef>
              <c:f>'Provider Details'!$M$34:$M$43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C09B-4038-A1FE-E9382ADDD733}"/>
            </c:ext>
          </c:extLst>
        </c:ser>
        <c:ser>
          <c:idx val="5"/>
          <c:order val="4"/>
          <c:tx>
            <c:strRef>
              <c:f>'Provider Details'!$N$33</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'Provider Details'!$I$34:$I$43</c:f>
            </c:multiLvlStrRef>
          </c:cat>
          <c:val>
            <c:numRef>
              <c:f>'Provider Details'!$O$34:$O$43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C09B-4038-A1FE-E9382ADDD733}"/>
            </c:ext>
          </c:extLst>
        </c:ser>
        <c:dLbls>
          <c:dLblPos val="outEnd"/>
          <c:showLegendKey val="0"/>
          <c:showVal val="1"/>
          <c:showCatName val="0"/>
          <c:showSerName val="0"/>
          <c:showPercent val="0"/>
          <c:showBubbleSize val="0"/>
        </c:dLbls>
        <c:gapWidth val="132"/>
        <c:overlap val="-40"/>
        <c:axId val="551170824"/>
        <c:axId val="551166888"/>
        <c:extLst>
          <c:ext xmlns:c15="http://schemas.microsoft.com/office/drawing/2012/chart" uri="{02D57815-91ED-43cb-92C2-25804820EDAC}">
            <c15:filteredBarSeries>
              <c15:ser>
                <c:idx val="2"/>
                <c:order val="1"/>
                <c:spPr>
                  <a:solidFill>
                    <a:srgbClr val="E7E6E6">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'Provider Details'!$I$34:$I$43</c15:sqref>
                        </c15:formulaRef>
                      </c:ext>
                    </c:extLst>
                  </c:multiLvlStrRef>
                </c:cat>
                <c:val>
                  <c:numRef>
                    <c:extLst>
                      <c:ext uri="{02D57815-91ED-43cb-92C2-25804820EDAC}">
                        <c15:formulaRef>
                          <c15:sqref>'Provider Details'!$L$34:$L$43</c15:sqref>
                        </c15:formulaRef>
                      </c:ext>
                    </c:extLst>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C09B-4038-A1FE-E9382ADDD733}"/>
                  </c:ext>
                </c:extLst>
              </c15:ser>
            </c15:filteredBarSeries>
            <c15:filteredBarSeries>
              <c15:ser>
                <c:idx val="4"/>
                <c:order val="3"/>
                <c:spPr>
                  <a:solidFill>
                    <a:srgbClr val="C75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'Provider Details'!$I$34:$I$43</c15:sqref>
                        </c15:formulaRef>
                      </c:ext>
                    </c:extLst>
                  </c:multiLvlStrRef>
                </c:cat>
                <c:val>
                  <c:numRef>
                    <c:extLst xmlns:c15="http://schemas.microsoft.com/office/drawing/2012/chart">
                      <c:ext xmlns:c15="http://schemas.microsoft.com/office/drawing/2012/chart" uri="{02D57815-91ED-43cb-92C2-25804820EDAC}">
                        <c15:formulaRef>
                          <c15:sqref>'Provider Details'!$N$34:$N$43</c15:sqref>
                        </c15:formulaRef>
                      </c:ext>
                    </c:extLst>
                    <c:numCache>
                      <c:formatCode>#,##0</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5-C09B-4038-A1FE-E9382ADDD733}"/>
                  </c:ext>
                </c:extLst>
              </c15:ser>
            </c15:filteredBarSeries>
          </c:ext>
        </c:extLst>
      </c:barChart>
      <c:catAx>
        <c:axId val="551170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0%" sourceLinked="1"/>
        <c:majorTickMark val="none"/>
        <c:minorTickMark val="none"/>
        <c:tickLblPos val="nextTo"/>
        <c:crossAx val="551170824"/>
        <c:crosses val="autoZero"/>
        <c:crossBetween val="between"/>
      </c:valAx>
      <c:spPr>
        <a:noFill/>
        <a:ln>
          <a:noFill/>
        </a:ln>
        <a:effectLst/>
      </c:spPr>
    </c:plotArea>
    <c:legend>
      <c:legendPos val="r"/>
      <c:layout>
        <c:manualLayout>
          <c:xMode val="edge"/>
          <c:yMode val="edge"/>
          <c:x val="0.76697807128947593"/>
          <c:y val="0.47072946353808776"/>
          <c:w val="0.21896824993649988"/>
          <c:h val="0.1400902767666132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Providers: EFT (Direct</a:t>
            </a:r>
            <a:r>
              <a:rPr lang="en-US" baseline="0"/>
              <a:t> Deposit</a:t>
            </a:r>
            <a:r>
              <a:rPr lang="en-US"/>
              <a:t>)</a:t>
            </a:r>
          </a:p>
        </c:rich>
      </c:tx>
      <c:layout>
        <c:manualLayout>
          <c:xMode val="edge"/>
          <c:yMode val="edge"/>
          <c:x val="0.29167864886454409"/>
          <c:y val="1.44404332129963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685931115002919E-2"/>
          <c:y val="0.14729166074457301"/>
          <c:w val="0.94862813776999422"/>
          <c:h val="0.67381221751613174"/>
        </c:manualLayout>
      </c:layout>
      <c:barChart>
        <c:barDir val="col"/>
        <c:grouping val="clustered"/>
        <c:varyColors val="0"/>
        <c:ser>
          <c:idx val="0"/>
          <c:order val="0"/>
          <c:tx>
            <c:strRef>
              <c:f>'Provider Details'!$J$85</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'Provider Details'!$I$86:$I$88</c15:sqref>
                  </c15:fullRef>
                </c:ext>
              </c:extLst>
              <c:f>'Provider Details'!$I$88</c:f>
              <c:strCache>
                <c:ptCount val="1"/>
                <c:pt idx="0">
                  <c:v>% of Total Providers</c:v>
                </c:pt>
              </c:strCache>
            </c:strRef>
          </c:cat>
          <c:val>
            <c:numRef>
              <c:extLst>
                <c:ext xmlns:c15="http://schemas.microsoft.com/office/drawing/2012/chart" uri="{02D57815-91ED-43cb-92C2-25804820EDAC}">
                  <c15:fullRef>
                    <c15:sqref>'Provider Details'!$J$86:$J$88</c15:sqref>
                  </c15:fullRef>
                </c:ext>
              </c:extLst>
              <c:f>'Provider Details'!$J$88</c:f>
              <c:numCache>
                <c:formatCode>#,##0_);\(#,##0\)</c:formatCode>
                <c:ptCount val="1"/>
                <c:pt idx="0" formatCode="0.0%">
                  <c:v>0</c:v>
                </c:pt>
              </c:numCache>
            </c:numRef>
          </c:val>
          <c:extLst>
            <c:ext xmlns:c16="http://schemas.microsoft.com/office/drawing/2014/chart" uri="{C3380CC4-5D6E-409C-BE32-E72D297353CC}">
              <c16:uniqueId val="{00000000-36A8-4F8E-9801-D47EA48582A2}"/>
            </c:ext>
          </c:extLst>
        </c:ser>
        <c:ser>
          <c:idx val="1"/>
          <c:order val="1"/>
          <c:tx>
            <c:strRef>
              <c:f>'Provider Details'!$K$85</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'Provider Details'!$I$86:$I$88</c15:sqref>
                  </c15:fullRef>
                </c:ext>
              </c:extLst>
              <c:f>'Provider Details'!$I$88</c:f>
              <c:strCache>
                <c:ptCount val="1"/>
                <c:pt idx="0">
                  <c:v>% of Total Providers</c:v>
                </c:pt>
              </c:strCache>
            </c:strRef>
          </c:cat>
          <c:val>
            <c:numRef>
              <c:extLst>
                <c:ext xmlns:c15="http://schemas.microsoft.com/office/drawing/2012/chart" uri="{02D57815-91ED-43cb-92C2-25804820EDAC}">
                  <c15:fullRef>
                    <c15:sqref>'Provider Details'!$K$86:$K$88</c15:sqref>
                  </c15:fullRef>
                </c:ext>
              </c:extLst>
              <c:f>'Provider Details'!$K$88</c:f>
              <c:numCache>
                <c:formatCode>#,##0_);\(#,##0\)</c:formatCode>
                <c:ptCount val="1"/>
                <c:pt idx="0" formatCode="0.0%">
                  <c:v>0</c:v>
                </c:pt>
              </c:numCache>
            </c:numRef>
          </c:val>
          <c:extLst>
            <c:ext xmlns:c16="http://schemas.microsoft.com/office/drawing/2014/chart" uri="{C3380CC4-5D6E-409C-BE32-E72D297353CC}">
              <c16:uniqueId val="{00000001-36A8-4F8E-9801-D47EA48582A2}"/>
            </c:ext>
          </c:extLst>
        </c:ser>
        <c:ser>
          <c:idx val="2"/>
          <c:order val="2"/>
          <c:tx>
            <c:strRef>
              <c:f>'Provider Details'!$L$85</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'Provider Details'!$I$86:$I$88</c15:sqref>
                  </c15:fullRef>
                </c:ext>
              </c:extLst>
              <c:f>'Provider Details'!$I$88</c:f>
              <c:strCache>
                <c:ptCount val="1"/>
                <c:pt idx="0">
                  <c:v>% of Total Providers</c:v>
                </c:pt>
              </c:strCache>
            </c:strRef>
          </c:cat>
          <c:val>
            <c:numRef>
              <c:extLst>
                <c:ext xmlns:c15="http://schemas.microsoft.com/office/drawing/2012/chart" uri="{02D57815-91ED-43cb-92C2-25804820EDAC}">
                  <c15:fullRef>
                    <c15:sqref>'Provider Details'!$L$86:$L$88</c15:sqref>
                  </c15:fullRef>
                </c:ext>
              </c:extLst>
              <c:f>'Provider Details'!$L$88</c:f>
              <c:numCache>
                <c:formatCode>#,##0_);\(#,##0\)</c:formatCode>
                <c:ptCount val="1"/>
                <c:pt idx="0" formatCode="0.0%">
                  <c:v>0.78281296628746511</c:v>
                </c:pt>
              </c:numCache>
            </c:numRef>
          </c:val>
          <c:extLst>
            <c:ext xmlns:c16="http://schemas.microsoft.com/office/drawing/2014/chart" uri="{C3380CC4-5D6E-409C-BE32-E72D297353CC}">
              <c16:uniqueId val="{00000002-36A8-4F8E-9801-D47EA48582A2}"/>
            </c:ext>
          </c:extLst>
        </c:ser>
        <c:dLbls>
          <c:showLegendKey val="0"/>
          <c:showVal val="0"/>
          <c:showCatName val="0"/>
          <c:showSerName val="0"/>
          <c:showPercent val="0"/>
          <c:showBubbleSize val="0"/>
        </c:dLbls>
        <c:gapWidth val="191"/>
        <c:overlap val="-100"/>
        <c:axId val="453211992"/>
        <c:axId val="453216584"/>
      </c:barChart>
      <c:catAx>
        <c:axId val="453211992"/>
        <c:scaling>
          <c:orientation val="minMax"/>
        </c:scaling>
        <c:delete val="1"/>
        <c:axPos val="b"/>
        <c:numFmt formatCode="General" sourceLinked="1"/>
        <c:majorTickMark val="none"/>
        <c:minorTickMark val="none"/>
        <c:tickLblPos val="nextTo"/>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19937523932285225"/>
          <c:y val="0.86678434426465922"/>
          <c:w val="0.59374482944455043"/>
          <c:h val="9.414361666330170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Providers: Overtime Violations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685997650939835E-2"/>
          <c:y val="0.15375984251968505"/>
          <c:w val="0.94862813776999422"/>
          <c:h val="0.5534754276405105"/>
        </c:manualLayout>
      </c:layout>
      <c:barChart>
        <c:barDir val="col"/>
        <c:grouping val="clustered"/>
        <c:varyColors val="0"/>
        <c:ser>
          <c:idx val="0"/>
          <c:order val="0"/>
          <c:tx>
            <c:strRef>
              <c:f>'Provider Details'!$E$107</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1</c:v>
                      </c:pt>
                      <c:pt idx="1">
                        <c:v>2</c:v>
                      </c:pt>
                      <c:pt idx="3">
                        <c:v>4</c:v>
                      </c:pt>
                      <c:pt idx="5">
                        <c:v>6</c:v>
                      </c:pt>
                    </c:strCache>
                  </c16:filteredLitCache>
                </c:ext>
              </c:extLst>
              <c:f/>
              <c:strCache>
                <c:ptCount val="3"/>
                <c:pt idx="0">
                  <c:v>With Single Recipient</c:v>
                </c:pt>
                <c:pt idx="1">
                  <c:v>Travel</c:v>
                </c:pt>
                <c:pt idx="2">
                  <c:v>With Multiple Recipients</c:v>
                </c:pt>
              </c:strCache>
            </c:strRef>
          </c:cat>
          <c:val>
            <c:numRef>
              <c:extLst>
                <c:ext xmlns:c15="http://schemas.microsoft.com/office/drawing/2012/chart" uri="{02D57815-91ED-43cb-92C2-25804820EDAC}">
                  <c15:fullRef>
                    <c15:sqref>'Provider Details'!$E$108:$E$114</c15:sqref>
                  </c15:fullRef>
                </c:ext>
              </c:extLst>
              <c:f>('Provider Details'!$E$110,'Provider Details'!$E$112,'Provider Details'!$E$114)</c:f>
              <c:numCache>
                <c:formatCode>#,##0_);\(#,##0\)</c:formatCode>
                <c:ptCount val="3"/>
                <c:pt idx="0" formatCode="0.0%">
                  <c:v>0</c:v>
                </c:pt>
                <c:pt idx="1" formatCode="0.0%">
                  <c:v>0</c:v>
                </c:pt>
                <c:pt idx="2" formatCode="0.0%">
                  <c:v>0</c:v>
                </c:pt>
              </c:numCache>
            </c:numRef>
          </c:val>
          <c:extLst>
            <c:ext xmlns:c16="http://schemas.microsoft.com/office/drawing/2014/chart" uri="{C3380CC4-5D6E-409C-BE32-E72D297353CC}">
              <c16:uniqueId val="{00000000-36A8-4F8E-9801-D47EA48582A2}"/>
            </c:ext>
          </c:extLst>
        </c:ser>
        <c:ser>
          <c:idx val="1"/>
          <c:order val="1"/>
          <c:tx>
            <c:strRef>
              <c:f>'Provider Details'!$F$107</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1</c:v>
                      </c:pt>
                      <c:pt idx="1">
                        <c:v>2</c:v>
                      </c:pt>
                      <c:pt idx="3">
                        <c:v>4</c:v>
                      </c:pt>
                      <c:pt idx="5">
                        <c:v>6</c:v>
                      </c:pt>
                    </c:strCache>
                  </c16:filteredLitCache>
                </c:ext>
              </c:extLst>
              <c:f/>
              <c:strCache>
                <c:ptCount val="3"/>
                <c:pt idx="0">
                  <c:v>With Single Recipient</c:v>
                </c:pt>
                <c:pt idx="1">
                  <c:v>Travel</c:v>
                </c:pt>
                <c:pt idx="2">
                  <c:v>With Multiple Recipients</c:v>
                </c:pt>
              </c:strCache>
            </c:strRef>
          </c:cat>
          <c:val>
            <c:numRef>
              <c:extLst>
                <c:ext xmlns:c15="http://schemas.microsoft.com/office/drawing/2012/chart" uri="{02D57815-91ED-43cb-92C2-25804820EDAC}">
                  <c15:fullRef>
                    <c15:sqref>'Provider Details'!$F$108:$F$114</c15:sqref>
                  </c15:fullRef>
                </c:ext>
              </c:extLst>
              <c:f>('Provider Details'!$F$110,'Provider Details'!$F$112,'Provider Details'!$F$114)</c:f>
              <c:numCache>
                <c:formatCode>#,##0_);\(#,##0\)</c:formatCode>
                <c:ptCount val="3"/>
                <c:pt idx="0" formatCode="0.0%">
                  <c:v>0</c:v>
                </c:pt>
                <c:pt idx="1" formatCode="0.0%">
                  <c:v>0</c:v>
                </c:pt>
                <c:pt idx="2" formatCode="0.0%">
                  <c:v>0</c:v>
                </c:pt>
              </c:numCache>
            </c:numRef>
          </c:val>
          <c:extLst>
            <c:ext xmlns:c16="http://schemas.microsoft.com/office/drawing/2014/chart" uri="{C3380CC4-5D6E-409C-BE32-E72D297353CC}">
              <c16:uniqueId val="{00000001-36A8-4F8E-9801-D47EA48582A2}"/>
            </c:ext>
          </c:extLst>
        </c:ser>
        <c:ser>
          <c:idx val="2"/>
          <c:order val="2"/>
          <c:tx>
            <c:strRef>
              <c:f>'Provider Details'!$G$107</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1</c:v>
                      </c:pt>
                      <c:pt idx="1">
                        <c:v>2</c:v>
                      </c:pt>
                      <c:pt idx="3">
                        <c:v>4</c:v>
                      </c:pt>
                      <c:pt idx="5">
                        <c:v>6</c:v>
                      </c:pt>
                    </c:strCache>
                  </c16:filteredLitCache>
                </c:ext>
              </c:extLst>
              <c:f/>
              <c:strCache>
                <c:ptCount val="3"/>
                <c:pt idx="0">
                  <c:v>With Single Recipient</c:v>
                </c:pt>
                <c:pt idx="1">
                  <c:v>Travel</c:v>
                </c:pt>
                <c:pt idx="2">
                  <c:v>With Multiple Recipients</c:v>
                </c:pt>
              </c:strCache>
            </c:strRef>
          </c:cat>
          <c:val>
            <c:numRef>
              <c:extLst>
                <c:ext xmlns:c15="http://schemas.microsoft.com/office/drawing/2012/chart" uri="{02D57815-91ED-43cb-92C2-25804820EDAC}">
                  <c15:fullRef>
                    <c15:sqref>'Provider Details'!$G$108:$G$114</c15:sqref>
                  </c15:fullRef>
                </c:ext>
              </c:extLst>
              <c:f>('Provider Details'!$G$110,'Provider Details'!$G$112,'Provider Details'!$G$114)</c:f>
              <c:numCache>
                <c:formatCode>#,##0_);\(#,##0\)</c:formatCode>
                <c:ptCount val="3"/>
                <c:pt idx="0" formatCode="0.0%">
                  <c:v>0.58482384823848244</c:v>
                </c:pt>
                <c:pt idx="1" formatCode="0.0%">
                  <c:v>2.0054200542005421E-2</c:v>
                </c:pt>
                <c:pt idx="2" formatCode="0.0%">
                  <c:v>0.39512195121951221</c:v>
                </c:pt>
              </c:numCache>
            </c:numRef>
          </c:val>
          <c:extLst>
            <c:ext xmlns:c16="http://schemas.microsoft.com/office/drawing/2014/chart" uri="{C3380CC4-5D6E-409C-BE32-E72D297353CC}">
              <c16:uniqueId val="{00000002-36A8-4F8E-9801-D47EA48582A2}"/>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20625782843380441"/>
          <c:y val="0.87835228929717124"/>
          <c:w val="0.58533016167809393"/>
          <c:h val="8.9240303295421403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Providers: Overtime Exemptions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685931115002919E-2"/>
          <c:y val="0.19542643376474492"/>
          <c:w val="0.94862813776999422"/>
          <c:h val="0.5534754276405105"/>
        </c:manualLayout>
      </c:layout>
      <c:barChart>
        <c:barDir val="col"/>
        <c:grouping val="clustered"/>
        <c:varyColors val="0"/>
        <c:ser>
          <c:idx val="0"/>
          <c:order val="0"/>
          <c:tx>
            <c:strRef>
              <c:f>'Provider Details'!$J$107</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1</c:v>
                      </c:pt>
                      <c:pt idx="1">
                        <c:v>2</c:v>
                      </c:pt>
                      <c:pt idx="3">
                        <c:v>4</c:v>
                      </c:pt>
                    </c:strCache>
                  </c16:filteredLitCache>
                </c:ext>
              </c:extLst>
              <c:f/>
              <c:strCache>
                <c:ptCount val="2"/>
                <c:pt idx="0">
                  <c:v>Parent Provider</c:v>
                </c:pt>
                <c:pt idx="1">
                  <c:v>Extrodinary Circumstances</c:v>
                </c:pt>
              </c:strCache>
            </c:strRef>
          </c:cat>
          <c:val>
            <c:numRef>
              <c:extLst>
                <c:ext xmlns:c15="http://schemas.microsoft.com/office/drawing/2012/chart" uri="{02D57815-91ED-43cb-92C2-25804820EDAC}">
                  <c15:fullRef>
                    <c15:sqref>'Provider Details'!$J$108:$J$112</c15:sqref>
                  </c15:fullRef>
                </c:ext>
              </c:extLst>
              <c:f>('Provider Details'!$J$110,'Provider Details'!$J$112)</c:f>
              <c:numCache>
                <c:formatCode>#,##0_);\(#,##0\)</c:formatCode>
                <c:ptCount val="2"/>
                <c:pt idx="0" formatCode="0.0%">
                  <c:v>0</c:v>
                </c:pt>
                <c:pt idx="1" formatCode="0.0%">
                  <c:v>0</c:v>
                </c:pt>
              </c:numCache>
            </c:numRef>
          </c:val>
          <c:extLst>
            <c:ext xmlns:c16="http://schemas.microsoft.com/office/drawing/2014/chart" uri="{C3380CC4-5D6E-409C-BE32-E72D297353CC}">
              <c16:uniqueId val="{00000000-36A8-4F8E-9801-D47EA48582A2}"/>
            </c:ext>
          </c:extLst>
        </c:ser>
        <c:ser>
          <c:idx val="1"/>
          <c:order val="1"/>
          <c:tx>
            <c:strRef>
              <c:f>'Provider Details'!$K$107</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1</c:v>
                      </c:pt>
                      <c:pt idx="1">
                        <c:v>2</c:v>
                      </c:pt>
                      <c:pt idx="3">
                        <c:v>4</c:v>
                      </c:pt>
                    </c:strCache>
                  </c16:filteredLitCache>
                </c:ext>
              </c:extLst>
              <c:f/>
              <c:strCache>
                <c:ptCount val="2"/>
                <c:pt idx="0">
                  <c:v>Parent Provider</c:v>
                </c:pt>
                <c:pt idx="1">
                  <c:v>Extrodinary Circumstances</c:v>
                </c:pt>
              </c:strCache>
            </c:strRef>
          </c:cat>
          <c:val>
            <c:numRef>
              <c:extLst>
                <c:ext xmlns:c15="http://schemas.microsoft.com/office/drawing/2012/chart" uri="{02D57815-91ED-43cb-92C2-25804820EDAC}">
                  <c15:fullRef>
                    <c15:sqref>'Provider Details'!$K$108:$K$112</c15:sqref>
                  </c15:fullRef>
                </c:ext>
              </c:extLst>
              <c:f>('Provider Details'!$K$110,'Provider Details'!$K$112)</c:f>
              <c:numCache>
                <c:formatCode>#,##0_);\(#,##0\)</c:formatCode>
                <c:ptCount val="2"/>
                <c:pt idx="0" formatCode="0.0%">
                  <c:v>0</c:v>
                </c:pt>
                <c:pt idx="1" formatCode="0.0%">
                  <c:v>0</c:v>
                </c:pt>
              </c:numCache>
            </c:numRef>
          </c:val>
          <c:extLst>
            <c:ext xmlns:c16="http://schemas.microsoft.com/office/drawing/2014/chart" uri="{C3380CC4-5D6E-409C-BE32-E72D297353CC}">
              <c16:uniqueId val="{00000001-36A8-4F8E-9801-D47EA48582A2}"/>
            </c:ext>
          </c:extLst>
        </c:ser>
        <c:ser>
          <c:idx val="2"/>
          <c:order val="2"/>
          <c:tx>
            <c:strRef>
              <c:f>'Provider Details'!$L$107</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1</c:v>
                      </c:pt>
                      <c:pt idx="1">
                        <c:v>2</c:v>
                      </c:pt>
                      <c:pt idx="3">
                        <c:v>4</c:v>
                      </c:pt>
                    </c:strCache>
                  </c16:filteredLitCache>
                </c:ext>
              </c:extLst>
              <c:f/>
              <c:strCache>
                <c:ptCount val="2"/>
                <c:pt idx="0">
                  <c:v>Parent Provider</c:v>
                </c:pt>
                <c:pt idx="1">
                  <c:v>Extrodinary Circumstances</c:v>
                </c:pt>
              </c:strCache>
            </c:strRef>
          </c:cat>
          <c:val>
            <c:numRef>
              <c:extLst>
                <c:ext xmlns:c15="http://schemas.microsoft.com/office/drawing/2012/chart" uri="{02D57815-91ED-43cb-92C2-25804820EDAC}">
                  <c15:fullRef>
                    <c15:sqref>'Provider Details'!$L$108:$L$112</c15:sqref>
                  </c15:fullRef>
                </c:ext>
              </c:extLst>
              <c:f>('Provider Details'!$L$110,'Provider Details'!$L$112)</c:f>
              <c:numCache>
                <c:formatCode>#,##0_);\(#,##0\)</c:formatCode>
                <c:ptCount val="2"/>
                <c:pt idx="0" formatCode="0.0%">
                  <c:v>0.56729304215337739</c:v>
                </c:pt>
                <c:pt idx="1" formatCode="0.0%">
                  <c:v>0.43270695784662266</c:v>
                </c:pt>
              </c:numCache>
            </c:numRef>
          </c:val>
          <c:extLst>
            <c:ext xmlns:c16="http://schemas.microsoft.com/office/drawing/2014/chart" uri="{C3380CC4-5D6E-409C-BE32-E72D297353CC}">
              <c16:uniqueId val="{00000002-36A8-4F8E-9801-D47EA48582A2}"/>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lang="en-US"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a:t>New Applications:</a:t>
            </a:r>
          </a:p>
          <a:p>
            <a:pPr>
              <a:defRPr sz="1200"/>
            </a:pPr>
            <a:r>
              <a:rPr lang="en-US" sz="1200"/>
              <a:t>Applications Received</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685931115002919E-2"/>
          <c:y val="0.26402241520453029"/>
          <c:w val="0.95497729450485358"/>
          <c:h val="0.58777324860115954"/>
        </c:manualLayout>
      </c:layout>
      <c:barChart>
        <c:barDir val="col"/>
        <c:grouping val="clustered"/>
        <c:varyColors val="0"/>
        <c:ser>
          <c:idx val="0"/>
          <c:order val="0"/>
          <c:tx>
            <c:strRef>
              <c:f>'IHSS Applicants'!$E$24</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'IHSS Applicants'!$D$26:$D$27</c15:sqref>
                  </c15:fullRef>
                </c:ext>
              </c:extLst>
              <c:f>'IHSS Applicants'!$D$27</c:f>
              <c:strCache>
                <c:ptCount val="1"/>
                <c:pt idx="0">
                  <c:v> Compared to Total Recipients % </c:v>
                </c:pt>
              </c:strCache>
            </c:strRef>
          </c:cat>
          <c:val>
            <c:numRef>
              <c:extLst>
                <c:ext xmlns:c15="http://schemas.microsoft.com/office/drawing/2012/chart" uri="{02D57815-91ED-43cb-92C2-25804820EDAC}">
                  <c15:fullRef>
                    <c15:sqref>'IHSS Applicants'!$E$26:$E$27</c15:sqref>
                  </c15:fullRef>
                </c:ext>
              </c:extLst>
              <c:f>'IHSS Applicants'!$E$27</c:f>
              <c:numCache>
                <c:formatCode>0.0%</c:formatCode>
                <c:ptCount val="1"/>
                <c:pt idx="0">
                  <c:v>0</c:v>
                </c:pt>
              </c:numCache>
            </c:numRef>
          </c:val>
          <c:extLst>
            <c:ext xmlns:c16="http://schemas.microsoft.com/office/drawing/2014/chart" uri="{C3380CC4-5D6E-409C-BE32-E72D297353CC}">
              <c16:uniqueId val="{00000000-C0DA-4E5B-AF3E-2B346A197CA9}"/>
            </c:ext>
          </c:extLst>
        </c:ser>
        <c:ser>
          <c:idx val="1"/>
          <c:order val="1"/>
          <c:tx>
            <c:strRef>
              <c:f>'IHSS Applicants'!$F$24</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'IHSS Applicants'!$D$26:$D$27</c15:sqref>
                  </c15:fullRef>
                </c:ext>
              </c:extLst>
              <c:f>'IHSS Applicants'!$D$27</c:f>
              <c:strCache>
                <c:ptCount val="1"/>
                <c:pt idx="0">
                  <c:v> Compared to Total Recipients % </c:v>
                </c:pt>
              </c:strCache>
            </c:strRef>
          </c:cat>
          <c:val>
            <c:numRef>
              <c:extLst>
                <c:ext xmlns:c15="http://schemas.microsoft.com/office/drawing/2012/chart" uri="{02D57815-91ED-43cb-92C2-25804820EDAC}">
                  <c15:fullRef>
                    <c15:sqref>'IHSS Applicants'!$F$26:$F$27</c15:sqref>
                  </c15:fullRef>
                </c:ext>
              </c:extLst>
              <c:f>'IHSS Applicants'!$F$27</c:f>
              <c:numCache>
                <c:formatCode>0.0%</c:formatCode>
                <c:ptCount val="1"/>
                <c:pt idx="0">
                  <c:v>0</c:v>
                </c:pt>
              </c:numCache>
            </c:numRef>
          </c:val>
          <c:extLst>
            <c:ext xmlns:c16="http://schemas.microsoft.com/office/drawing/2014/chart" uri="{C3380CC4-5D6E-409C-BE32-E72D297353CC}">
              <c16:uniqueId val="{00000001-C0DA-4E5B-AF3E-2B346A197CA9}"/>
            </c:ext>
          </c:extLst>
        </c:ser>
        <c:ser>
          <c:idx val="2"/>
          <c:order val="2"/>
          <c:tx>
            <c:strRef>
              <c:f>'IHSS Applicants'!$G$24</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'IHSS Applicants'!$D$26:$D$27</c15:sqref>
                  </c15:fullRef>
                </c:ext>
              </c:extLst>
              <c:f>'IHSS Applicants'!$D$27</c:f>
              <c:strCache>
                <c:ptCount val="1"/>
                <c:pt idx="0">
                  <c:v> Compared to Total Recipients % </c:v>
                </c:pt>
              </c:strCache>
            </c:strRef>
          </c:cat>
          <c:val>
            <c:numRef>
              <c:extLst>
                <c:ext xmlns:c15="http://schemas.microsoft.com/office/drawing/2012/chart" uri="{02D57815-91ED-43cb-92C2-25804820EDAC}">
                  <c15:fullRef>
                    <c15:sqref>'IHSS Applicants'!$G$26:$G$27</c15:sqref>
                  </c15:fullRef>
                </c:ext>
              </c:extLst>
              <c:f>'IHSS Applicants'!$G$27</c:f>
              <c:numCache>
                <c:formatCode>0.0%</c:formatCode>
                <c:ptCount val="1"/>
                <c:pt idx="0">
                  <c:v>2.9603389444332932E-2</c:v>
                </c:pt>
              </c:numCache>
            </c:numRef>
          </c:val>
          <c:extLst>
            <c:ext xmlns:c16="http://schemas.microsoft.com/office/drawing/2014/chart" uri="{C3380CC4-5D6E-409C-BE32-E72D297353CC}">
              <c16:uniqueId val="{00000002-C0DA-4E5B-AF3E-2B346A197CA9}"/>
            </c:ext>
          </c:extLst>
        </c:ser>
        <c:dLbls>
          <c:showLegendKey val="0"/>
          <c:showVal val="0"/>
          <c:showCatName val="0"/>
          <c:showSerName val="0"/>
          <c:showPercent val="0"/>
          <c:showBubbleSize val="0"/>
        </c:dLbls>
        <c:gapWidth val="201"/>
        <c:overlap val="-69"/>
        <c:axId val="453211992"/>
        <c:axId val="453216584"/>
      </c:barChart>
      <c:catAx>
        <c:axId val="453211992"/>
        <c:scaling>
          <c:orientation val="minMax"/>
        </c:scaling>
        <c:delete val="1"/>
        <c:axPos val="b"/>
        <c:numFmt formatCode="General" sourceLinked="1"/>
        <c:majorTickMark val="none"/>
        <c:minorTickMark val="none"/>
        <c:tickLblPos val="nextTo"/>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27529158855143104"/>
          <c:y val="0.89163598923124965"/>
          <c:w val="0.52560729908761394"/>
          <c:h val="8.2640538099940083E-2"/>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lang="en-US"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Denied Applications</a:t>
            </a:r>
          </a:p>
          <a:p>
            <a:pPr>
              <a:defRPr sz="1200">
                <a:solidFill>
                  <a:sysClr val="windowText" lastClr="000000"/>
                </a:solidFill>
              </a:defRPr>
            </a:pPr>
            <a:r>
              <a:rPr lang="en-US"/>
              <a:t>(Previous 90 days)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5685968022906951E-2"/>
          <c:y val="0.22123274913216498"/>
          <c:w val="0.94862813776999422"/>
          <c:h val="0.5534754276405105"/>
        </c:manualLayout>
      </c:layout>
      <c:barChart>
        <c:barDir val="col"/>
        <c:grouping val="clustered"/>
        <c:varyColors val="0"/>
        <c:ser>
          <c:idx val="0"/>
          <c:order val="0"/>
          <c:tx>
            <c:strRef>
              <c:f>'IHSS Applicants'!$J$24</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1</c:v>
                      </c:pt>
                      <c:pt idx="1">
                        <c:v>2</c:v>
                      </c:pt>
                      <c:pt idx="3">
                        <c:v>4</c:v>
                      </c:pt>
                      <c:pt idx="5">
                        <c:v>6</c:v>
                      </c:pt>
                    </c:strCache>
                  </c16:filteredLitCache>
                </c:ext>
              </c:extLst>
              <c:f/>
              <c:strCache>
                <c:ptCount val="3"/>
                <c:pt idx="0">
                  <c:v>0-45 Days</c:v>
                </c:pt>
                <c:pt idx="1">
                  <c:v>46-90 Days</c:v>
                </c:pt>
                <c:pt idx="2">
                  <c:v>90+ Days</c:v>
                </c:pt>
              </c:strCache>
            </c:strRef>
          </c:cat>
          <c:val>
            <c:numRef>
              <c:extLst>
                <c:ext xmlns:c15="http://schemas.microsoft.com/office/drawing/2012/chart" uri="{02D57815-91ED-43cb-92C2-25804820EDAC}">
                  <c15:fullRef>
                    <c15:sqref>'IHSS Applicants'!$J$25:$J$31</c15:sqref>
                  </c15:fullRef>
                </c:ext>
              </c:extLst>
              <c:f>('IHSS Applicants'!$J$27,'IHSS Applicants'!$J$29,'IHSS Applicants'!$J$31)</c:f>
              <c:numCache>
                <c:formatCode>#,##0</c:formatCode>
                <c:ptCount val="3"/>
                <c:pt idx="0" formatCode="0.0%">
                  <c:v>0</c:v>
                </c:pt>
                <c:pt idx="1" formatCode="0.0%">
                  <c:v>0</c:v>
                </c:pt>
                <c:pt idx="2" formatCode="0.0%">
                  <c:v>0</c:v>
                </c:pt>
              </c:numCache>
            </c:numRef>
          </c:val>
          <c:extLst>
            <c:ext xmlns:c16="http://schemas.microsoft.com/office/drawing/2014/chart" uri="{C3380CC4-5D6E-409C-BE32-E72D297353CC}">
              <c16:uniqueId val="{00000000-5080-402E-BC62-AF986147E3FF}"/>
            </c:ext>
          </c:extLst>
        </c:ser>
        <c:ser>
          <c:idx val="1"/>
          <c:order val="1"/>
          <c:tx>
            <c:strRef>
              <c:f>'IHSS Applicants'!$K$24</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1</c:v>
                      </c:pt>
                      <c:pt idx="1">
                        <c:v>2</c:v>
                      </c:pt>
                      <c:pt idx="3">
                        <c:v>4</c:v>
                      </c:pt>
                      <c:pt idx="5">
                        <c:v>6</c:v>
                      </c:pt>
                    </c:strCache>
                  </c16:filteredLitCache>
                </c:ext>
              </c:extLst>
              <c:f/>
              <c:strCache>
                <c:ptCount val="3"/>
                <c:pt idx="0">
                  <c:v>0-45 Days</c:v>
                </c:pt>
                <c:pt idx="1">
                  <c:v>46-90 Days</c:v>
                </c:pt>
                <c:pt idx="2">
                  <c:v>90+ Days</c:v>
                </c:pt>
              </c:strCache>
            </c:strRef>
          </c:cat>
          <c:val>
            <c:numRef>
              <c:extLst>
                <c:ext xmlns:c15="http://schemas.microsoft.com/office/drawing/2012/chart" uri="{02D57815-91ED-43cb-92C2-25804820EDAC}">
                  <c15:fullRef>
                    <c15:sqref>'IHSS Applicants'!$K$25:$K$31</c15:sqref>
                  </c15:fullRef>
                </c:ext>
              </c:extLst>
              <c:f>('IHSS Applicants'!$K$27,'IHSS Applicants'!$K$29,'IHSS Applicants'!$K$31)</c:f>
              <c:numCache>
                <c:formatCode>#,##0</c:formatCode>
                <c:ptCount val="3"/>
                <c:pt idx="0" formatCode="0.0%">
                  <c:v>0</c:v>
                </c:pt>
                <c:pt idx="1" formatCode="0.0%">
                  <c:v>0</c:v>
                </c:pt>
                <c:pt idx="2" formatCode="0.0%">
                  <c:v>0</c:v>
                </c:pt>
              </c:numCache>
            </c:numRef>
          </c:val>
          <c:extLst>
            <c:ext xmlns:c16="http://schemas.microsoft.com/office/drawing/2014/chart" uri="{C3380CC4-5D6E-409C-BE32-E72D297353CC}">
              <c16:uniqueId val="{00000001-5080-402E-BC62-AF986147E3FF}"/>
            </c:ext>
          </c:extLst>
        </c:ser>
        <c:ser>
          <c:idx val="2"/>
          <c:order val="2"/>
          <c:tx>
            <c:strRef>
              <c:f>'IHSS Applicants'!$L$24</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4"/>
                      <c:pt idx="0">
                        <c:v>1</c:v>
                      </c:pt>
                      <c:pt idx="1">
                        <c:v>2</c:v>
                      </c:pt>
                      <c:pt idx="3">
                        <c:v>4</c:v>
                      </c:pt>
                      <c:pt idx="5">
                        <c:v>6</c:v>
                      </c:pt>
                    </c:strCache>
                  </c16:filteredLitCache>
                </c:ext>
              </c:extLst>
              <c:f/>
              <c:strCache>
                <c:ptCount val="3"/>
                <c:pt idx="0">
                  <c:v>0-45 Days</c:v>
                </c:pt>
                <c:pt idx="1">
                  <c:v>46-90 Days</c:v>
                </c:pt>
                <c:pt idx="2">
                  <c:v>90+ Days</c:v>
                </c:pt>
              </c:strCache>
            </c:strRef>
          </c:cat>
          <c:val>
            <c:numRef>
              <c:extLst>
                <c:ext xmlns:c15="http://schemas.microsoft.com/office/drawing/2012/chart" uri="{02D57815-91ED-43cb-92C2-25804820EDAC}">
                  <c15:fullRef>
                    <c15:sqref>'IHSS Applicants'!$L$25:$L$31</c15:sqref>
                  </c15:fullRef>
                </c:ext>
              </c:extLst>
              <c:f>('IHSS Applicants'!$L$27,'IHSS Applicants'!$L$29,'IHSS Applicants'!$L$31)</c:f>
              <c:numCache>
                <c:formatCode>#,##0</c:formatCode>
                <c:ptCount val="3"/>
                <c:pt idx="0" formatCode="0.0%">
                  <c:v>0.19519947391494957</c:v>
                </c:pt>
                <c:pt idx="1" formatCode="0.0%">
                  <c:v>0.70517316966242871</c:v>
                </c:pt>
                <c:pt idx="2" formatCode="0.0%">
                  <c:v>9.962735642262166E-2</c:v>
                </c:pt>
              </c:numCache>
            </c:numRef>
          </c:val>
          <c:extLst>
            <c:ext xmlns:c16="http://schemas.microsoft.com/office/drawing/2014/chart" uri="{C3380CC4-5D6E-409C-BE32-E72D297353CC}">
              <c16:uniqueId val="{00000002-5080-402E-BC62-AF986147E3FF}"/>
            </c:ext>
          </c:extLst>
        </c:ser>
        <c:dLbls>
          <c:showLegendKey val="0"/>
          <c:showVal val="0"/>
          <c:showCatName val="0"/>
          <c:showSerName val="0"/>
          <c:showPercent val="0"/>
          <c:showBubbleSize val="0"/>
        </c:dLbls>
        <c:gapWidth val="211"/>
        <c:overlap val="-4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baseline="0"/>
              <a:t>Reasons for Exiting the Program </a:t>
            </a:r>
            <a:r>
              <a:rPr lang="en-US"/>
              <a:t>(Top 10)</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2045435361927388"/>
          <c:y val="6.4115769312619711E-2"/>
          <c:w val="0.62981579063719628"/>
          <c:h val="0.91502126245599102"/>
        </c:manualLayout>
      </c:layout>
      <c:barChart>
        <c:barDir val="bar"/>
        <c:grouping val="clustered"/>
        <c:varyColors val="0"/>
        <c:ser>
          <c:idx val="1"/>
          <c:order val="1"/>
          <c:tx>
            <c:strRef>
              <c:f>'IHSS Applicants'!$J$35</c:f>
              <c:strCache>
                <c:ptCount val="1"/>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'IHSS Applicants'!$I$37:$I$46</c:f>
              <c:numCache>
                <c:formatCode>#,##0_);\(#,##0\)</c:formatCode>
                <c:ptCount val="10"/>
                <c:pt idx="0">
                  <c:v>#N/A</c:v>
                </c:pt>
                <c:pt idx="1">
                  <c:v>#N/A</c:v>
                </c:pt>
                <c:pt idx="2">
                  <c:v>#N/A</c:v>
                </c:pt>
                <c:pt idx="3">
                  <c:v>#N/A</c:v>
                </c:pt>
                <c:pt idx="4">
                  <c:v>#N/A</c:v>
                </c:pt>
                <c:pt idx="5">
                  <c:v>#N/A</c:v>
                </c:pt>
                <c:pt idx="6">
                  <c:v>#N/A</c:v>
                </c:pt>
                <c:pt idx="7">
                  <c:v>#N/A</c:v>
                </c:pt>
                <c:pt idx="8">
                  <c:v>#N/A</c:v>
                </c:pt>
                <c:pt idx="9">
                  <c:v>#N/A</c:v>
                </c:pt>
              </c:numCache>
            </c:numRef>
          </c:cat>
          <c:val>
            <c:numRef>
              <c:f>'IHSS Applicants'!$K$37:$K$46</c:f>
              <c:numCache>
                <c:formatCode>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0-6770-49EE-87B6-688ECFD32EA9}"/>
            </c:ext>
          </c:extLst>
        </c:ser>
        <c:ser>
          <c:idx val="3"/>
          <c:order val="3"/>
          <c:tx>
            <c:strRef>
              <c:f>'IHSS Applicants'!$L$35</c:f>
              <c:strCache>
                <c:ptCount val="1"/>
              </c:strCache>
            </c:strRef>
          </c:tx>
          <c:spPr>
            <a:solidFill>
              <a:srgbClr val="C75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'IHSS Applicants'!$I$37:$I$46</c:f>
              <c:numCache>
                <c:formatCode>#,##0_);\(#,##0\)</c:formatCode>
                <c:ptCount val="10"/>
                <c:pt idx="0">
                  <c:v>#N/A</c:v>
                </c:pt>
                <c:pt idx="1">
                  <c:v>#N/A</c:v>
                </c:pt>
                <c:pt idx="2">
                  <c:v>#N/A</c:v>
                </c:pt>
                <c:pt idx="3">
                  <c:v>#N/A</c:v>
                </c:pt>
                <c:pt idx="4">
                  <c:v>#N/A</c:v>
                </c:pt>
                <c:pt idx="5">
                  <c:v>#N/A</c:v>
                </c:pt>
                <c:pt idx="6">
                  <c:v>#N/A</c:v>
                </c:pt>
                <c:pt idx="7">
                  <c:v>#N/A</c:v>
                </c:pt>
                <c:pt idx="8">
                  <c:v>#N/A</c:v>
                </c:pt>
                <c:pt idx="9">
                  <c:v>#N/A</c:v>
                </c:pt>
              </c:numCache>
            </c:numRef>
          </c:cat>
          <c:val>
            <c:numRef>
              <c:f>'IHSS Applicants'!$M$37:$M$46</c:f>
              <c:numCache>
                <c:formatCode>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1-6770-49EE-87B6-688ECFD32EA9}"/>
            </c:ext>
          </c:extLst>
        </c:ser>
        <c:ser>
          <c:idx val="5"/>
          <c:order val="5"/>
          <c:tx>
            <c:strRef>
              <c:f>'IHSS Applicants'!$N$35</c:f>
              <c:strCache>
                <c:ptCount val="1"/>
                <c:pt idx="0">
                  <c:v>Statewide</c:v>
                </c:pt>
              </c:strCache>
            </c:strRef>
          </c:tx>
          <c:spPr>
            <a:solidFill>
              <a:srgbClr val="6E6E6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'IHSS Applicants'!$I$37:$I$46</c:f>
              <c:numCache>
                <c:formatCode>#,##0_);\(#,##0\)</c:formatCode>
                <c:ptCount val="10"/>
                <c:pt idx="0">
                  <c:v>#N/A</c:v>
                </c:pt>
                <c:pt idx="1">
                  <c:v>#N/A</c:v>
                </c:pt>
                <c:pt idx="2">
                  <c:v>#N/A</c:v>
                </c:pt>
                <c:pt idx="3">
                  <c:v>#N/A</c:v>
                </c:pt>
                <c:pt idx="4">
                  <c:v>#N/A</c:v>
                </c:pt>
                <c:pt idx="5">
                  <c:v>#N/A</c:v>
                </c:pt>
                <c:pt idx="6">
                  <c:v>#N/A</c:v>
                </c:pt>
                <c:pt idx="7">
                  <c:v>#N/A</c:v>
                </c:pt>
                <c:pt idx="8">
                  <c:v>#N/A</c:v>
                </c:pt>
                <c:pt idx="9">
                  <c:v>#N/A</c:v>
                </c:pt>
              </c:numCache>
            </c:numRef>
          </c:cat>
          <c:val>
            <c:numRef>
              <c:f>'IHSS Applicants'!$O$37:$O$46</c:f>
              <c:numCache>
                <c:formatCode>0.0%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2-6770-49EE-87B6-688ECFD32EA9}"/>
            </c:ext>
          </c:extLst>
        </c:ser>
        <c:dLbls>
          <c:dLblPos val="outEnd"/>
          <c:showLegendKey val="0"/>
          <c:showVal val="1"/>
          <c:showCatName val="0"/>
          <c:showSerName val="0"/>
          <c:showPercent val="0"/>
          <c:showBubbleSize val="0"/>
        </c:dLbls>
        <c:gapWidth val="142"/>
        <c:overlap val="-40"/>
        <c:axId val="551170824"/>
        <c:axId val="551166888"/>
        <c:extLst>
          <c:ext xmlns:c15="http://schemas.microsoft.com/office/drawing/2012/chart" uri="{02D57815-91ED-43cb-92C2-25804820EDAC}">
            <c15:filteredBarSeries>
              <c15:ser>
                <c:idx val="0"/>
                <c:order val="0"/>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'IHSS Applicants'!$I$37:$I$46</c15:sqref>
                        </c15:formulaRef>
                      </c:ext>
                    </c:extLst>
                    <c:numCache>
                      <c:formatCode>#,##0_);\(#,##0\)</c:formatCode>
                      <c:ptCount val="10"/>
                      <c:pt idx="0">
                        <c:v>#N/A</c:v>
                      </c:pt>
                      <c:pt idx="1">
                        <c:v>#N/A</c:v>
                      </c:pt>
                      <c:pt idx="2">
                        <c:v>#N/A</c:v>
                      </c:pt>
                      <c:pt idx="3">
                        <c:v>#N/A</c:v>
                      </c:pt>
                      <c:pt idx="4">
                        <c:v>#N/A</c:v>
                      </c:pt>
                      <c:pt idx="5">
                        <c:v>#N/A</c:v>
                      </c:pt>
                      <c:pt idx="6">
                        <c:v>#N/A</c:v>
                      </c:pt>
                      <c:pt idx="7">
                        <c:v>#N/A</c:v>
                      </c:pt>
                      <c:pt idx="8">
                        <c:v>#N/A</c:v>
                      </c:pt>
                      <c:pt idx="9">
                        <c:v>#N/A</c:v>
                      </c:pt>
                    </c:numCache>
                  </c:numRef>
                </c:cat>
                <c:val>
                  <c:numRef>
                    <c:extLst>
                      <c:ext uri="{02D57815-91ED-43cb-92C2-25804820EDAC}">
                        <c15:formulaRef>
                          <c15:sqref>'IHSS Applicants'!$J$37:$J$46</c15:sqref>
                        </c15:formulaRef>
                      </c:ext>
                    </c:extLst>
                    <c:numCache>
                      <c:formatCode>#,##0_);\(#,##0\)</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3-6770-49EE-87B6-688ECFD32EA9}"/>
                  </c:ext>
                </c:extLst>
              </c15:ser>
            </c15:filteredBarSeries>
            <c15:filteredBarSeries>
              <c15:ser>
                <c:idx val="2"/>
                <c:order val="2"/>
                <c:spPr>
                  <a:solidFill>
                    <a:srgbClr val="E7E6E6">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'IHSS Applicants'!$I$37:$I$46</c15:sqref>
                        </c15:formulaRef>
                      </c:ext>
                    </c:extLst>
                    <c:numCache>
                      <c:formatCode>#,##0_);\(#,##0\)</c:formatCode>
                      <c:ptCount val="10"/>
                      <c:pt idx="0">
                        <c:v>#N/A</c:v>
                      </c:pt>
                      <c:pt idx="1">
                        <c:v>#N/A</c:v>
                      </c:pt>
                      <c:pt idx="2">
                        <c:v>#N/A</c:v>
                      </c:pt>
                      <c:pt idx="3">
                        <c:v>#N/A</c:v>
                      </c:pt>
                      <c:pt idx="4">
                        <c:v>#N/A</c:v>
                      </c:pt>
                      <c:pt idx="5">
                        <c:v>#N/A</c:v>
                      </c:pt>
                      <c:pt idx="6">
                        <c:v>#N/A</c:v>
                      </c:pt>
                      <c:pt idx="7">
                        <c:v>#N/A</c:v>
                      </c:pt>
                      <c:pt idx="8">
                        <c:v>#N/A</c:v>
                      </c:pt>
                      <c:pt idx="9">
                        <c:v>#N/A</c:v>
                      </c:pt>
                    </c:numCache>
                  </c:numRef>
                </c:cat>
                <c:val>
                  <c:numRef>
                    <c:extLst xmlns:c15="http://schemas.microsoft.com/office/drawing/2012/chart">
                      <c:ext xmlns:c15="http://schemas.microsoft.com/office/drawing/2012/chart" uri="{02D57815-91ED-43cb-92C2-25804820EDAC}">
                        <c15:formulaRef>
                          <c15:sqref>'IHSS Applicants'!$L$37:$L$46</c15:sqref>
                        </c15:formulaRef>
                      </c:ext>
                    </c:extLst>
                    <c:numCache>
                      <c:formatCode>#,##0_);\(#,##0\)</c:formatCode>
                      <c:ptCount val="10"/>
                      <c:pt idx="0">
                        <c:v>#N/A</c:v>
                      </c:pt>
                      <c:pt idx="1">
                        <c:v>#N/A</c:v>
                      </c:pt>
                      <c:pt idx="2">
                        <c:v>#N/A</c:v>
                      </c:pt>
                      <c:pt idx="3">
                        <c:v>#N/A</c:v>
                      </c:pt>
                      <c:pt idx="4">
                        <c:v>#N/A</c:v>
                      </c:pt>
                      <c:pt idx="5">
                        <c:v>#N/A</c:v>
                      </c:pt>
                      <c:pt idx="6">
                        <c:v>#N/A</c:v>
                      </c:pt>
                      <c:pt idx="7">
                        <c:v>#N/A</c:v>
                      </c:pt>
                      <c:pt idx="8">
                        <c:v>#N/A</c:v>
                      </c:pt>
                      <c:pt idx="9">
                        <c:v>#N/A</c:v>
                      </c:pt>
                    </c:numCache>
                  </c:numRef>
                </c:val>
                <c:extLst xmlns:c15="http://schemas.microsoft.com/office/drawing/2012/chart">
                  <c:ext xmlns:c16="http://schemas.microsoft.com/office/drawing/2014/chart" uri="{C3380CC4-5D6E-409C-BE32-E72D297353CC}">
                    <c16:uniqueId val="{00000004-6770-49EE-87B6-688ECFD32EA9}"/>
                  </c:ext>
                </c:extLst>
              </c15:ser>
            </c15:filteredBarSeries>
            <c15:filteredBarSeries>
              <c15:ser>
                <c:idx val="4"/>
                <c:order val="4"/>
                <c:spPr>
                  <a:solidFill>
                    <a:srgbClr val="C75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'IHSS Applicants'!$I$37:$I$46</c15:sqref>
                        </c15:formulaRef>
                      </c:ext>
                    </c:extLst>
                    <c:numCache>
                      <c:formatCode>#,##0_);\(#,##0\)</c:formatCode>
                      <c:ptCount val="10"/>
                      <c:pt idx="0">
                        <c:v>#N/A</c:v>
                      </c:pt>
                      <c:pt idx="1">
                        <c:v>#N/A</c:v>
                      </c:pt>
                      <c:pt idx="2">
                        <c:v>#N/A</c:v>
                      </c:pt>
                      <c:pt idx="3">
                        <c:v>#N/A</c:v>
                      </c:pt>
                      <c:pt idx="4">
                        <c:v>#N/A</c:v>
                      </c:pt>
                      <c:pt idx="5">
                        <c:v>#N/A</c:v>
                      </c:pt>
                      <c:pt idx="6">
                        <c:v>#N/A</c:v>
                      </c:pt>
                      <c:pt idx="7">
                        <c:v>#N/A</c:v>
                      </c:pt>
                      <c:pt idx="8">
                        <c:v>#N/A</c:v>
                      </c:pt>
                      <c:pt idx="9">
                        <c:v>#N/A</c:v>
                      </c:pt>
                    </c:numCache>
                  </c:numRef>
                </c:cat>
                <c:val>
                  <c:numRef>
                    <c:extLst xmlns:c15="http://schemas.microsoft.com/office/drawing/2012/chart">
                      <c:ext xmlns:c15="http://schemas.microsoft.com/office/drawing/2012/chart" uri="{02D57815-91ED-43cb-92C2-25804820EDAC}">
                        <c15:formulaRef>
                          <c15:sqref>'IHSS Applicants'!$N$37:$N$46</c15:sqref>
                        </c15:formulaRef>
                      </c:ext>
                    </c:extLst>
                    <c:numCache>
                      <c:formatCode>#,##0_);\(#,##0\)</c:formatCode>
                      <c:ptCount val="10"/>
                      <c:pt idx="0">
                        <c:v>#N/A</c:v>
                      </c:pt>
                      <c:pt idx="1">
                        <c:v>#N/A</c:v>
                      </c:pt>
                      <c:pt idx="2">
                        <c:v>#N/A</c:v>
                      </c:pt>
                      <c:pt idx="3">
                        <c:v>#N/A</c:v>
                      </c:pt>
                      <c:pt idx="4">
                        <c:v>#N/A</c:v>
                      </c:pt>
                      <c:pt idx="5">
                        <c:v>#N/A</c:v>
                      </c:pt>
                      <c:pt idx="6">
                        <c:v>#N/A</c:v>
                      </c:pt>
                      <c:pt idx="7">
                        <c:v>#N/A</c:v>
                      </c:pt>
                      <c:pt idx="8">
                        <c:v>#N/A</c:v>
                      </c:pt>
                      <c:pt idx="9">
                        <c:v>#N/A</c:v>
                      </c:pt>
                    </c:numCache>
                  </c:numRef>
                </c:val>
                <c:extLst xmlns:c15="http://schemas.microsoft.com/office/drawing/2012/chart">
                  <c:ext xmlns:c16="http://schemas.microsoft.com/office/drawing/2014/chart" uri="{C3380CC4-5D6E-409C-BE32-E72D297353CC}">
                    <c16:uniqueId val="{00000005-6770-49EE-87B6-688ECFD32EA9}"/>
                  </c:ext>
                </c:extLst>
              </c15:ser>
            </c15:filteredBarSeries>
          </c:ext>
        </c:extLst>
      </c:barChart>
      <c:catAx>
        <c:axId val="551170824"/>
        <c:scaling>
          <c:orientation val="maxMin"/>
        </c:scaling>
        <c:delete val="0"/>
        <c:axPos val="l"/>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0%" sourceLinked="1"/>
        <c:majorTickMark val="none"/>
        <c:minorTickMark val="none"/>
        <c:tickLblPos val="nextTo"/>
        <c:crossAx val="551170824"/>
        <c:crosses val="autoZero"/>
        <c:crossBetween val="between"/>
      </c:valAx>
      <c:spPr>
        <a:noFill/>
        <a:ln>
          <a:noFill/>
        </a:ln>
        <a:effectLst/>
      </c:spPr>
    </c:plotArea>
    <c:legend>
      <c:legendPos val="r"/>
      <c:layout>
        <c:manualLayout>
          <c:xMode val="edge"/>
          <c:yMode val="edge"/>
          <c:x val="0.74381487877665597"/>
          <c:y val="0.4667873343712548"/>
          <c:w val="0.24393396856834612"/>
          <c:h val="0.1343342181800532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u="none" strike="noStrike" baseline="0">
                <a:effectLst/>
              </a:rPr>
              <a:t>Recipients: </a:t>
            </a:r>
            <a:r>
              <a:rPr lang="en-US"/>
              <a:t>Aged,</a:t>
            </a:r>
            <a:r>
              <a:rPr lang="en-US" baseline="0"/>
              <a:t> </a:t>
            </a:r>
            <a:r>
              <a:rPr lang="en-US"/>
              <a:t>Blind, or Disabled </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1.9316314345841908E-2"/>
          <c:y val="0.20158417697787775"/>
          <c:w val="0.96136761761761758"/>
          <c:h val="0.47941272965879267"/>
        </c:manualLayout>
      </c:layout>
      <c:barChart>
        <c:barDir val="col"/>
        <c:grouping val="clustered"/>
        <c:varyColors val="0"/>
        <c:ser>
          <c:idx val="0"/>
          <c:order val="0"/>
          <c:tx>
            <c:strRef>
              <c:f>'Aged, Blind, or Disabled'!$E$20</c:f>
              <c:strCache>
                <c:ptCount val="1"/>
              </c:strCache>
            </c:strRef>
          </c:tx>
          <c:spPr>
            <a:solidFill>
              <a:srgbClr val="5B9BD5">
                <a:lumMod val="50000"/>
              </a:srgb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Aged Cases</c:v>
                      </c:pt>
                      <c:pt idx="2">
                        <c:v>”Blind” Cases</c:v>
                      </c:pt>
                      <c:pt idx="4">
                        <c:v>”Disabled” Cases</c:v>
                      </c:pt>
                    </c:strCache>
                  </c16:filteredLitCache>
                </c:ext>
              </c:extLst>
              <c:f/>
              <c:strCache>
                <c:ptCount val="3"/>
                <c:pt idx="0">
                  <c:v>Aged</c:v>
                </c:pt>
                <c:pt idx="1">
                  <c:v>Blind</c:v>
                </c:pt>
                <c:pt idx="2">
                  <c:v>Disabled</c:v>
                </c:pt>
              </c:strCache>
            </c:strRef>
          </c:cat>
          <c:val>
            <c:numRef>
              <c:extLst>
                <c:ext xmlns:c15="http://schemas.microsoft.com/office/drawing/2012/chart" uri="{02D57815-91ED-43cb-92C2-25804820EDAC}">
                  <c15:fullRef>
                    <c15:sqref>'Aged, Blind, or Disabled'!$E$21:$E$26</c15:sqref>
                  </c15:fullRef>
                </c:ext>
              </c:extLst>
              <c:f>('Aged, Blind, or Disabled'!$E$22,'Aged, Blind, or Disabled'!$E$24,'Aged, Blind, or Disabled'!$E$26)</c:f>
              <c:numCache>
                <c:formatCode>0.0%</c:formatCode>
                <c:ptCount val="3"/>
                <c:pt idx="0">
                  <c:v>0</c:v>
                </c:pt>
                <c:pt idx="1">
                  <c:v>0</c:v>
                </c:pt>
                <c:pt idx="2">
                  <c:v>0</c:v>
                </c:pt>
              </c:numCache>
            </c:numRef>
          </c:val>
          <c:extLst>
            <c:ext xmlns:c16="http://schemas.microsoft.com/office/drawing/2014/chart" uri="{C3380CC4-5D6E-409C-BE32-E72D297353CC}">
              <c16:uniqueId val="{00000000-47B4-4B7B-87D2-B77FEDD1F7BB}"/>
            </c:ext>
          </c:extLst>
        </c:ser>
        <c:ser>
          <c:idx val="1"/>
          <c:order val="1"/>
          <c:tx>
            <c:strRef>
              <c:f>'Aged, Blind, or Disabled'!$F$20</c:f>
              <c:strCache>
                <c:ptCount val="1"/>
              </c:strCache>
            </c:strRef>
          </c:tx>
          <c:spPr>
            <a:solidFill>
              <a:srgbClr val="C75211"/>
            </a:solidFill>
            <a:ln>
              <a:noFill/>
            </a:ln>
            <a:effectLst/>
          </c:spPr>
          <c:invertIfNegative val="0"/>
          <c:dLbls>
            <c:numFmt formatCode="0%" sourceLinked="0"/>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Aged Cases</c:v>
                      </c:pt>
                      <c:pt idx="2">
                        <c:v>”Blind” Cases</c:v>
                      </c:pt>
                      <c:pt idx="4">
                        <c:v>”Disabled” Cases</c:v>
                      </c:pt>
                    </c:strCache>
                  </c16:filteredLitCache>
                </c:ext>
              </c:extLst>
              <c:f/>
              <c:strCache>
                <c:ptCount val="3"/>
                <c:pt idx="0">
                  <c:v>Aged</c:v>
                </c:pt>
                <c:pt idx="1">
                  <c:v>Blind</c:v>
                </c:pt>
                <c:pt idx="2">
                  <c:v>Disabled</c:v>
                </c:pt>
              </c:strCache>
            </c:strRef>
          </c:cat>
          <c:val>
            <c:numRef>
              <c:extLst>
                <c:ext xmlns:c15="http://schemas.microsoft.com/office/drawing/2012/chart" uri="{02D57815-91ED-43cb-92C2-25804820EDAC}">
                  <c15:fullRef>
                    <c15:sqref>'Aged, Blind, or Disabled'!$F$21:$F$26</c15:sqref>
                  </c15:fullRef>
                </c:ext>
              </c:extLst>
              <c:f>('Aged, Blind, or Disabled'!$F$22,'Aged, Blind, or Disabled'!$F$24,'Aged, Blind, or Disabled'!$F$26)</c:f>
              <c:numCache>
                <c:formatCode>0.0%</c:formatCode>
                <c:ptCount val="3"/>
                <c:pt idx="0">
                  <c:v>0</c:v>
                </c:pt>
                <c:pt idx="1">
                  <c:v>0</c:v>
                </c:pt>
                <c:pt idx="2">
                  <c:v>0</c:v>
                </c:pt>
              </c:numCache>
            </c:numRef>
          </c:val>
          <c:extLst>
            <c:ext xmlns:c16="http://schemas.microsoft.com/office/drawing/2014/chart" uri="{C3380CC4-5D6E-409C-BE32-E72D297353CC}">
              <c16:uniqueId val="{00000001-47B4-4B7B-87D2-B77FEDD1F7BB}"/>
            </c:ext>
          </c:extLst>
        </c:ser>
        <c:ser>
          <c:idx val="2"/>
          <c:order val="2"/>
          <c:tx>
            <c:strRef>
              <c:f>'Aged, Blind, or Disabled'!$G$20</c:f>
              <c:strCache>
                <c:ptCount val="1"/>
                <c:pt idx="0">
                  <c:v>Statewide</c:v>
                </c:pt>
              </c:strCache>
            </c:strRef>
          </c:tx>
          <c:spPr>
            <a:solidFill>
              <a:srgbClr val="6E6E6E"/>
            </a:solidFill>
            <a:ln>
              <a:noFill/>
            </a:ln>
            <a:effectLst/>
          </c:spPr>
          <c:invertIfNegative val="0"/>
          <c:dLbls>
            <c:numFmt formatCode="0%" sourceLinked="0"/>
            <c:spPr>
              <a:noFill/>
              <a:ln>
                <a:noFill/>
              </a:ln>
              <a:effectLst/>
            </c:spPr>
            <c:txPr>
              <a:bodyPr rot="0" spcFirstLastPara="1" vertOverflow="ellipsis" vert="horz" wrap="square" anchor="ctr" anchorCtr="0"/>
              <a:lstStyle/>
              <a:p>
                <a:pPr algn="ctr">
                  <a:defRPr lang="en-US"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3"/>
                      <c:pt idx="0">
                        <c:v>Aged Cases</c:v>
                      </c:pt>
                      <c:pt idx="2">
                        <c:v>”Blind” Cases</c:v>
                      </c:pt>
                      <c:pt idx="4">
                        <c:v>”Disabled” Cases</c:v>
                      </c:pt>
                    </c:strCache>
                  </c16:filteredLitCache>
                </c:ext>
              </c:extLst>
              <c:f/>
              <c:strCache>
                <c:ptCount val="3"/>
                <c:pt idx="0">
                  <c:v>Aged</c:v>
                </c:pt>
                <c:pt idx="1">
                  <c:v>Blind</c:v>
                </c:pt>
                <c:pt idx="2">
                  <c:v>Disabled</c:v>
                </c:pt>
              </c:strCache>
            </c:strRef>
          </c:cat>
          <c:val>
            <c:numRef>
              <c:extLst>
                <c:ext xmlns:c15="http://schemas.microsoft.com/office/drawing/2012/chart" uri="{02D57815-91ED-43cb-92C2-25804820EDAC}">
                  <c15:fullRef>
                    <c15:sqref>'Aged, Blind, or Disabled'!$G$21:$G$26</c15:sqref>
                  </c15:fullRef>
                </c:ext>
              </c:extLst>
              <c:f>('Aged, Blind, or Disabled'!$G$22,'Aged, Blind, or Disabled'!$G$24,'Aged, Blind, or Disabled'!$G$26)</c:f>
              <c:numCache>
                <c:formatCode>0.0%</c:formatCode>
                <c:ptCount val="3"/>
                <c:pt idx="0">
                  <c:v>0.35969040398834745</c:v>
                </c:pt>
                <c:pt idx="1">
                  <c:v>1.1837015900226216E-2</c:v>
                </c:pt>
                <c:pt idx="2">
                  <c:v>0.62847258011142637</c:v>
                </c:pt>
              </c:numCache>
            </c:numRef>
          </c:val>
          <c:extLst>
            <c:ext xmlns:c16="http://schemas.microsoft.com/office/drawing/2014/chart" uri="{C3380CC4-5D6E-409C-BE32-E72D297353CC}">
              <c16:uniqueId val="{00000002-47B4-4B7B-87D2-B77FEDD1F7BB}"/>
            </c:ext>
          </c:extLst>
        </c:ser>
        <c:dLbls>
          <c:showLegendKey val="0"/>
          <c:showVal val="0"/>
          <c:showCatName val="0"/>
          <c:showSerName val="0"/>
          <c:showPercent val="0"/>
          <c:showBubbleSize val="0"/>
        </c:dLbls>
        <c:gapWidth val="191"/>
        <c:overlap val="-30"/>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12773501848304999"/>
          <c:y val="0.80573951693538315"/>
          <c:w val="0.73373774241761447"/>
          <c:h val="9.2317555133194562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Recipients:</a:t>
            </a:r>
            <a:r>
              <a:rPr lang="en-US" baseline="0"/>
              <a:t> </a:t>
            </a:r>
            <a:r>
              <a:rPr lang="en-US"/>
              <a:t>Gender</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1746024531927937E-2"/>
          <c:y val="0.14939869358435459"/>
          <c:w val="0.93650795093614414"/>
          <c:h val="0.5183535651793526"/>
        </c:manualLayout>
      </c:layout>
      <c:barChart>
        <c:barDir val="col"/>
        <c:grouping val="clustered"/>
        <c:varyColors val="0"/>
        <c:ser>
          <c:idx val="0"/>
          <c:order val="0"/>
          <c:tx>
            <c:strRef>
              <c:f>'Age Gender'!$H$65</c:f>
              <c:strCache>
                <c:ptCount val="1"/>
              </c:strCache>
            </c:strRef>
          </c:tx>
          <c:spPr>
            <a:solidFill>
              <a:srgbClr val="5B9BD5">
                <a:lumMod val="50000"/>
              </a:srgb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Female</c:v>
                      </c:pt>
                      <c:pt idx="2">
                        <c:v>Male</c:v>
                      </c:pt>
                    </c:strCache>
                  </c16:filteredLitCache>
                </c:ext>
              </c:extLst>
              <c:f/>
              <c:strCache>
                <c:ptCount val="2"/>
                <c:pt idx="0">
                  <c:v>Female</c:v>
                </c:pt>
                <c:pt idx="1">
                  <c:v>Male</c:v>
                </c:pt>
              </c:strCache>
            </c:strRef>
          </c:cat>
          <c:val>
            <c:numRef>
              <c:extLst>
                <c:ext xmlns:c15="http://schemas.microsoft.com/office/drawing/2012/chart" uri="{02D57815-91ED-43cb-92C2-25804820EDAC}">
                  <c15:fullRef>
                    <c15:sqref>'Age Gender'!$H$66:$H$69</c15:sqref>
                  </c15:fullRef>
                </c:ext>
              </c:extLst>
              <c:f>('Age Gender'!$H$67,'Age Gender'!$H$69)</c:f>
              <c:numCache>
                <c:formatCode>0.0%</c:formatCode>
                <c:ptCount val="2"/>
                <c:pt idx="0">
                  <c:v>0</c:v>
                </c:pt>
                <c:pt idx="1">
                  <c:v>0</c:v>
                </c:pt>
              </c:numCache>
            </c:numRef>
          </c:val>
          <c:extLst>
            <c:ext xmlns:c16="http://schemas.microsoft.com/office/drawing/2014/chart" uri="{C3380CC4-5D6E-409C-BE32-E72D297353CC}">
              <c16:uniqueId val="{00000000-994B-44EF-A507-8E2305917391}"/>
            </c:ext>
          </c:extLst>
        </c:ser>
        <c:ser>
          <c:idx val="1"/>
          <c:order val="1"/>
          <c:tx>
            <c:strRef>
              <c:f>'Age Gender'!$I$65</c:f>
              <c:strCache>
                <c:ptCount val="1"/>
              </c:strCache>
            </c:strRef>
          </c:tx>
          <c:spPr>
            <a:solidFill>
              <a:srgbClr val="C75211"/>
            </a:solidFill>
            <a:ln>
              <a:noFill/>
            </a:ln>
            <a:effectLst/>
          </c:spPr>
          <c:invertIfNegative val="0"/>
          <c:dLbls>
            <c:numFmt formatCode="0%" sourceLinked="0"/>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Female</c:v>
                      </c:pt>
                      <c:pt idx="2">
                        <c:v>Male</c:v>
                      </c:pt>
                    </c:strCache>
                  </c16:filteredLitCache>
                </c:ext>
              </c:extLst>
              <c:f/>
              <c:strCache>
                <c:ptCount val="2"/>
                <c:pt idx="0">
                  <c:v>Female</c:v>
                </c:pt>
                <c:pt idx="1">
                  <c:v>Male</c:v>
                </c:pt>
              </c:strCache>
            </c:strRef>
          </c:cat>
          <c:val>
            <c:numRef>
              <c:extLst>
                <c:ext xmlns:c15="http://schemas.microsoft.com/office/drawing/2012/chart" uri="{02D57815-91ED-43cb-92C2-25804820EDAC}">
                  <c15:fullRef>
                    <c15:sqref>'Age Gender'!$I$66:$I$69</c15:sqref>
                  </c15:fullRef>
                </c:ext>
              </c:extLst>
              <c:f>('Age Gender'!$I$67,'Age Gender'!$I$69)</c:f>
              <c:numCache>
                <c:formatCode>0.0%</c:formatCode>
                <c:ptCount val="2"/>
                <c:pt idx="0">
                  <c:v>0</c:v>
                </c:pt>
                <c:pt idx="1">
                  <c:v>0</c:v>
                </c:pt>
              </c:numCache>
            </c:numRef>
          </c:val>
          <c:extLst>
            <c:ext xmlns:c16="http://schemas.microsoft.com/office/drawing/2014/chart" uri="{C3380CC4-5D6E-409C-BE32-E72D297353CC}">
              <c16:uniqueId val="{00000001-994B-44EF-A507-8E2305917391}"/>
            </c:ext>
          </c:extLst>
        </c:ser>
        <c:ser>
          <c:idx val="2"/>
          <c:order val="2"/>
          <c:tx>
            <c:strRef>
              <c:f>'Age Gender'!$J$65</c:f>
              <c:strCache>
                <c:ptCount val="1"/>
                <c:pt idx="0">
                  <c:v>Statewide</c:v>
                </c:pt>
              </c:strCache>
            </c:strRef>
          </c:tx>
          <c:spPr>
            <a:solidFill>
              <a:srgbClr val="6E6E6E"/>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6="http://schemas.microsoft.com/office/drawing/2014/chart" uri="{F5D05F6E-A05E-4728-AFD3-386EB277150F}">
                  <c16:filteredLitCache>
                    <c:strCache>
                      <c:ptCount val="2"/>
                      <c:pt idx="0">
                        <c:v>Female</c:v>
                      </c:pt>
                      <c:pt idx="2">
                        <c:v>Male</c:v>
                      </c:pt>
                    </c:strCache>
                  </c16:filteredLitCache>
                </c:ext>
              </c:extLst>
              <c:f/>
              <c:strCache>
                <c:ptCount val="2"/>
                <c:pt idx="0">
                  <c:v>Female</c:v>
                </c:pt>
                <c:pt idx="1">
                  <c:v>Male</c:v>
                </c:pt>
              </c:strCache>
            </c:strRef>
          </c:cat>
          <c:val>
            <c:numRef>
              <c:extLst>
                <c:ext xmlns:c15="http://schemas.microsoft.com/office/drawing/2012/chart" uri="{02D57815-91ED-43cb-92C2-25804820EDAC}">
                  <c15:fullRef>
                    <c15:sqref>'Age Gender'!$J$66:$J$69</c15:sqref>
                  </c15:fullRef>
                </c:ext>
              </c:extLst>
              <c:f>('Age Gender'!$J$67,'Age Gender'!$J$69)</c:f>
              <c:numCache>
                <c:formatCode>0.0%</c:formatCode>
                <c:ptCount val="2"/>
                <c:pt idx="0">
                  <c:v>0.58112994135740514</c:v>
                </c:pt>
                <c:pt idx="1">
                  <c:v>0.4188700586425948</c:v>
                </c:pt>
              </c:numCache>
            </c:numRef>
          </c:val>
          <c:extLst>
            <c:ext xmlns:c16="http://schemas.microsoft.com/office/drawing/2014/chart" uri="{C3380CC4-5D6E-409C-BE32-E72D297353CC}">
              <c16:uniqueId val="{00000002-994B-44EF-A507-8E2305917391}"/>
            </c:ext>
          </c:extLst>
        </c:ser>
        <c:dLbls>
          <c:showLegendKey val="0"/>
          <c:showVal val="0"/>
          <c:showCatName val="0"/>
          <c:showSerName val="0"/>
          <c:showPercent val="0"/>
          <c:showBubbleSize val="0"/>
        </c:dLbls>
        <c:gapWidth val="201"/>
        <c:overlap val="-39"/>
        <c:axId val="453211992"/>
        <c:axId val="453216584"/>
      </c:barChart>
      <c:catAx>
        <c:axId val="4532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_);\(#,##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15656305912211424"/>
          <c:y val="0.80021872265966765"/>
          <c:w val="0.68687363544647007"/>
          <c:h val="9.5614610673665792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Recipients: Spoken Languages (Top 10)</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9401010203528349"/>
          <c:y val="7.9917328880830155E-2"/>
          <c:w val="0.65070485540019551"/>
          <c:h val="0.89407792111092499"/>
        </c:manualLayout>
      </c:layout>
      <c:barChart>
        <c:barDir val="bar"/>
        <c:grouping val="clustered"/>
        <c:varyColors val="0"/>
        <c:ser>
          <c:idx val="1"/>
          <c:order val="1"/>
          <c:tx>
            <c:strRef>
              <c:f>'Ethnicity Language'!$J$41</c:f>
              <c:strCache>
                <c:ptCount val="1"/>
              </c:strCache>
            </c:strRef>
          </c:tx>
          <c:spPr>
            <a:solidFill>
              <a:srgbClr val="5B9BD5">
                <a:lumMod val="50000"/>
              </a:srgb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'Ethnicity Language'!$I$42:$I$51</c:f>
            </c:strRef>
          </c:cat>
          <c:val>
            <c:numRef>
              <c:f>'Ethnicity Language'!$K$42:$K$51</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254-46E1-9916-284CC1597CC5}"/>
            </c:ext>
          </c:extLst>
        </c:ser>
        <c:ser>
          <c:idx val="3"/>
          <c:order val="3"/>
          <c:tx>
            <c:strRef>
              <c:f>'Ethnicity Language'!$L$41</c:f>
              <c:strCache>
                <c:ptCount val="1"/>
              </c:strCache>
            </c:strRef>
          </c:tx>
          <c:spPr>
            <a:solidFill>
              <a:srgbClr val="C7521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'Ethnicity Language'!$I$42:$I$51</c:f>
            </c:strRef>
          </c:cat>
          <c:val>
            <c:numRef>
              <c:f>'Ethnicity Language'!$M$42:$M$51</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254-46E1-9916-284CC1597CC5}"/>
            </c:ext>
          </c:extLst>
        </c:ser>
        <c:ser>
          <c:idx val="5"/>
          <c:order val="5"/>
          <c:tx>
            <c:strRef>
              <c:f>'Ethnicity Language'!$N$41</c:f>
              <c:strCache>
                <c:ptCount val="1"/>
                <c:pt idx="0">
                  <c:v>Statewide</c:v>
                </c:pt>
              </c:strCache>
            </c:strRef>
          </c:tx>
          <c:spPr>
            <a:solidFill>
              <a:srgbClr val="6E6E6E"/>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'Ethnicity Language'!$I$42:$I$51</c:f>
            </c:strRef>
          </c:cat>
          <c:val>
            <c:numRef>
              <c:f>'Ethnicity Language'!$O$42:$O$51</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254-46E1-9916-284CC1597CC5}"/>
            </c:ext>
          </c:extLst>
        </c:ser>
        <c:dLbls>
          <c:dLblPos val="outEnd"/>
          <c:showLegendKey val="0"/>
          <c:showVal val="1"/>
          <c:showCatName val="0"/>
          <c:showSerName val="0"/>
          <c:showPercent val="0"/>
          <c:showBubbleSize val="0"/>
        </c:dLbls>
        <c:gapWidth val="62"/>
        <c:overlap val="-40"/>
        <c:axId val="551170824"/>
        <c:axId val="551166888"/>
        <c:extLst>
          <c:ext xmlns:c15="http://schemas.microsoft.com/office/drawing/2012/chart" uri="{02D57815-91ED-43cb-92C2-25804820EDAC}">
            <c15:filteredBarSeries>
              <c15:ser>
                <c:idx val="0"/>
                <c:order val="0"/>
                <c:spPr>
                  <a:solidFill>
                    <a:srgbClr val="5B9BD5">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'Ethnicity Language'!$I$42:$I$51</c15:sqref>
                        </c15:formulaRef>
                      </c:ext>
                    </c:extLst>
                  </c:strRef>
                </c:cat>
                <c:val>
                  <c:numRef>
                    <c:extLst>
                      <c:ext uri="{02D57815-91ED-43cb-92C2-25804820EDAC}">
                        <c15:formulaRef>
                          <c15:sqref>'Ethnicity Language'!$J$42:$J$51</c15:sqref>
                        </c15:formulaRef>
                      </c:ext>
                    </c:extLst>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254-46E1-9916-284CC1597CC5}"/>
                  </c:ext>
                </c:extLst>
              </c15:ser>
            </c15:filteredBarSeries>
            <c15:filteredBarSeries>
              <c15:ser>
                <c:idx val="2"/>
                <c:order val="2"/>
                <c:spPr>
                  <a:solidFill>
                    <a:srgbClr val="E7E6E6">
                      <a:lumMod val="5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'Ethnicity Language'!$I$42:$I$51</c15:sqref>
                        </c15:formulaRef>
                      </c:ext>
                    </c:extLst>
                  </c:strRef>
                </c:cat>
                <c:val>
                  <c:numRef>
                    <c:extLst xmlns:c15="http://schemas.microsoft.com/office/drawing/2012/chart">
                      <c:ext xmlns:c15="http://schemas.microsoft.com/office/drawing/2012/chart" uri="{02D57815-91ED-43cb-92C2-25804820EDAC}">
                        <c15:formulaRef>
                          <c15:sqref>'Ethnicity Language'!$L$42:$L$51</c15:sqref>
                        </c15:formulaRef>
                      </c:ext>
                    </c:extLst>
                    <c:numCache>
                      <c:formatCode>#,##0</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5254-46E1-9916-284CC1597CC5}"/>
                  </c:ext>
                </c:extLst>
              </c15:ser>
            </c15:filteredBarSeries>
            <c15:filteredBarSeries>
              <c15:ser>
                <c:idx val="4"/>
                <c:order val="4"/>
                <c:spPr>
                  <a:solidFill>
                    <a:srgbClr val="C75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'Ethnicity Language'!$I$42:$I$51</c15:sqref>
                        </c15:formulaRef>
                      </c:ext>
                    </c:extLst>
                  </c:strRef>
                </c:cat>
                <c:val>
                  <c:numRef>
                    <c:extLst xmlns:c15="http://schemas.microsoft.com/office/drawing/2012/chart">
                      <c:ext xmlns:c15="http://schemas.microsoft.com/office/drawing/2012/chart" uri="{02D57815-91ED-43cb-92C2-25804820EDAC}">
                        <c15:formulaRef>
                          <c15:sqref>'Ethnicity Language'!$N$42:$N$51</c15:sqref>
                        </c15:formulaRef>
                      </c:ext>
                    </c:extLst>
                    <c:numCache>
                      <c:formatCode>#,##0</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5-5254-46E1-9916-284CC1597CC5}"/>
                  </c:ext>
                </c:extLst>
              </c15:ser>
            </c15:filteredBarSeries>
          </c:ext>
        </c:extLst>
      </c:barChart>
      <c:catAx>
        <c:axId val="551170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crossAx val="551166888"/>
        <c:crosses val="autoZero"/>
        <c:auto val="1"/>
        <c:lblAlgn val="ctr"/>
        <c:lblOffset val="100"/>
        <c:noMultiLvlLbl val="0"/>
      </c:catAx>
      <c:valAx>
        <c:axId val="551166888"/>
        <c:scaling>
          <c:orientation val="minMax"/>
        </c:scaling>
        <c:delete val="1"/>
        <c:axPos val="t"/>
        <c:numFmt formatCode="0.0%" sourceLinked="1"/>
        <c:majorTickMark val="none"/>
        <c:minorTickMark val="none"/>
        <c:tickLblPos val="nextTo"/>
        <c:crossAx val="551170824"/>
        <c:crosses val="autoZero"/>
        <c:crossBetween val="between"/>
      </c:valAx>
      <c:spPr>
        <a:noFill/>
        <a:ln>
          <a:noFill/>
        </a:ln>
        <a:effectLst/>
      </c:spPr>
    </c:plotArea>
    <c:legend>
      <c:legendPos val="r"/>
      <c:layout>
        <c:manualLayout>
          <c:xMode val="edge"/>
          <c:yMode val="edge"/>
          <c:x val="0.73546464810620105"/>
          <c:y val="0.45424861785893783"/>
          <c:w val="0.25229854810548819"/>
          <c:h val="0.1903324584426946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u="none" strike="noStrike" baseline="0">
                <a:effectLst/>
              </a:rPr>
              <a:t>Recipients: </a:t>
            </a:r>
            <a:r>
              <a:rPr lang="en-US"/>
              <a:t>Blind/Visually Impaired (BVI)</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4409409409409411E-2"/>
          <c:y val="0.20240594925634295"/>
          <c:w val="0.93118118118118121"/>
          <c:h val="0.54324928133983252"/>
        </c:manualLayout>
      </c:layout>
      <c:barChart>
        <c:barDir val="col"/>
        <c:grouping val="clustered"/>
        <c:varyColors val="0"/>
        <c:ser>
          <c:idx val="0"/>
          <c:order val="0"/>
          <c:tx>
            <c:strRef>
              <c:f>'Aged, Blind, or Disabled'!$E$43</c:f>
              <c:strCache>
                <c:ptCount val="1"/>
              </c:strCache>
            </c:strRef>
          </c:tx>
          <c:spPr>
            <a:solidFill>
              <a:srgbClr val="5B9BD5">
                <a:lumMod val="50000"/>
              </a:srgb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'Aged, Blind, or Disabled'!$D$44:$D$45</c15:sqref>
                  </c15:fullRef>
                </c:ext>
              </c:extLst>
              <c:f>'Aged, Blind, or Disabled'!$D$45</c:f>
              <c:strCache>
                <c:ptCount val="1"/>
                <c:pt idx="0">
                  <c:v> % of Total Recipients </c:v>
                </c:pt>
              </c:strCache>
            </c:strRef>
          </c:cat>
          <c:val>
            <c:numRef>
              <c:extLst>
                <c:ext xmlns:c15="http://schemas.microsoft.com/office/drawing/2012/chart" uri="{02D57815-91ED-43cb-92C2-25804820EDAC}">
                  <c15:fullRef>
                    <c15:sqref>'Aged, Blind, or Disabled'!$E$44:$E$45</c15:sqref>
                  </c15:fullRef>
                </c:ext>
              </c:extLst>
              <c:f>'Aged, Blind, or Disabled'!$E$45</c:f>
              <c:numCache>
                <c:formatCode>0.0%</c:formatCode>
                <c:ptCount val="1"/>
                <c:pt idx="0">
                  <c:v>0</c:v>
                </c:pt>
              </c:numCache>
            </c:numRef>
          </c:val>
          <c:extLst>
            <c:ext xmlns:c16="http://schemas.microsoft.com/office/drawing/2014/chart" uri="{C3380CC4-5D6E-409C-BE32-E72D297353CC}">
              <c16:uniqueId val="{00000000-4D0E-471D-B386-080E8D1C7E70}"/>
            </c:ext>
          </c:extLst>
        </c:ser>
        <c:ser>
          <c:idx val="1"/>
          <c:order val="1"/>
          <c:tx>
            <c:strRef>
              <c:f>'Aged, Blind, or Disabled'!$F$43</c:f>
              <c:strCache>
                <c:ptCount val="1"/>
              </c:strCache>
            </c:strRef>
          </c:tx>
          <c:spPr>
            <a:solidFill>
              <a:srgbClr val="C75211"/>
            </a:solidFill>
            <a:ln>
              <a:noFill/>
            </a:ln>
            <a:effectLst/>
          </c:spPr>
          <c:invertIfNegative val="0"/>
          <c:dLbls>
            <c:numFmt formatCode="0%" sourceLinked="0"/>
            <c:spPr>
              <a:noFill/>
              <a:ln>
                <a:noFill/>
              </a:ln>
              <a:effectLst/>
            </c:spPr>
            <c:txPr>
              <a:bodyPr rot="0" spcFirstLastPara="1" vertOverflow="ellipsis" vert="horz" wrap="square" anchor="ctr" anchorCtr="1"/>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'Aged, Blind, or Disabled'!$D$44:$D$45</c15:sqref>
                  </c15:fullRef>
                </c:ext>
              </c:extLst>
              <c:f>'Aged, Blind, or Disabled'!$D$45</c:f>
              <c:strCache>
                <c:ptCount val="1"/>
                <c:pt idx="0">
                  <c:v> % of Total Recipients </c:v>
                </c:pt>
              </c:strCache>
            </c:strRef>
          </c:cat>
          <c:val>
            <c:numRef>
              <c:extLst>
                <c:ext xmlns:c15="http://schemas.microsoft.com/office/drawing/2012/chart" uri="{02D57815-91ED-43cb-92C2-25804820EDAC}">
                  <c15:fullRef>
                    <c15:sqref>'Aged, Blind, or Disabled'!$F$44:$F$45</c15:sqref>
                  </c15:fullRef>
                </c:ext>
              </c:extLst>
              <c:f>'Aged, Blind, or Disabled'!$F$45</c:f>
              <c:numCache>
                <c:formatCode>0.0%</c:formatCode>
                <c:ptCount val="1"/>
                <c:pt idx="0">
                  <c:v>0</c:v>
                </c:pt>
              </c:numCache>
            </c:numRef>
          </c:val>
          <c:extLst>
            <c:ext xmlns:c16="http://schemas.microsoft.com/office/drawing/2014/chart" uri="{C3380CC4-5D6E-409C-BE32-E72D297353CC}">
              <c16:uniqueId val="{00000001-4D0E-471D-B386-080E8D1C7E70}"/>
            </c:ext>
          </c:extLst>
        </c:ser>
        <c:ser>
          <c:idx val="2"/>
          <c:order val="2"/>
          <c:tx>
            <c:strRef>
              <c:f>'Aged, Blind, or Disabled'!$G$43</c:f>
              <c:strCache>
                <c:ptCount val="1"/>
                <c:pt idx="0">
                  <c:v>Statewide</c:v>
                </c:pt>
              </c:strCache>
            </c:strRef>
          </c:tx>
          <c:spPr>
            <a:solidFill>
              <a:srgbClr val="6E6E6E"/>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'Aged, Blind, or Disabled'!$D$44:$D$45</c15:sqref>
                  </c15:fullRef>
                </c:ext>
              </c:extLst>
              <c:f>'Aged, Blind, or Disabled'!$D$45</c:f>
              <c:strCache>
                <c:ptCount val="1"/>
                <c:pt idx="0">
                  <c:v> % of Total Recipients </c:v>
                </c:pt>
              </c:strCache>
            </c:strRef>
          </c:cat>
          <c:val>
            <c:numRef>
              <c:extLst>
                <c:ext xmlns:c15="http://schemas.microsoft.com/office/drawing/2012/chart" uri="{02D57815-91ED-43cb-92C2-25804820EDAC}">
                  <c15:fullRef>
                    <c15:sqref>'Aged, Blind, or Disabled'!$G$44:$G$45</c15:sqref>
                  </c15:fullRef>
                </c:ext>
              </c:extLst>
              <c:f>'Aged, Blind, or Disabled'!$G$45</c:f>
              <c:numCache>
                <c:formatCode>0.0%</c:formatCode>
                <c:ptCount val="1"/>
                <c:pt idx="0">
                  <c:v>0.32167443323912182</c:v>
                </c:pt>
              </c:numCache>
            </c:numRef>
          </c:val>
          <c:extLst>
            <c:ext xmlns:c16="http://schemas.microsoft.com/office/drawing/2014/chart" uri="{C3380CC4-5D6E-409C-BE32-E72D297353CC}">
              <c16:uniqueId val="{00000002-4D0E-471D-B386-080E8D1C7E70}"/>
            </c:ext>
          </c:extLst>
        </c:ser>
        <c:dLbls>
          <c:showLegendKey val="0"/>
          <c:showVal val="0"/>
          <c:showCatName val="0"/>
          <c:showSerName val="0"/>
          <c:showPercent val="0"/>
          <c:showBubbleSize val="0"/>
        </c:dLbls>
        <c:gapWidth val="201"/>
        <c:overlap val="-19"/>
        <c:axId val="453211992"/>
        <c:axId val="453216584"/>
      </c:barChart>
      <c:catAx>
        <c:axId val="453211992"/>
        <c:scaling>
          <c:orientation val="minMax"/>
        </c:scaling>
        <c:delete val="1"/>
        <c:axPos val="b"/>
        <c:numFmt formatCode="General" sourceLinked="1"/>
        <c:majorTickMark val="none"/>
        <c:minorTickMark val="none"/>
        <c:tickLblPos val="nextTo"/>
        <c:crossAx val="453216584"/>
        <c:crosses val="autoZero"/>
        <c:auto val="1"/>
        <c:lblAlgn val="ctr"/>
        <c:lblOffset val="100"/>
        <c:noMultiLvlLbl val="0"/>
      </c:catAx>
      <c:valAx>
        <c:axId val="453216584"/>
        <c:scaling>
          <c:orientation val="minMax"/>
        </c:scaling>
        <c:delete val="0"/>
        <c:axPos val="l"/>
        <c:majorGridlines>
          <c:spPr>
            <a:ln w="9525" cap="flat" cmpd="sng" algn="ctr">
              <a:no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53211992"/>
        <c:crosses val="autoZero"/>
        <c:crossBetween val="between"/>
      </c:valAx>
      <c:spPr>
        <a:noFill/>
        <a:ln>
          <a:noFill/>
        </a:ln>
        <a:effectLst/>
      </c:spPr>
    </c:plotArea>
    <c:legend>
      <c:legendPos val="b"/>
      <c:layout>
        <c:manualLayout>
          <c:xMode val="edge"/>
          <c:yMode val="edge"/>
          <c:x val="0.15656305912211424"/>
          <c:y val="0.79525840519935032"/>
          <c:w val="0.68687363544647007"/>
          <c:h val="9.5614610673665792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ome_Serv"/><Relationship Id="rId13" Type="http://schemas.openxmlformats.org/officeDocument/2006/relationships/hyperlink" Target="#Home_Applicants"/><Relationship Id="rId3" Type="http://schemas.openxmlformats.org/officeDocument/2006/relationships/hyperlink" Target="#Home_GenData"/><Relationship Id="rId7" Type="http://schemas.openxmlformats.org/officeDocument/2006/relationships/hyperlink" Target="#Home_Terms"/><Relationship Id="rId12" Type="http://schemas.openxmlformats.org/officeDocument/2006/relationships/hyperlink" Target="#Home_Ethn"/><Relationship Id="rId2" Type="http://schemas.openxmlformats.org/officeDocument/2006/relationships/hyperlink" Target="#Home_Dashboard"/><Relationship Id="rId1" Type="http://schemas.openxmlformats.org/officeDocument/2006/relationships/hyperlink" Target="#COUNTY_SELECT"/><Relationship Id="rId6" Type="http://schemas.openxmlformats.org/officeDocument/2006/relationships/hyperlink" Target="#Home_Gender"/><Relationship Id="rId11" Type="http://schemas.openxmlformats.org/officeDocument/2006/relationships/hyperlink" Target="#Home_Prog"/><Relationship Id="rId5" Type="http://schemas.openxmlformats.org/officeDocument/2006/relationships/hyperlink" Target="#Home_Data"/><Relationship Id="rId10" Type="http://schemas.openxmlformats.org/officeDocument/2006/relationships/hyperlink" Target="#Home_Prov"/><Relationship Id="rId4" Type="http://schemas.openxmlformats.org/officeDocument/2006/relationships/hyperlink" Target="#Home_Nav"/><Relationship Id="rId9" Type="http://schemas.openxmlformats.org/officeDocument/2006/relationships/hyperlink" Target="#Home_Aged"/></Relationships>
</file>

<file path=xl/drawings/_rels/drawing10.xml.rels><?xml version="1.0" encoding="UTF-8" standalone="yes"?>
<Relationships xmlns="http://schemas.openxmlformats.org/package/2006/relationships"><Relationship Id="rId1" Type="http://schemas.openxmlformats.org/officeDocument/2006/relationships/hyperlink" Target="#Appen_DDG"/></Relationships>
</file>

<file path=xl/drawings/_rels/drawing11.xml.rels><?xml version="1.0" encoding="UTF-8" standalone="yes"?>
<Relationships xmlns="http://schemas.openxmlformats.org/package/2006/relationships"><Relationship Id="rId1" Type="http://schemas.openxmlformats.org/officeDocument/2006/relationships/hyperlink" Target="#Appen_DDG"/></Relationships>
</file>

<file path=xl/drawings/_rels/drawing12.xml.rels><?xml version="1.0" encoding="UTF-8" standalone="yes"?>
<Relationships xmlns="http://schemas.openxmlformats.org/package/2006/relationships"><Relationship Id="rId1" Type="http://schemas.openxmlformats.org/officeDocument/2006/relationships/hyperlink" Target="#Appen_DDG"/></Relationships>
</file>

<file path=xl/drawings/_rels/drawing13.xml.rels><?xml version="1.0" encoding="UTF-8" standalone="yes"?>
<Relationships xmlns="http://schemas.openxmlformats.org/package/2006/relationships"><Relationship Id="rId1" Type="http://schemas.openxmlformats.org/officeDocument/2006/relationships/hyperlink" Target="#Appen_DDG"/></Relationships>
</file>

<file path=xl/drawings/_rels/drawing14.xml.rels><?xml version="1.0" encoding="UTF-8" standalone="yes"?>
<Relationships xmlns="http://schemas.openxmlformats.org/package/2006/relationships"><Relationship Id="rId1" Type="http://schemas.openxmlformats.org/officeDocument/2006/relationships/hyperlink" Target="#Appen_DDG"/></Relationships>
</file>

<file path=xl/drawings/_rels/drawing15.xml.rels><?xml version="1.0" encoding="UTF-8" standalone="yes"?>
<Relationships xmlns="http://schemas.openxmlformats.org/package/2006/relationships"><Relationship Id="rId1" Type="http://schemas.openxmlformats.org/officeDocument/2006/relationships/hyperlink" Target="#Appen_DDG"/></Relationships>
</file>

<file path=xl/drawings/_rels/drawing16.xml.rels><?xml version="1.0" encoding="UTF-8" standalone="yes"?>
<Relationships xmlns="http://schemas.openxmlformats.org/package/2006/relationships"><Relationship Id="rId1" Type="http://schemas.openxmlformats.org/officeDocument/2006/relationships/hyperlink" Target="#Appen_DDG"/></Relationships>
</file>

<file path=xl/drawings/_rels/drawing17.xml.rels><?xml version="1.0" encoding="UTF-8" standalone="yes"?>
<Relationships xmlns="http://schemas.openxmlformats.org/package/2006/relationships"><Relationship Id="rId1" Type="http://schemas.openxmlformats.org/officeDocument/2006/relationships/hyperlink" Target="#Appen_DDG"/></Relationships>
</file>

<file path=xl/drawings/_rels/drawing18.xml.rels><?xml version="1.0" encoding="UTF-8" standalone="yes"?>
<Relationships xmlns="http://schemas.openxmlformats.org/package/2006/relationships"><Relationship Id="rId1" Type="http://schemas.openxmlformats.org/officeDocument/2006/relationships/hyperlink" Target="#Appen_DDG"/></Relationships>
</file>

<file path=xl/drawings/_rels/drawing19.xml.rels><?xml version="1.0" encoding="UTF-8" standalone="yes"?>
<Relationships xmlns="http://schemas.openxmlformats.org/package/2006/relationships"><Relationship Id="rId1" Type="http://schemas.openxmlformats.org/officeDocument/2006/relationships/hyperlink" Target="#Appen_DD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hyperlink" Target="#Home_Aged"/><Relationship Id="rId18" Type="http://schemas.openxmlformats.org/officeDocument/2006/relationships/hyperlink" Target="#Dashboard!A5"/><Relationship Id="rId3" Type="http://schemas.openxmlformats.org/officeDocument/2006/relationships/chart" Target="../charts/chart3.xml"/><Relationship Id="rId21" Type="http://schemas.openxmlformats.org/officeDocument/2006/relationships/hyperlink" Target="#Home_Terms"/><Relationship Id="rId7" Type="http://schemas.openxmlformats.org/officeDocument/2006/relationships/chart" Target="../charts/chart7.xml"/><Relationship Id="rId12" Type="http://schemas.openxmlformats.org/officeDocument/2006/relationships/hyperlink" Target="#Home_Serv"/><Relationship Id="rId17" Type="http://schemas.openxmlformats.org/officeDocument/2006/relationships/hyperlink" Target="#COUNTY_SELECT"/><Relationship Id="rId2" Type="http://schemas.openxmlformats.org/officeDocument/2006/relationships/chart" Target="../charts/chart2.xml"/><Relationship Id="rId16" Type="http://schemas.openxmlformats.org/officeDocument/2006/relationships/hyperlink" Target="#Home_Ethn"/><Relationship Id="rId20" Type="http://schemas.openxmlformats.org/officeDocument/2006/relationships/hyperlink" Target="#Home_Data"/><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Home_GenData"/><Relationship Id="rId24" Type="http://schemas.openxmlformats.org/officeDocument/2006/relationships/hyperlink" Target="#Home_Applicants"/><Relationship Id="rId5" Type="http://schemas.openxmlformats.org/officeDocument/2006/relationships/chart" Target="../charts/chart5.xml"/><Relationship Id="rId15" Type="http://schemas.openxmlformats.org/officeDocument/2006/relationships/hyperlink" Target="#Home_Gender"/><Relationship Id="rId23" Type="http://schemas.openxmlformats.org/officeDocument/2006/relationships/hyperlink" Target="#Home_Nav"/><Relationship Id="rId10" Type="http://schemas.openxmlformats.org/officeDocument/2006/relationships/chart" Target="../charts/chart10.xml"/><Relationship Id="rId19" Type="http://schemas.openxmlformats.org/officeDocument/2006/relationships/hyperlink" Target="#Appen_DD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hyperlink" Target="#Home_Prov"/><Relationship Id="rId22" Type="http://schemas.openxmlformats.org/officeDocument/2006/relationships/hyperlink" Target="#Home_Prog"/></Relationships>
</file>

<file path=xl/drawings/_rels/drawing20.xml.rels><?xml version="1.0" encoding="UTF-8" standalone="yes"?>
<Relationships xmlns="http://schemas.openxmlformats.org/package/2006/relationships"><Relationship Id="rId8" Type="http://schemas.openxmlformats.org/officeDocument/2006/relationships/hyperlink" Target="#Dashboard!A5"/><Relationship Id="rId13" Type="http://schemas.openxmlformats.org/officeDocument/2006/relationships/hyperlink" Target="#Home_Gender"/><Relationship Id="rId18" Type="http://schemas.openxmlformats.org/officeDocument/2006/relationships/hyperlink" Target="#Home_Applicants"/><Relationship Id="rId3" Type="http://schemas.openxmlformats.org/officeDocument/2006/relationships/hyperlink" Target="#COUNTY_SELECT"/><Relationship Id="rId7" Type="http://schemas.openxmlformats.org/officeDocument/2006/relationships/chart" Target="../charts/chart43.xml"/><Relationship Id="rId12" Type="http://schemas.openxmlformats.org/officeDocument/2006/relationships/hyperlink" Target="#Home_Data"/><Relationship Id="rId17" Type="http://schemas.openxmlformats.org/officeDocument/2006/relationships/hyperlink" Target="#Home_Ethn"/><Relationship Id="rId2" Type="http://schemas.openxmlformats.org/officeDocument/2006/relationships/chart" Target="../charts/chart39.xml"/><Relationship Id="rId16" Type="http://schemas.openxmlformats.org/officeDocument/2006/relationships/hyperlink" Target="#Home_Prog"/><Relationship Id="rId1" Type="http://schemas.openxmlformats.org/officeDocument/2006/relationships/chart" Target="../charts/chart38.xml"/><Relationship Id="rId6" Type="http://schemas.openxmlformats.org/officeDocument/2006/relationships/chart" Target="../charts/chart42.xml"/><Relationship Id="rId11" Type="http://schemas.openxmlformats.org/officeDocument/2006/relationships/hyperlink" Target="#Home_Nav"/><Relationship Id="rId5" Type="http://schemas.openxmlformats.org/officeDocument/2006/relationships/chart" Target="../charts/chart41.xml"/><Relationship Id="rId15" Type="http://schemas.openxmlformats.org/officeDocument/2006/relationships/hyperlink" Target="#Home_Prov"/><Relationship Id="rId10" Type="http://schemas.openxmlformats.org/officeDocument/2006/relationships/hyperlink" Target="#Home_Aged"/><Relationship Id="rId19" Type="http://schemas.openxmlformats.org/officeDocument/2006/relationships/hyperlink" Target="#Home_Serv"/><Relationship Id="rId4" Type="http://schemas.openxmlformats.org/officeDocument/2006/relationships/chart" Target="../charts/chart40.xml"/><Relationship Id="rId9" Type="http://schemas.openxmlformats.org/officeDocument/2006/relationships/hyperlink" Target="#Home_GenData"/><Relationship Id="rId14" Type="http://schemas.openxmlformats.org/officeDocument/2006/relationships/hyperlink" Target="#Home_Terms"/></Relationships>
</file>

<file path=xl/drawings/_rels/drawing21.xml.rels><?xml version="1.0" encoding="UTF-8" standalone="yes"?>
<Relationships xmlns="http://schemas.openxmlformats.org/package/2006/relationships"><Relationship Id="rId8" Type="http://schemas.openxmlformats.org/officeDocument/2006/relationships/hyperlink" Target="#Home_GenData"/><Relationship Id="rId13" Type="http://schemas.openxmlformats.org/officeDocument/2006/relationships/hyperlink" Target="#Home_Prov"/><Relationship Id="rId3" Type="http://schemas.openxmlformats.org/officeDocument/2006/relationships/chart" Target="../charts/chart45.xml"/><Relationship Id="rId7" Type="http://schemas.openxmlformats.org/officeDocument/2006/relationships/hyperlink" Target="#Dashboard!A5"/><Relationship Id="rId12" Type="http://schemas.openxmlformats.org/officeDocument/2006/relationships/hyperlink" Target="#Home_Terms"/><Relationship Id="rId17" Type="http://schemas.openxmlformats.org/officeDocument/2006/relationships/hyperlink" Target="#Home_Serv"/><Relationship Id="rId2" Type="http://schemas.openxmlformats.org/officeDocument/2006/relationships/chart" Target="../charts/chart44.xml"/><Relationship Id="rId16" Type="http://schemas.openxmlformats.org/officeDocument/2006/relationships/hyperlink" Target="#Home_Applicants"/><Relationship Id="rId1" Type="http://schemas.openxmlformats.org/officeDocument/2006/relationships/hyperlink" Target="#COUNTY_SELECT"/><Relationship Id="rId6" Type="http://schemas.openxmlformats.org/officeDocument/2006/relationships/hyperlink" Target="#Appen_DDG"/><Relationship Id="rId11" Type="http://schemas.openxmlformats.org/officeDocument/2006/relationships/hyperlink" Target="#Home_Data"/><Relationship Id="rId5" Type="http://schemas.openxmlformats.org/officeDocument/2006/relationships/chart" Target="../charts/chart46.xml"/><Relationship Id="rId15" Type="http://schemas.openxmlformats.org/officeDocument/2006/relationships/hyperlink" Target="#Home_Ethn"/><Relationship Id="rId10" Type="http://schemas.openxmlformats.org/officeDocument/2006/relationships/hyperlink" Target="#Home_Nav"/><Relationship Id="rId4" Type="http://schemas.openxmlformats.org/officeDocument/2006/relationships/hyperlink" Target="#Home_Gender"/><Relationship Id="rId9" Type="http://schemas.openxmlformats.org/officeDocument/2006/relationships/hyperlink" Target="#Home_Aged"/><Relationship Id="rId14" Type="http://schemas.openxmlformats.org/officeDocument/2006/relationships/hyperlink" Target="#Home_Prog"/></Relationships>
</file>

<file path=xl/drawings/_rels/drawing22.xml.rels><?xml version="1.0" encoding="UTF-8" standalone="yes"?>
<Relationships xmlns="http://schemas.openxmlformats.org/package/2006/relationships"><Relationship Id="rId8" Type="http://schemas.openxmlformats.org/officeDocument/2006/relationships/hyperlink" Target="#Home_Aged"/><Relationship Id="rId13" Type="http://schemas.openxmlformats.org/officeDocument/2006/relationships/hyperlink" Target="#Home_Prog"/><Relationship Id="rId3" Type="http://schemas.openxmlformats.org/officeDocument/2006/relationships/chart" Target="../charts/chart48.xml"/><Relationship Id="rId7" Type="http://schemas.openxmlformats.org/officeDocument/2006/relationships/hyperlink" Target="#Home_GenData"/><Relationship Id="rId12" Type="http://schemas.openxmlformats.org/officeDocument/2006/relationships/hyperlink" Target="#Home_Prov"/><Relationship Id="rId2" Type="http://schemas.openxmlformats.org/officeDocument/2006/relationships/hyperlink" Target="#COUNTY_SELECT"/><Relationship Id="rId16" Type="http://schemas.openxmlformats.org/officeDocument/2006/relationships/hyperlink" Target="#Home_Serv"/><Relationship Id="rId1" Type="http://schemas.openxmlformats.org/officeDocument/2006/relationships/chart" Target="../charts/chart47.xml"/><Relationship Id="rId6" Type="http://schemas.openxmlformats.org/officeDocument/2006/relationships/hyperlink" Target="#Dashboard!A5"/><Relationship Id="rId11" Type="http://schemas.openxmlformats.org/officeDocument/2006/relationships/hyperlink" Target="#Home_Terms"/><Relationship Id="rId5" Type="http://schemas.openxmlformats.org/officeDocument/2006/relationships/hyperlink" Target="#Home_Gender"/><Relationship Id="rId15" Type="http://schemas.openxmlformats.org/officeDocument/2006/relationships/hyperlink" Target="#Home_Applicants"/><Relationship Id="rId10" Type="http://schemas.openxmlformats.org/officeDocument/2006/relationships/hyperlink" Target="#Home_Data"/><Relationship Id="rId4" Type="http://schemas.openxmlformats.org/officeDocument/2006/relationships/hyperlink" Target="#Appen_DDG"/><Relationship Id="rId9" Type="http://schemas.openxmlformats.org/officeDocument/2006/relationships/hyperlink" Target="#Home_Nav"/><Relationship Id="rId14" Type="http://schemas.openxmlformats.org/officeDocument/2006/relationships/hyperlink" Target="#Home_Ethn"/></Relationships>
</file>

<file path=xl/drawings/_rels/drawing23.xml.rels><?xml version="1.0" encoding="UTF-8" standalone="yes"?>
<Relationships xmlns="http://schemas.openxmlformats.org/package/2006/relationships"><Relationship Id="rId8" Type="http://schemas.openxmlformats.org/officeDocument/2006/relationships/chart" Target="../charts/chart55.xml"/><Relationship Id="rId13" Type="http://schemas.openxmlformats.org/officeDocument/2006/relationships/hyperlink" Target="#Home_Aged"/><Relationship Id="rId18" Type="http://schemas.openxmlformats.org/officeDocument/2006/relationships/hyperlink" Target="#Home_Prog"/><Relationship Id="rId3" Type="http://schemas.openxmlformats.org/officeDocument/2006/relationships/chart" Target="../charts/chart50.xml"/><Relationship Id="rId21" Type="http://schemas.openxmlformats.org/officeDocument/2006/relationships/hyperlink" Target="#Home_Serv"/><Relationship Id="rId7" Type="http://schemas.openxmlformats.org/officeDocument/2006/relationships/chart" Target="../charts/chart54.xml"/><Relationship Id="rId12" Type="http://schemas.openxmlformats.org/officeDocument/2006/relationships/hyperlink" Target="#Home_GenData"/><Relationship Id="rId17" Type="http://schemas.openxmlformats.org/officeDocument/2006/relationships/hyperlink" Target="#Home_Prov"/><Relationship Id="rId2" Type="http://schemas.openxmlformats.org/officeDocument/2006/relationships/hyperlink" Target="#COUNTY_SELECT"/><Relationship Id="rId16" Type="http://schemas.openxmlformats.org/officeDocument/2006/relationships/hyperlink" Target="#Home_Terms"/><Relationship Id="rId20" Type="http://schemas.openxmlformats.org/officeDocument/2006/relationships/hyperlink" Target="#Home_Applicants"/><Relationship Id="rId1" Type="http://schemas.openxmlformats.org/officeDocument/2006/relationships/chart" Target="../charts/chart49.xml"/><Relationship Id="rId6" Type="http://schemas.openxmlformats.org/officeDocument/2006/relationships/chart" Target="../charts/chart53.xml"/><Relationship Id="rId11" Type="http://schemas.openxmlformats.org/officeDocument/2006/relationships/hyperlink" Target="#Dashboard!A5"/><Relationship Id="rId5" Type="http://schemas.openxmlformats.org/officeDocument/2006/relationships/chart" Target="../charts/chart52.xml"/><Relationship Id="rId15" Type="http://schemas.openxmlformats.org/officeDocument/2006/relationships/hyperlink" Target="#Home_Data"/><Relationship Id="rId10" Type="http://schemas.openxmlformats.org/officeDocument/2006/relationships/hyperlink" Target="#Home_Gender"/><Relationship Id="rId19" Type="http://schemas.openxmlformats.org/officeDocument/2006/relationships/hyperlink" Target="#Home_Ethn"/><Relationship Id="rId4" Type="http://schemas.openxmlformats.org/officeDocument/2006/relationships/chart" Target="../charts/chart51.xml"/><Relationship Id="rId9" Type="http://schemas.openxmlformats.org/officeDocument/2006/relationships/hyperlink" Target="#Appen_DDG"/><Relationship Id="rId14" Type="http://schemas.openxmlformats.org/officeDocument/2006/relationships/hyperlink" Target="#Home_Nav"/></Relationships>
</file>

<file path=xl/drawings/_rels/drawing24.xml.rels><?xml version="1.0" encoding="UTF-8" standalone="yes"?>
<Relationships xmlns="http://schemas.openxmlformats.org/package/2006/relationships"><Relationship Id="rId8" Type="http://schemas.openxmlformats.org/officeDocument/2006/relationships/hyperlink" Target="#Home_Terms"/><Relationship Id="rId13" Type="http://schemas.openxmlformats.org/officeDocument/2006/relationships/hyperlink" Target="#Home_Serv"/><Relationship Id="rId3" Type="http://schemas.openxmlformats.org/officeDocument/2006/relationships/hyperlink" Target="#Dashboard!A5"/><Relationship Id="rId7" Type="http://schemas.openxmlformats.org/officeDocument/2006/relationships/hyperlink" Target="#Home_Data"/><Relationship Id="rId12" Type="http://schemas.openxmlformats.org/officeDocument/2006/relationships/hyperlink" Target="#Home_Applicants"/><Relationship Id="rId2" Type="http://schemas.openxmlformats.org/officeDocument/2006/relationships/hyperlink" Target="#Home_Gender"/><Relationship Id="rId1" Type="http://schemas.openxmlformats.org/officeDocument/2006/relationships/hyperlink" Target="#COUNTY_SELECT"/><Relationship Id="rId6" Type="http://schemas.openxmlformats.org/officeDocument/2006/relationships/hyperlink" Target="#Home_Nav"/><Relationship Id="rId11" Type="http://schemas.openxmlformats.org/officeDocument/2006/relationships/hyperlink" Target="#Home_Ethn"/><Relationship Id="rId5" Type="http://schemas.openxmlformats.org/officeDocument/2006/relationships/hyperlink" Target="#Home_Aged"/><Relationship Id="rId10" Type="http://schemas.openxmlformats.org/officeDocument/2006/relationships/hyperlink" Target="#Home_Prog"/><Relationship Id="rId4" Type="http://schemas.openxmlformats.org/officeDocument/2006/relationships/hyperlink" Target="#Home_GenData"/><Relationship Id="rId9" Type="http://schemas.openxmlformats.org/officeDocument/2006/relationships/hyperlink" Target="#Home_Prov"/></Relationships>
</file>

<file path=xl/drawings/_rels/drawing25.xml.rels><?xml version="1.0" encoding="UTF-8" standalone="yes"?>
<Relationships xmlns="http://schemas.openxmlformats.org/package/2006/relationships"><Relationship Id="rId8" Type="http://schemas.openxmlformats.org/officeDocument/2006/relationships/hyperlink" Target="#Home_Terms"/><Relationship Id="rId13" Type="http://schemas.openxmlformats.org/officeDocument/2006/relationships/hyperlink" Target="#Home_Serv"/><Relationship Id="rId3" Type="http://schemas.openxmlformats.org/officeDocument/2006/relationships/hyperlink" Target="#Dashboard!A5"/><Relationship Id="rId7" Type="http://schemas.openxmlformats.org/officeDocument/2006/relationships/hyperlink" Target="#Home_Data"/><Relationship Id="rId12" Type="http://schemas.openxmlformats.org/officeDocument/2006/relationships/hyperlink" Target="#Home_Applicants"/><Relationship Id="rId2" Type="http://schemas.openxmlformats.org/officeDocument/2006/relationships/hyperlink" Target="#Home_Gender"/><Relationship Id="rId1" Type="http://schemas.openxmlformats.org/officeDocument/2006/relationships/hyperlink" Target="#COUNTY_SELECT"/><Relationship Id="rId6" Type="http://schemas.openxmlformats.org/officeDocument/2006/relationships/hyperlink" Target="#Home_Nav"/><Relationship Id="rId11" Type="http://schemas.openxmlformats.org/officeDocument/2006/relationships/hyperlink" Target="#Home_Ethn"/><Relationship Id="rId5" Type="http://schemas.openxmlformats.org/officeDocument/2006/relationships/hyperlink" Target="#Home_Aged"/><Relationship Id="rId10" Type="http://schemas.openxmlformats.org/officeDocument/2006/relationships/hyperlink" Target="#Home_Prog"/><Relationship Id="rId4" Type="http://schemas.openxmlformats.org/officeDocument/2006/relationships/hyperlink" Target="#Home_GenData"/><Relationship Id="rId9" Type="http://schemas.openxmlformats.org/officeDocument/2006/relationships/hyperlink" Target="#Home_Prov"/></Relationships>
</file>

<file path=xl/drawings/_rels/drawing26.xml.rels><?xml version="1.0" encoding="UTF-8" standalone="yes"?>
<Relationships xmlns="http://schemas.openxmlformats.org/package/2006/relationships"><Relationship Id="rId8" Type="http://schemas.openxmlformats.org/officeDocument/2006/relationships/hyperlink" Target="#Home_Aged"/><Relationship Id="rId13" Type="http://schemas.openxmlformats.org/officeDocument/2006/relationships/chart" Target="../charts/chart56.xml"/><Relationship Id="rId3" Type="http://schemas.openxmlformats.org/officeDocument/2006/relationships/hyperlink" Target="#Home_Data"/><Relationship Id="rId7" Type="http://schemas.openxmlformats.org/officeDocument/2006/relationships/hyperlink" Target="#Home_Serv"/><Relationship Id="rId12" Type="http://schemas.openxmlformats.org/officeDocument/2006/relationships/hyperlink" Target="#Home_Nav"/><Relationship Id="rId2" Type="http://schemas.openxmlformats.org/officeDocument/2006/relationships/hyperlink" Target="#Dashboard!A5"/><Relationship Id="rId16" Type="http://schemas.openxmlformats.org/officeDocument/2006/relationships/hyperlink" Target="#Home_GenData"/><Relationship Id="rId1" Type="http://schemas.openxmlformats.org/officeDocument/2006/relationships/hyperlink" Target="#COUNTY_SELECT"/><Relationship Id="rId6" Type="http://schemas.openxmlformats.org/officeDocument/2006/relationships/hyperlink" Target="#Home_Terms"/><Relationship Id="rId11" Type="http://schemas.openxmlformats.org/officeDocument/2006/relationships/hyperlink" Target="#Home_Ethn"/><Relationship Id="rId5" Type="http://schemas.openxmlformats.org/officeDocument/2006/relationships/hyperlink" Target="#Home_Gender"/><Relationship Id="rId15" Type="http://schemas.openxmlformats.org/officeDocument/2006/relationships/chart" Target="../charts/chart58.xml"/><Relationship Id="rId10" Type="http://schemas.openxmlformats.org/officeDocument/2006/relationships/hyperlink" Target="#Home_Prog"/><Relationship Id="rId4" Type="http://schemas.openxmlformats.org/officeDocument/2006/relationships/hyperlink" Target="#Home_Applicants"/><Relationship Id="rId9" Type="http://schemas.openxmlformats.org/officeDocument/2006/relationships/hyperlink" Target="#Home_Prov"/><Relationship Id="rId14" Type="http://schemas.openxmlformats.org/officeDocument/2006/relationships/chart" Target="../charts/chart57.xml"/></Relationships>
</file>

<file path=xl/drawings/_rels/drawing3.xml.rels><?xml version="1.0" encoding="UTF-8" standalone="yes"?>
<Relationships xmlns="http://schemas.openxmlformats.org/package/2006/relationships"><Relationship Id="rId8" Type="http://schemas.openxmlformats.org/officeDocument/2006/relationships/hyperlink" Target="#Home_Gender"/><Relationship Id="rId13" Type="http://schemas.openxmlformats.org/officeDocument/2006/relationships/hyperlink" Target="#Home_Prog"/><Relationship Id="rId18" Type="http://schemas.openxmlformats.org/officeDocument/2006/relationships/hyperlink" Target="#Home_Applicants"/><Relationship Id="rId3" Type="http://schemas.openxmlformats.org/officeDocument/2006/relationships/chart" Target="../charts/chart12.xml"/><Relationship Id="rId21" Type="http://schemas.openxmlformats.org/officeDocument/2006/relationships/chart" Target="../charts/chart18.xml"/><Relationship Id="rId7" Type="http://schemas.openxmlformats.org/officeDocument/2006/relationships/hyperlink" Target="#Home_Data"/><Relationship Id="rId12" Type="http://schemas.openxmlformats.org/officeDocument/2006/relationships/hyperlink" Target="#Home_Prov"/><Relationship Id="rId17" Type="http://schemas.openxmlformats.org/officeDocument/2006/relationships/chart" Target="../charts/chart16.xml"/><Relationship Id="rId2" Type="http://schemas.openxmlformats.org/officeDocument/2006/relationships/hyperlink" Target="#COUNTY_SELECT"/><Relationship Id="rId16" Type="http://schemas.openxmlformats.org/officeDocument/2006/relationships/chart" Target="../charts/chart15.xml"/><Relationship Id="rId20" Type="http://schemas.openxmlformats.org/officeDocument/2006/relationships/chart" Target="../charts/chart17.xml"/><Relationship Id="rId1" Type="http://schemas.openxmlformats.org/officeDocument/2006/relationships/chart" Target="../charts/chart11.xml"/><Relationship Id="rId6" Type="http://schemas.openxmlformats.org/officeDocument/2006/relationships/hyperlink" Target="#Dashboard!A5"/><Relationship Id="rId11" Type="http://schemas.openxmlformats.org/officeDocument/2006/relationships/hyperlink" Target="#Home_Aged"/><Relationship Id="rId5" Type="http://schemas.openxmlformats.org/officeDocument/2006/relationships/chart" Target="../charts/chart14.xml"/><Relationship Id="rId15" Type="http://schemas.openxmlformats.org/officeDocument/2006/relationships/hyperlink" Target="#Home_Nav"/><Relationship Id="rId10" Type="http://schemas.openxmlformats.org/officeDocument/2006/relationships/hyperlink" Target="#Home_Serv"/><Relationship Id="rId19" Type="http://schemas.openxmlformats.org/officeDocument/2006/relationships/hyperlink" Target="#Home_GenData"/><Relationship Id="rId4" Type="http://schemas.openxmlformats.org/officeDocument/2006/relationships/chart" Target="../charts/chart13.xml"/><Relationship Id="rId9" Type="http://schemas.openxmlformats.org/officeDocument/2006/relationships/hyperlink" Target="#Home_Terms"/><Relationship Id="rId14" Type="http://schemas.openxmlformats.org/officeDocument/2006/relationships/hyperlink" Target="#Home_Ethn"/></Relationships>
</file>

<file path=xl/drawings/_rels/drawing4.xml.rels><?xml version="1.0" encoding="UTF-8" standalone="yes"?>
<Relationships xmlns="http://schemas.openxmlformats.org/package/2006/relationships"><Relationship Id="rId8" Type="http://schemas.openxmlformats.org/officeDocument/2006/relationships/hyperlink" Target="#Home_GenData"/><Relationship Id="rId13" Type="http://schemas.openxmlformats.org/officeDocument/2006/relationships/hyperlink" Target="#Home_Terms"/><Relationship Id="rId18" Type="http://schemas.openxmlformats.org/officeDocument/2006/relationships/hyperlink" Target="#Home_Applicants"/><Relationship Id="rId3" Type="http://schemas.openxmlformats.org/officeDocument/2006/relationships/hyperlink" Target="#COUNTY_SELECT"/><Relationship Id="rId7" Type="http://schemas.openxmlformats.org/officeDocument/2006/relationships/hyperlink" Target="#Dashboard!A5"/><Relationship Id="rId12" Type="http://schemas.openxmlformats.org/officeDocument/2006/relationships/hyperlink" Target="#Home_Gender"/><Relationship Id="rId17" Type="http://schemas.openxmlformats.org/officeDocument/2006/relationships/hyperlink" Target="#Home_Ethn"/><Relationship Id="rId2" Type="http://schemas.openxmlformats.org/officeDocument/2006/relationships/chart" Target="../charts/chart20.xml"/><Relationship Id="rId16" Type="http://schemas.openxmlformats.org/officeDocument/2006/relationships/hyperlink" Target="#Home_Prog"/><Relationship Id="rId1" Type="http://schemas.openxmlformats.org/officeDocument/2006/relationships/chart" Target="../charts/chart19.xml"/><Relationship Id="rId6" Type="http://schemas.openxmlformats.org/officeDocument/2006/relationships/chart" Target="../charts/chart23.xml"/><Relationship Id="rId11" Type="http://schemas.openxmlformats.org/officeDocument/2006/relationships/hyperlink" Target="#Home_Data"/><Relationship Id="rId5" Type="http://schemas.openxmlformats.org/officeDocument/2006/relationships/chart" Target="../charts/chart22.xml"/><Relationship Id="rId15" Type="http://schemas.openxmlformats.org/officeDocument/2006/relationships/hyperlink" Target="#Home_Prov"/><Relationship Id="rId10" Type="http://schemas.openxmlformats.org/officeDocument/2006/relationships/hyperlink" Target="#Home_Nav"/><Relationship Id="rId4" Type="http://schemas.openxmlformats.org/officeDocument/2006/relationships/chart" Target="../charts/chart21.xml"/><Relationship Id="rId9" Type="http://schemas.openxmlformats.org/officeDocument/2006/relationships/hyperlink" Target="#Home_Aged"/><Relationship Id="rId14" Type="http://schemas.openxmlformats.org/officeDocument/2006/relationships/hyperlink" Target="#Home_Serv"/></Relationships>
</file>

<file path=xl/drawings/_rels/drawing5.xml.rels><?xml version="1.0" encoding="UTF-8" standalone="yes"?>
<Relationships xmlns="http://schemas.openxmlformats.org/package/2006/relationships"><Relationship Id="rId8" Type="http://schemas.openxmlformats.org/officeDocument/2006/relationships/hyperlink" Target="#Home_Gender"/><Relationship Id="rId13" Type="http://schemas.openxmlformats.org/officeDocument/2006/relationships/hyperlink" Target="#Home_Applicants"/><Relationship Id="rId18" Type="http://schemas.openxmlformats.org/officeDocument/2006/relationships/chart" Target="../charts/chart28.xml"/><Relationship Id="rId26" Type="http://schemas.openxmlformats.org/officeDocument/2006/relationships/chart" Target="../charts/chart36.xml"/><Relationship Id="rId3" Type="http://schemas.openxmlformats.org/officeDocument/2006/relationships/hyperlink" Target="#Home_GenData"/><Relationship Id="rId21" Type="http://schemas.openxmlformats.org/officeDocument/2006/relationships/chart" Target="../charts/chart31.xml"/><Relationship Id="rId7" Type="http://schemas.openxmlformats.org/officeDocument/2006/relationships/hyperlink" Target="#Home_Data"/><Relationship Id="rId12" Type="http://schemas.openxmlformats.org/officeDocument/2006/relationships/hyperlink" Target="#Home_Ethn"/><Relationship Id="rId17" Type="http://schemas.openxmlformats.org/officeDocument/2006/relationships/chart" Target="../charts/chart27.xml"/><Relationship Id="rId25" Type="http://schemas.openxmlformats.org/officeDocument/2006/relationships/chart" Target="../charts/chart35.xml"/><Relationship Id="rId2" Type="http://schemas.openxmlformats.org/officeDocument/2006/relationships/hyperlink" Target="#Dashboard!A5"/><Relationship Id="rId16" Type="http://schemas.openxmlformats.org/officeDocument/2006/relationships/chart" Target="../charts/chart26.xml"/><Relationship Id="rId20" Type="http://schemas.openxmlformats.org/officeDocument/2006/relationships/chart" Target="../charts/chart30.xml"/><Relationship Id="rId1" Type="http://schemas.openxmlformats.org/officeDocument/2006/relationships/hyperlink" Target="#COUNTY_SELECT"/><Relationship Id="rId6" Type="http://schemas.openxmlformats.org/officeDocument/2006/relationships/hyperlink" Target="#Home_Nav"/><Relationship Id="rId11" Type="http://schemas.openxmlformats.org/officeDocument/2006/relationships/hyperlink" Target="#Home_Prov"/><Relationship Id="rId24" Type="http://schemas.openxmlformats.org/officeDocument/2006/relationships/chart" Target="../charts/chart34.xml"/><Relationship Id="rId5" Type="http://schemas.openxmlformats.org/officeDocument/2006/relationships/hyperlink" Target="#Home_Prog"/><Relationship Id="rId15" Type="http://schemas.openxmlformats.org/officeDocument/2006/relationships/chart" Target="../charts/chart25.xml"/><Relationship Id="rId23" Type="http://schemas.openxmlformats.org/officeDocument/2006/relationships/chart" Target="../charts/chart33.xml"/><Relationship Id="rId10" Type="http://schemas.openxmlformats.org/officeDocument/2006/relationships/hyperlink" Target="#Home_Serv"/><Relationship Id="rId19" Type="http://schemas.openxmlformats.org/officeDocument/2006/relationships/chart" Target="../charts/chart29.xml"/><Relationship Id="rId4" Type="http://schemas.openxmlformats.org/officeDocument/2006/relationships/hyperlink" Target="#Home_Aged"/><Relationship Id="rId9" Type="http://schemas.openxmlformats.org/officeDocument/2006/relationships/hyperlink" Target="#Home_Terms"/><Relationship Id="rId14" Type="http://schemas.openxmlformats.org/officeDocument/2006/relationships/chart" Target="../charts/chart24.xml"/><Relationship Id="rId22" Type="http://schemas.openxmlformats.org/officeDocument/2006/relationships/chart" Target="../charts/chart32.xml"/><Relationship Id="rId27" Type="http://schemas.openxmlformats.org/officeDocument/2006/relationships/chart" Target="../charts/chart37.xml"/></Relationships>
</file>

<file path=xl/drawings/_rels/drawing6.xml.rels><?xml version="1.0" encoding="UTF-8" standalone="yes"?>
<Relationships xmlns="http://schemas.openxmlformats.org/package/2006/relationships"><Relationship Id="rId1" Type="http://schemas.openxmlformats.org/officeDocument/2006/relationships/hyperlink" Target="#Appen_DDG"/></Relationships>
</file>

<file path=xl/drawings/_rels/drawing7.xml.rels><?xml version="1.0" encoding="UTF-8" standalone="yes"?>
<Relationships xmlns="http://schemas.openxmlformats.org/package/2006/relationships"><Relationship Id="rId1" Type="http://schemas.openxmlformats.org/officeDocument/2006/relationships/hyperlink" Target="#Appen_DDG"/></Relationships>
</file>

<file path=xl/drawings/_rels/drawing8.xml.rels><?xml version="1.0" encoding="UTF-8" standalone="yes"?>
<Relationships xmlns="http://schemas.openxmlformats.org/package/2006/relationships"><Relationship Id="rId1" Type="http://schemas.openxmlformats.org/officeDocument/2006/relationships/hyperlink" Target="#Appen_DDG"/></Relationships>
</file>

<file path=xl/drawings/_rels/drawing9.xml.rels><?xml version="1.0" encoding="UTF-8" standalone="yes"?>
<Relationships xmlns="http://schemas.openxmlformats.org/package/2006/relationships"><Relationship Id="rId1" Type="http://schemas.openxmlformats.org/officeDocument/2006/relationships/hyperlink" Target="#Appen_DDG"/></Relationships>
</file>

<file path=xl/drawings/drawing1.xml><?xml version="1.0" encoding="utf-8"?>
<xdr:wsDr xmlns:xdr="http://schemas.openxmlformats.org/drawingml/2006/spreadsheetDrawing" xmlns:a="http://schemas.openxmlformats.org/drawingml/2006/main">
  <xdr:twoCellAnchor>
    <xdr:from>
      <xdr:col>1</xdr:col>
      <xdr:colOff>19051</xdr:colOff>
      <xdr:row>1</xdr:row>
      <xdr:rowOff>9525</xdr:rowOff>
    </xdr:from>
    <xdr:to>
      <xdr:col>1</xdr:col>
      <xdr:colOff>1209675</xdr:colOff>
      <xdr:row>3</xdr:row>
      <xdr:rowOff>76200</xdr:rowOff>
    </xdr:to>
    <xdr:grpSp>
      <xdr:nvGrpSpPr>
        <xdr:cNvPr id="3" name="Group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GrpSpPr/>
      </xdr:nvGrpSpPr>
      <xdr:grpSpPr>
        <a:xfrm>
          <a:off x="1767841" y="19685"/>
          <a:ext cx="1185544" cy="589915"/>
          <a:chOff x="1685926" y="19050"/>
          <a:chExt cx="1190624" cy="590550"/>
        </a:xfrm>
      </xdr:grpSpPr>
      <xdr:sp macro="" textlink="">
        <xdr:nvSpPr>
          <xdr:cNvPr id="21" name="B INSTRUCTION">
            <a:hlinkClick xmlns:r="http://schemas.openxmlformats.org/officeDocument/2006/relationships" r:id="rId1" tooltip="To Select County &quot;Click&quot; on the blue box, then find and select County"/>
            <a:extLst>
              <a:ext uri="{FF2B5EF4-FFF2-40B4-BE49-F238E27FC236}">
                <a16:creationId xmlns:a16="http://schemas.microsoft.com/office/drawing/2014/main" id="{00000000-0008-0000-0000-000015000000}"/>
              </a:ext>
            </a:extLst>
          </xdr:cNvPr>
          <xdr:cNvSpPr/>
        </xdr:nvSpPr>
        <xdr:spPr>
          <a:xfrm>
            <a:off x="1847850" y="19050"/>
            <a:ext cx="1028700" cy="590550"/>
          </a:xfrm>
          <a:prstGeom prst="rect">
            <a:avLst/>
          </a:prstGeom>
          <a:solidFill>
            <a:schemeClr val="accent6">
              <a:lumMod val="75000"/>
            </a:schemeClr>
          </a:solidFill>
          <a:ln w="381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Arial" panose="020B0604020202020204" pitchFamily="34" charset="0"/>
                <a:cs typeface="Arial" panose="020B0604020202020204" pitchFamily="34" charset="0"/>
              </a:rPr>
              <a:t>Click</a:t>
            </a:r>
            <a:r>
              <a:rPr lang="en-US" sz="1100" baseline="0">
                <a:solidFill>
                  <a:schemeClr val="bg1"/>
                </a:solidFill>
                <a:latin typeface="Arial" panose="020B0604020202020204" pitchFamily="34" charset="0"/>
                <a:cs typeface="Arial" panose="020B0604020202020204" pitchFamily="34" charset="0"/>
              </a:rPr>
              <a:t> Blue Box to Select County</a:t>
            </a:r>
            <a:endParaRPr lang="en-US" sz="1100">
              <a:solidFill>
                <a:schemeClr val="bg1"/>
              </a:solidFill>
              <a:latin typeface="Arial" panose="020B0604020202020204" pitchFamily="34" charset="0"/>
              <a:cs typeface="Arial" panose="020B0604020202020204" pitchFamily="34" charset="0"/>
            </a:endParaRPr>
          </a:p>
        </xdr:txBody>
      </xdr:sp>
      <xdr:cxnSp macro="">
        <xdr:nvCxnSpPr>
          <xdr:cNvPr id="22" name="Straight Arrow Connector 21">
            <a:extLst>
              <a:ext uri="{FF2B5EF4-FFF2-40B4-BE49-F238E27FC236}">
                <a16:creationId xmlns:a16="http://schemas.microsoft.com/office/drawing/2014/main" id="{00000000-0008-0000-0000-000016000000}"/>
              </a:ext>
            </a:extLst>
          </xdr:cNvPr>
          <xdr:cNvCxnSpPr/>
        </xdr:nvCxnSpPr>
        <xdr:spPr>
          <a:xfrm flipH="1" flipV="1">
            <a:off x="1685926" y="333376"/>
            <a:ext cx="238124" cy="171449"/>
          </a:xfrm>
          <a:prstGeom prst="straightConnector1">
            <a:avLst/>
          </a:prstGeom>
          <a:ln>
            <a:solidFill>
              <a:schemeClr val="accent6">
                <a:lumMod val="75000"/>
              </a:schemeClr>
            </a:solidFill>
            <a:tailEnd type="triangle"/>
          </a:ln>
        </xdr:spPr>
        <xdr:style>
          <a:lnRef idx="3">
            <a:schemeClr val="accent6"/>
          </a:lnRef>
          <a:fillRef idx="0">
            <a:schemeClr val="accent6"/>
          </a:fillRef>
          <a:effectRef idx="2">
            <a:schemeClr val="accent6"/>
          </a:effectRef>
          <a:fontRef idx="minor">
            <a:schemeClr val="tx1"/>
          </a:fontRef>
        </xdr:style>
      </xdr:cxnSp>
    </xdr:grpSp>
    <xdr:clientData/>
  </xdr:twoCellAnchor>
  <xdr:twoCellAnchor editAs="absolute">
    <xdr:from>
      <xdr:col>0</xdr:col>
      <xdr:colOff>3</xdr:colOff>
      <xdr:row>5</xdr:row>
      <xdr:rowOff>0</xdr:rowOff>
    </xdr:from>
    <xdr:to>
      <xdr:col>0</xdr:col>
      <xdr:colOff>1312757</xdr:colOff>
      <xdr:row>6</xdr:row>
      <xdr:rowOff>1524</xdr:rowOff>
    </xdr:to>
    <xdr:sp macro="" textlink="">
      <xdr:nvSpPr>
        <xdr:cNvPr id="35" name="B Date HM">
          <a:extLst>
            <a:ext uri="{FF2B5EF4-FFF2-40B4-BE49-F238E27FC236}">
              <a16:creationId xmlns:a16="http://schemas.microsoft.com/office/drawing/2014/main" id="{00000000-0008-0000-0000-000023000000}"/>
            </a:ext>
            <a:ext uri="{C183D7F6-B498-43B3-948B-1728B52AA6E4}">
              <adec:decorative xmlns:adec="http://schemas.microsoft.com/office/drawing/2017/decorative" val="1"/>
            </a:ext>
          </a:extLst>
        </xdr:cNvPr>
        <xdr:cNvSpPr/>
      </xdr:nvSpPr>
      <xdr:spPr>
        <a:xfrm>
          <a:off x="3" y="939800"/>
          <a:ext cx="1303864" cy="289391"/>
        </a:xfrm>
        <a:prstGeom prst="roundRect">
          <a:avLst/>
        </a:prstGeom>
        <a:noFill/>
        <a:ln w="285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r"/>
          <a:endParaRPr lang="en-US" sz="1200" b="1">
            <a:latin typeface="Arial" panose="020B0604020202020204" pitchFamily="34" charset="0"/>
            <a:cs typeface="Arial" panose="020B0604020202020204" pitchFamily="34" charset="0"/>
          </a:endParaRPr>
        </a:p>
      </xdr:txBody>
    </xdr:sp>
    <xdr:clientData/>
  </xdr:twoCellAnchor>
  <xdr:twoCellAnchor editAs="absolute">
    <xdr:from>
      <xdr:col>2</xdr:col>
      <xdr:colOff>1168646</xdr:colOff>
      <xdr:row>1</xdr:row>
      <xdr:rowOff>60960</xdr:rowOff>
    </xdr:from>
    <xdr:to>
      <xdr:col>3</xdr:col>
      <xdr:colOff>596723</xdr:colOff>
      <xdr:row>3</xdr:row>
      <xdr:rowOff>23368</xdr:rowOff>
    </xdr:to>
    <xdr:sp macro="" textlink="">
      <xdr:nvSpPr>
        <xdr:cNvPr id="36" name="B HOME PAGE">
          <a:hlinkClick xmlns:r="http://schemas.openxmlformats.org/officeDocument/2006/relationships" r:id="rId2" tooltip="Back to Dashboard Page"/>
          <a:extLst>
            <a:ext uri="{FF2B5EF4-FFF2-40B4-BE49-F238E27FC236}">
              <a16:creationId xmlns:a16="http://schemas.microsoft.com/office/drawing/2014/main" id="{00000000-0008-0000-0000-000024000000}"/>
            </a:ext>
          </a:extLst>
        </xdr:cNvPr>
        <xdr:cNvSpPr/>
      </xdr:nvSpPr>
      <xdr:spPr>
        <a:xfrm>
          <a:off x="4074555" y="83596"/>
          <a:ext cx="996901" cy="489084"/>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xdr:col>
      <xdr:colOff>670629</xdr:colOff>
      <xdr:row>1</xdr:row>
      <xdr:rowOff>60960</xdr:rowOff>
    </xdr:from>
    <xdr:to>
      <xdr:col>4</xdr:col>
      <xdr:colOff>440124</xdr:colOff>
      <xdr:row>3</xdr:row>
      <xdr:rowOff>23368</xdr:rowOff>
    </xdr:to>
    <xdr:sp macro="" textlink="">
      <xdr:nvSpPr>
        <xdr:cNvPr id="38" name="B GEN DATA PAGE">
          <a:hlinkClick xmlns:r="http://schemas.openxmlformats.org/officeDocument/2006/relationships" r:id="rId3" tooltip="Back to General Data Page"/>
          <a:extLst>
            <a:ext uri="{FF2B5EF4-FFF2-40B4-BE49-F238E27FC236}">
              <a16:creationId xmlns:a16="http://schemas.microsoft.com/office/drawing/2014/main" id="{00000000-0008-0000-0000-000026000000}"/>
            </a:ext>
          </a:extLst>
        </xdr:cNvPr>
        <xdr:cNvSpPr/>
      </xdr:nvSpPr>
      <xdr:spPr>
        <a:xfrm>
          <a:off x="5161872" y="83596"/>
          <a:ext cx="1023321" cy="489084"/>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xdr:col>
      <xdr:colOff>60960</xdr:colOff>
      <xdr:row>1</xdr:row>
      <xdr:rowOff>60960</xdr:rowOff>
    </xdr:from>
    <xdr:to>
      <xdr:col>2</xdr:col>
      <xdr:colOff>1092200</xdr:colOff>
      <xdr:row>3</xdr:row>
      <xdr:rowOff>23368</xdr:rowOff>
    </xdr:to>
    <xdr:sp macro="" textlink="">
      <xdr:nvSpPr>
        <xdr:cNvPr id="47" name="B GEN DATA PAGE">
          <a:hlinkClick xmlns:r="http://schemas.openxmlformats.org/officeDocument/2006/relationships" r:id="rId4" tooltip="Navigation Page (Current)"/>
          <a:extLst>
            <a:ext uri="{FF2B5EF4-FFF2-40B4-BE49-F238E27FC236}">
              <a16:creationId xmlns:a16="http://schemas.microsoft.com/office/drawing/2014/main" id="{00000000-0008-0000-0000-00002F000000}"/>
            </a:ext>
          </a:extLst>
        </xdr:cNvPr>
        <xdr:cNvSpPr/>
      </xdr:nvSpPr>
      <xdr:spPr>
        <a:xfrm>
          <a:off x="2971800" y="76200"/>
          <a:ext cx="1005840" cy="478663"/>
        </a:xfrm>
        <a:prstGeom prst="roundRect">
          <a:avLst/>
        </a:prstGeom>
        <a:solidFill>
          <a:srgbClr val="C74F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10</xdr:col>
      <xdr:colOff>862186</xdr:colOff>
      <xdr:row>1</xdr:row>
      <xdr:rowOff>60960</xdr:rowOff>
    </xdr:from>
    <xdr:to>
      <xdr:col>11</xdr:col>
      <xdr:colOff>630029</xdr:colOff>
      <xdr:row>3</xdr:row>
      <xdr:rowOff>24283</xdr:rowOff>
    </xdr:to>
    <xdr:sp macro="" textlink="">
      <xdr:nvSpPr>
        <xdr:cNvPr id="18" name="B ALL DATA PAGE">
          <a:hlinkClick xmlns:r="http://schemas.openxmlformats.org/officeDocument/2006/relationships" r:id="rId5" tooltip="Back to All Data Page"/>
          <a:extLst>
            <a:ext uri="{FF2B5EF4-FFF2-40B4-BE49-F238E27FC236}">
              <a16:creationId xmlns:a16="http://schemas.microsoft.com/office/drawing/2014/main" id="{21F120F7-3095-46AF-A74C-F16DA24B88AB}"/>
            </a:ext>
          </a:extLst>
        </xdr:cNvPr>
        <xdr:cNvSpPr/>
      </xdr:nvSpPr>
      <xdr:spPr>
        <a:xfrm>
          <a:off x="14911891" y="83596"/>
          <a:ext cx="989258" cy="478569"/>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7</xdr:col>
      <xdr:colOff>938479</xdr:colOff>
      <xdr:row>1</xdr:row>
      <xdr:rowOff>60960</xdr:rowOff>
    </xdr:from>
    <xdr:to>
      <xdr:col>8</xdr:col>
      <xdr:colOff>515282</xdr:colOff>
      <xdr:row>3</xdr:row>
      <xdr:rowOff>24283</xdr:rowOff>
    </xdr:to>
    <xdr:sp macro="" textlink="">
      <xdr:nvSpPr>
        <xdr:cNvPr id="19" name="B AGE PAGE">
          <a:hlinkClick xmlns:r="http://schemas.openxmlformats.org/officeDocument/2006/relationships" r:id="rId6" tooltip="Back to Age &amp; Gender Page"/>
          <a:extLst>
            <a:ext uri="{FF2B5EF4-FFF2-40B4-BE49-F238E27FC236}">
              <a16:creationId xmlns:a16="http://schemas.microsoft.com/office/drawing/2014/main" id="{CDDCDAA7-5CAE-48DC-BA82-E8B14EFC5B33}"/>
            </a:ext>
          </a:extLst>
        </xdr:cNvPr>
        <xdr:cNvSpPr/>
      </xdr:nvSpPr>
      <xdr:spPr>
        <a:xfrm>
          <a:off x="10595479" y="83596"/>
          <a:ext cx="984710"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a:t>
          </a:r>
          <a:r>
            <a:rPr lang="en-US" sz="1100" baseline="0">
              <a:latin typeface="Arial" panose="020B0604020202020204" pitchFamily="34" charset="0"/>
              <a:cs typeface="Arial" panose="020B0604020202020204" pitchFamily="34" charset="0"/>
            </a:rPr>
            <a:t>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9</xdr:col>
      <xdr:colOff>1242024</xdr:colOff>
      <xdr:row>1</xdr:row>
      <xdr:rowOff>60960</xdr:rowOff>
    </xdr:from>
    <xdr:to>
      <xdr:col>10</xdr:col>
      <xdr:colOff>785736</xdr:colOff>
      <xdr:row>3</xdr:row>
      <xdr:rowOff>24283</xdr:rowOff>
    </xdr:to>
    <xdr:sp macro="" textlink="">
      <xdr:nvSpPr>
        <xdr:cNvPr id="20" name="B TERMS PAGE">
          <a:hlinkClick xmlns:r="http://schemas.openxmlformats.org/officeDocument/2006/relationships" r:id="rId7" tooltip="Back to Appendix &amp; Terms Page"/>
          <a:extLst>
            <a:ext uri="{FF2B5EF4-FFF2-40B4-BE49-F238E27FC236}">
              <a16:creationId xmlns:a16="http://schemas.microsoft.com/office/drawing/2014/main" id="{79224E6F-DE2E-4771-BC5B-263F671339FE}"/>
            </a:ext>
          </a:extLst>
        </xdr:cNvPr>
        <xdr:cNvSpPr/>
      </xdr:nvSpPr>
      <xdr:spPr>
        <a:xfrm>
          <a:off x="13838551" y="83596"/>
          <a:ext cx="982920"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6</xdr:col>
      <xdr:colOff>1241330</xdr:colOff>
      <xdr:row>1</xdr:row>
      <xdr:rowOff>60960</xdr:rowOff>
    </xdr:from>
    <xdr:to>
      <xdr:col>7</xdr:col>
      <xdr:colOff>862033</xdr:colOff>
      <xdr:row>3</xdr:row>
      <xdr:rowOff>24283</xdr:rowOff>
    </xdr:to>
    <xdr:sp macro="" textlink="">
      <xdr:nvSpPr>
        <xdr:cNvPr id="23" name="B IHSS SERV PAGE">
          <a:hlinkClick xmlns:r="http://schemas.openxmlformats.org/officeDocument/2006/relationships" r:id="rId8" tooltip="Back to IHSS Services Page"/>
          <a:extLst>
            <a:ext uri="{FF2B5EF4-FFF2-40B4-BE49-F238E27FC236}">
              <a16:creationId xmlns:a16="http://schemas.microsoft.com/office/drawing/2014/main" id="{36B112D8-679C-433B-98F2-E0EE7E0B12B4}"/>
            </a:ext>
          </a:extLst>
        </xdr:cNvPr>
        <xdr:cNvSpPr/>
      </xdr:nvSpPr>
      <xdr:spPr>
        <a:xfrm>
          <a:off x="9513326" y="83596"/>
          <a:ext cx="991737"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5</xdr:col>
      <xdr:colOff>403604</xdr:colOff>
      <xdr:row>1</xdr:row>
      <xdr:rowOff>60960</xdr:rowOff>
    </xdr:from>
    <xdr:to>
      <xdr:col>6</xdr:col>
      <xdr:colOff>58452</xdr:colOff>
      <xdr:row>3</xdr:row>
      <xdr:rowOff>24283</xdr:rowOff>
    </xdr:to>
    <xdr:sp macro="" textlink="">
      <xdr:nvSpPr>
        <xdr:cNvPr id="24" name="B ABD PAGE">
          <a:hlinkClick xmlns:r="http://schemas.openxmlformats.org/officeDocument/2006/relationships" r:id="rId9" tooltip="Back to Aged, Blind, or Disabled Page"/>
          <a:extLst>
            <a:ext uri="{FF2B5EF4-FFF2-40B4-BE49-F238E27FC236}">
              <a16:creationId xmlns:a16="http://schemas.microsoft.com/office/drawing/2014/main" id="{52CA58E4-EF5A-413D-A440-734A1E27B4FE}"/>
            </a:ext>
          </a:extLst>
        </xdr:cNvPr>
        <xdr:cNvSpPr/>
      </xdr:nvSpPr>
      <xdr:spPr>
        <a:xfrm>
          <a:off x="7350653" y="83596"/>
          <a:ext cx="992793"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9</xdr:col>
      <xdr:colOff>149429</xdr:colOff>
      <xdr:row>1</xdr:row>
      <xdr:rowOff>60960</xdr:rowOff>
    </xdr:from>
    <xdr:to>
      <xdr:col>9</xdr:col>
      <xdr:colOff>1142718</xdr:colOff>
      <xdr:row>3</xdr:row>
      <xdr:rowOff>24283</xdr:rowOff>
    </xdr:to>
    <xdr:sp macro="" textlink="">
      <xdr:nvSpPr>
        <xdr:cNvPr id="25" name="B PROV DET PAGE">
          <a:hlinkClick xmlns:r="http://schemas.openxmlformats.org/officeDocument/2006/relationships" r:id="rId10" tooltip="Back to Provider Page"/>
          <a:extLst>
            <a:ext uri="{FF2B5EF4-FFF2-40B4-BE49-F238E27FC236}">
              <a16:creationId xmlns:a16="http://schemas.microsoft.com/office/drawing/2014/main" id="{5A474615-DB6D-46A5-8C99-DD5871AEBCD9}"/>
            </a:ext>
          </a:extLst>
        </xdr:cNvPr>
        <xdr:cNvSpPr/>
      </xdr:nvSpPr>
      <xdr:spPr>
        <a:xfrm>
          <a:off x="12754846" y="83596"/>
          <a:ext cx="993289"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6</xdr:col>
      <xdr:colOff>175538</xdr:colOff>
      <xdr:row>1</xdr:row>
      <xdr:rowOff>60960</xdr:rowOff>
    </xdr:from>
    <xdr:to>
      <xdr:col>6</xdr:col>
      <xdr:colOff>1144564</xdr:colOff>
      <xdr:row>3</xdr:row>
      <xdr:rowOff>24283</xdr:rowOff>
    </xdr:to>
    <xdr:sp macro="" textlink="">
      <xdr:nvSpPr>
        <xdr:cNvPr id="26" name="B IHSS PROG PAGE">
          <a:hlinkClick xmlns:r="http://schemas.openxmlformats.org/officeDocument/2006/relationships" r:id="rId11" tooltip="Back to IHSS Programs Page"/>
          <a:extLst>
            <a:ext uri="{FF2B5EF4-FFF2-40B4-BE49-F238E27FC236}">
              <a16:creationId xmlns:a16="http://schemas.microsoft.com/office/drawing/2014/main" id="{D5977F70-B9F6-4B3E-A825-F1567B5A2CE3}"/>
            </a:ext>
          </a:extLst>
        </xdr:cNvPr>
        <xdr:cNvSpPr/>
      </xdr:nvSpPr>
      <xdr:spPr>
        <a:xfrm>
          <a:off x="8433862" y="83596"/>
          <a:ext cx="989048"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a:t>
          </a:r>
          <a:r>
            <a:rPr lang="en-US" sz="1100" baseline="0">
              <a:latin typeface="Arial" panose="020B0604020202020204" pitchFamily="34" charset="0"/>
              <a:cs typeface="Arial" panose="020B0604020202020204" pitchFamily="34" charset="0"/>
            </a:rPr>
            <a:t> Equity</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8</xdr:col>
      <xdr:colOff>596808</xdr:colOff>
      <xdr:row>1</xdr:row>
      <xdr:rowOff>60960</xdr:rowOff>
    </xdr:from>
    <xdr:to>
      <xdr:col>9</xdr:col>
      <xdr:colOff>60283</xdr:colOff>
      <xdr:row>3</xdr:row>
      <xdr:rowOff>24283</xdr:rowOff>
    </xdr:to>
    <xdr:sp macro="" textlink="">
      <xdr:nvSpPr>
        <xdr:cNvPr id="27" name="B ETHNICITY PAGE">
          <a:hlinkClick xmlns:r="http://schemas.openxmlformats.org/officeDocument/2006/relationships" r:id="rId12" tooltip="Back to Ethnicity &amp; Language Page"/>
          <a:extLst>
            <a:ext uri="{FF2B5EF4-FFF2-40B4-BE49-F238E27FC236}">
              <a16:creationId xmlns:a16="http://schemas.microsoft.com/office/drawing/2014/main" id="{03BB1693-3677-46CA-8BB0-CB64F87F2174}"/>
            </a:ext>
          </a:extLst>
        </xdr:cNvPr>
        <xdr:cNvSpPr/>
      </xdr:nvSpPr>
      <xdr:spPr>
        <a:xfrm>
          <a:off x="11670605" y="83596"/>
          <a:ext cx="993825"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xdr:col>
      <xdr:colOff>555305</xdr:colOff>
      <xdr:row>1</xdr:row>
      <xdr:rowOff>60960</xdr:rowOff>
    </xdr:from>
    <xdr:to>
      <xdr:col>5</xdr:col>
      <xdr:colOff>328930</xdr:colOff>
      <xdr:row>3</xdr:row>
      <xdr:rowOff>24283</xdr:rowOff>
    </xdr:to>
    <xdr:sp macro="" textlink="">
      <xdr:nvSpPr>
        <xdr:cNvPr id="29" name="B GEN DATA PAGE">
          <a:hlinkClick xmlns:r="http://schemas.openxmlformats.org/officeDocument/2006/relationships" r:id="rId13" tooltip="IHSS Applicants Page (Current)"/>
          <a:extLst>
            <a:ext uri="{FF2B5EF4-FFF2-40B4-BE49-F238E27FC236}">
              <a16:creationId xmlns:a16="http://schemas.microsoft.com/office/drawing/2014/main" id="{1244DC56-2E6F-4702-BBEE-FEE3C5862123}"/>
            </a:ext>
          </a:extLst>
        </xdr:cNvPr>
        <xdr:cNvSpPr/>
      </xdr:nvSpPr>
      <xdr:spPr>
        <a:xfrm>
          <a:off x="6275609" y="83596"/>
          <a:ext cx="984628"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0.926</cdr:x>
      <cdr:y>0.95352</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493258" y="3699510"/>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11.xml><?xml version="1.0" encoding="utf-8"?>
<c:userShapes xmlns:c="http://schemas.openxmlformats.org/drawingml/2006/chart">
  <cdr:relSizeAnchor xmlns:cdr="http://schemas.openxmlformats.org/drawingml/2006/chartDrawing">
    <cdr:from>
      <cdr:x>0.92628</cdr:x>
      <cdr:y>0.95323</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524114" y="3675381"/>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12.xml><?xml version="1.0" encoding="utf-8"?>
<c:userShapes xmlns:c="http://schemas.openxmlformats.org/drawingml/2006/chart">
  <cdr:relSizeAnchor xmlns:cdr="http://schemas.openxmlformats.org/drawingml/2006/chartDrawing">
    <cdr:from>
      <cdr:x>0.92598</cdr:x>
      <cdr:y>0.9536</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490718" y="3705860"/>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13.xml><?xml version="1.0" encoding="utf-8"?>
<c:userShapes xmlns:c="http://schemas.openxmlformats.org/drawingml/2006/chart">
  <cdr:relSizeAnchor xmlns:cdr="http://schemas.openxmlformats.org/drawingml/2006/chartDrawing">
    <cdr:from>
      <cdr:x>0.92628</cdr:x>
      <cdr:y>0.95301</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524114" y="3657601"/>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14.xml><?xml version="1.0" encoding="utf-8"?>
<c:userShapes xmlns:c="http://schemas.openxmlformats.org/drawingml/2006/chart">
  <cdr:relSizeAnchor xmlns:cdr="http://schemas.openxmlformats.org/drawingml/2006/chartDrawing">
    <cdr:from>
      <cdr:x>0.92602</cdr:x>
      <cdr:y>0.95343</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495798" y="3691890"/>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15.xml><?xml version="1.0" encoding="utf-8"?>
<c:userShapes xmlns:c="http://schemas.openxmlformats.org/drawingml/2006/chart">
  <cdr:relSizeAnchor xmlns:cdr="http://schemas.openxmlformats.org/drawingml/2006/chartDrawing">
    <cdr:from>
      <cdr:x>0.92628</cdr:x>
      <cdr:y>0.95344</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524114" y="3693161"/>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16.xml><?xml version="1.0" encoding="utf-8"?>
<c:userShapes xmlns:c="http://schemas.openxmlformats.org/drawingml/2006/chart">
  <cdr:relSizeAnchor xmlns:cdr="http://schemas.openxmlformats.org/drawingml/2006/chartDrawing">
    <cdr:from>
      <cdr:x>0.92599</cdr:x>
      <cdr:y>0.95329</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491988" y="3703320"/>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17.xml><?xml version="1.0" encoding="utf-8"?>
<c:userShapes xmlns:c="http://schemas.openxmlformats.org/drawingml/2006/chart">
  <cdr:relSizeAnchor xmlns:cdr="http://schemas.openxmlformats.org/drawingml/2006/chartDrawing">
    <cdr:from>
      <cdr:x>0.92628</cdr:x>
      <cdr:y>0.95326</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524114" y="3677921"/>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18.xml><?xml version="1.0" encoding="utf-8"?>
<c:userShapes xmlns:c="http://schemas.openxmlformats.org/drawingml/2006/chart">
  <cdr:relSizeAnchor xmlns:cdr="http://schemas.openxmlformats.org/drawingml/2006/chartDrawing">
    <cdr:from>
      <cdr:x>0.926</cdr:x>
      <cdr:y>0.95367</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493258" y="3712210"/>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19.xml><?xml version="1.0" encoding="utf-8"?>
<c:userShapes xmlns:c="http://schemas.openxmlformats.org/drawingml/2006/chart">
  <cdr:relSizeAnchor xmlns:cdr="http://schemas.openxmlformats.org/drawingml/2006/chartDrawing">
    <cdr:from>
      <cdr:x>0.92628</cdr:x>
      <cdr:y>0.95372</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524114" y="3716021"/>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2.xml><?xml version="1.0" encoding="utf-8"?>
<xdr:wsDr xmlns:xdr="http://schemas.openxmlformats.org/drawingml/2006/spreadsheetDrawing" xmlns:a="http://schemas.openxmlformats.org/drawingml/2006/main">
  <xdr:twoCellAnchor editAs="absolute">
    <xdr:from>
      <xdr:col>0</xdr:col>
      <xdr:colOff>1266825</xdr:colOff>
      <xdr:row>7</xdr:row>
      <xdr:rowOff>175150</xdr:rowOff>
    </xdr:from>
    <xdr:to>
      <xdr:col>6</xdr:col>
      <xdr:colOff>169545</xdr:colOff>
      <xdr:row>20</xdr:row>
      <xdr:rowOff>39895</xdr:rowOff>
    </xdr:to>
    <xdr:graphicFrame macro="">
      <xdr:nvGraphicFramePr>
        <xdr:cNvPr id="2" name="C AUTH HOURS HOME" descr="Chart for Authorized Hours per Recipient.  Table located on the General Data Pag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1266825</xdr:colOff>
      <xdr:row>20</xdr:row>
      <xdr:rowOff>142167</xdr:rowOff>
    </xdr:from>
    <xdr:to>
      <xdr:col>6</xdr:col>
      <xdr:colOff>169545</xdr:colOff>
      <xdr:row>34</xdr:row>
      <xdr:rowOff>35487</xdr:rowOff>
    </xdr:to>
    <xdr:graphicFrame macro="">
      <xdr:nvGraphicFramePr>
        <xdr:cNvPr id="3" name="C ETS HOME" descr="Chart for Electronic Timesheet System Enrolled.  Table located on the General Data Page.">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1266825</xdr:colOff>
      <xdr:row>34</xdr:row>
      <xdr:rowOff>137759</xdr:rowOff>
    </xdr:from>
    <xdr:to>
      <xdr:col>6</xdr:col>
      <xdr:colOff>169545</xdr:colOff>
      <xdr:row>48</xdr:row>
      <xdr:rowOff>31079</xdr:rowOff>
    </xdr:to>
    <xdr:graphicFrame macro="">
      <xdr:nvGraphicFramePr>
        <xdr:cNvPr id="4" name="C SI NSI HOME" descr="Chart for Severely Impaired and Non Severely Impaired Recipients.  Table located on the General Data Page.">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1266825</xdr:colOff>
      <xdr:row>48</xdr:row>
      <xdr:rowOff>173355</xdr:rowOff>
    </xdr:from>
    <xdr:to>
      <xdr:col>6</xdr:col>
      <xdr:colOff>169545</xdr:colOff>
      <xdr:row>62</xdr:row>
      <xdr:rowOff>66675</xdr:rowOff>
    </xdr:to>
    <xdr:graphicFrame macro="">
      <xdr:nvGraphicFramePr>
        <xdr:cNvPr id="5" name="C PSPM HOME" descr="Chart for Protective Supervision and Paramedical services of total Recipient.  Table located on the IHSS Services Page.">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582928</xdr:colOff>
      <xdr:row>20</xdr:row>
      <xdr:rowOff>153979</xdr:rowOff>
    </xdr:from>
    <xdr:to>
      <xdr:col>22</xdr:col>
      <xdr:colOff>375664</xdr:colOff>
      <xdr:row>34</xdr:row>
      <xdr:rowOff>47299</xdr:rowOff>
    </xdr:to>
    <xdr:graphicFrame macro="">
      <xdr:nvGraphicFramePr>
        <xdr:cNvPr id="6" name="C PROV LIVEIN HOME" descr="Chart for Percent of Total Live-in Providers.  Table located on the Provider Details Page.">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582928</xdr:colOff>
      <xdr:row>7</xdr:row>
      <xdr:rowOff>175150</xdr:rowOff>
    </xdr:from>
    <xdr:to>
      <xdr:col>22</xdr:col>
      <xdr:colOff>375664</xdr:colOff>
      <xdr:row>20</xdr:row>
      <xdr:rowOff>39895</xdr:rowOff>
    </xdr:to>
    <xdr:graphicFrame macro="">
      <xdr:nvGraphicFramePr>
        <xdr:cNvPr id="7" name="C ABD HOME" descr="Chart for Recipients: aged, blind, or disabled.  Table located on the Aged, Blind, or Disabled Page.">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15</xdr:col>
      <xdr:colOff>582928</xdr:colOff>
      <xdr:row>34</xdr:row>
      <xdr:rowOff>132808</xdr:rowOff>
    </xdr:from>
    <xdr:to>
      <xdr:col>22</xdr:col>
      <xdr:colOff>375664</xdr:colOff>
      <xdr:row>48</xdr:row>
      <xdr:rowOff>26128</xdr:rowOff>
    </xdr:to>
    <xdr:graphicFrame macro="">
      <xdr:nvGraphicFramePr>
        <xdr:cNvPr id="8" name="C GENDER HOME" descr="Chart for Recipients: Gender.  Table located on the Age/Gender Page.">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6</xdr:col>
      <xdr:colOff>223343</xdr:colOff>
      <xdr:row>7</xdr:row>
      <xdr:rowOff>175150</xdr:rowOff>
    </xdr:from>
    <xdr:to>
      <xdr:col>15</xdr:col>
      <xdr:colOff>491031</xdr:colOff>
      <xdr:row>34</xdr:row>
      <xdr:rowOff>38100</xdr:rowOff>
    </xdr:to>
    <xdr:graphicFrame macro="">
      <xdr:nvGraphicFramePr>
        <xdr:cNvPr id="9" name="C RECIP SPOKEN HOME" descr="Chart for Recipients: spoken languages (Top 10).  Table located on the Ethnicity and Language Page.">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15</xdr:col>
      <xdr:colOff>581170</xdr:colOff>
      <xdr:row>48</xdr:row>
      <xdr:rowOff>168787</xdr:rowOff>
    </xdr:from>
    <xdr:to>
      <xdr:col>22</xdr:col>
      <xdr:colOff>373906</xdr:colOff>
      <xdr:row>62</xdr:row>
      <xdr:rowOff>62107</xdr:rowOff>
    </xdr:to>
    <xdr:graphicFrame macro="">
      <xdr:nvGraphicFramePr>
        <xdr:cNvPr id="10" name="C BVI HOME" descr="Chart for Recipient: Blind and Visually Impaired.  Table located on the Aged, Blind, or Disabled Page.">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6</xdr:col>
      <xdr:colOff>242665</xdr:colOff>
      <xdr:row>34</xdr:row>
      <xdr:rowOff>133349</xdr:rowOff>
    </xdr:from>
    <xdr:to>
      <xdr:col>15</xdr:col>
      <xdr:colOff>508050</xdr:colOff>
      <xdr:row>62</xdr:row>
      <xdr:rowOff>66293</xdr:rowOff>
    </xdr:to>
    <xdr:graphicFrame macro="">
      <xdr:nvGraphicFramePr>
        <xdr:cNvPr id="23" name="C PROV SPOKEN HOME" descr="Chart for Providers: Spoken Languages (Top 10).  Table located on the Provider Details Page.">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3</xdr:col>
      <xdr:colOff>228600</xdr:colOff>
      <xdr:row>19</xdr:row>
      <xdr:rowOff>57148</xdr:rowOff>
    </xdr:from>
    <xdr:to>
      <xdr:col>6</xdr:col>
      <xdr:colOff>171450</xdr:colOff>
      <xdr:row>20</xdr:row>
      <xdr:rowOff>49528</xdr:rowOff>
    </xdr:to>
    <xdr:sp macro="" textlink="">
      <xdr:nvSpPr>
        <xdr:cNvPr id="24" name="B AUTH HOURS HYPER HOME">
          <a:hlinkClick xmlns:r="http://schemas.openxmlformats.org/officeDocument/2006/relationships" r:id="rId11" tooltip="Go to General Data Page"/>
          <a:extLst>
            <a:ext uri="{FF2B5EF4-FFF2-40B4-BE49-F238E27FC236}">
              <a16:creationId xmlns:a16="http://schemas.microsoft.com/office/drawing/2014/main" id="{00000000-0008-0000-0100-000018000000}"/>
            </a:ext>
          </a:extLst>
        </xdr:cNvPr>
        <xdr:cNvSpPr/>
      </xdr:nvSpPr>
      <xdr:spPr>
        <a:xfrm>
          <a:off x="3924300" y="3848098"/>
          <a:ext cx="1400175" cy="182880"/>
        </a:xfrm>
        <a:prstGeom prst="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a:t>
          </a:r>
          <a:r>
            <a:rPr lang="en-US" sz="1100" baseline="0">
              <a:latin typeface="Arial" panose="020B0604020202020204" pitchFamily="34" charset="0"/>
              <a:cs typeface="Arial" panose="020B0604020202020204" pitchFamily="34" charset="0"/>
            </a:rPr>
            <a:t> Data Page</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xdr:col>
      <xdr:colOff>485773</xdr:colOff>
      <xdr:row>5</xdr:row>
      <xdr:rowOff>0</xdr:rowOff>
    </xdr:from>
    <xdr:to>
      <xdr:col>20</xdr:col>
      <xdr:colOff>380999</xdr:colOff>
      <xdr:row>6</xdr:row>
      <xdr:rowOff>76201</xdr:rowOff>
    </xdr:to>
    <xdr:sp macro="" textlink="">
      <xdr:nvSpPr>
        <xdr:cNvPr id="25" name="B OVERVIEW BOX">
          <a:extLst>
            <a:ext uri="{FF2B5EF4-FFF2-40B4-BE49-F238E27FC236}">
              <a16:creationId xmlns:a16="http://schemas.microsoft.com/office/drawing/2014/main" id="{00000000-0008-0000-0100-000019000000}"/>
            </a:ext>
          </a:extLst>
        </xdr:cNvPr>
        <xdr:cNvSpPr txBox="1"/>
      </xdr:nvSpPr>
      <xdr:spPr>
        <a:xfrm>
          <a:off x="2314573" y="885825"/>
          <a:ext cx="11753851" cy="276226"/>
        </a:xfrm>
        <a:prstGeom prst="rect">
          <a:avLst/>
        </a:prstGeom>
        <a:solidFill>
          <a:schemeClr val="lt1"/>
        </a:solidFill>
        <a:ln w="38100" cmpd="sng">
          <a:solidFill>
            <a:srgbClr val="5E2828"/>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Arial" panose="020B0604020202020204" pitchFamily="34" charset="0"/>
              <a:cs typeface="Arial" panose="020B0604020202020204" pitchFamily="34" charset="0"/>
            </a:rPr>
            <a:t>This Page is a simple overview of the categories above.  For more in-depth information, click on a Page Button above or click the maroon box within chart of interest below.</a:t>
          </a:r>
        </a:p>
      </xdr:txBody>
    </xdr:sp>
    <xdr:clientData/>
  </xdr:twoCellAnchor>
  <xdr:twoCellAnchor editAs="absolute">
    <xdr:from>
      <xdr:col>3</xdr:col>
      <xdr:colOff>235619</xdr:colOff>
      <xdr:row>33</xdr:row>
      <xdr:rowOff>42111</xdr:rowOff>
    </xdr:from>
    <xdr:to>
      <xdr:col>6</xdr:col>
      <xdr:colOff>166438</xdr:colOff>
      <xdr:row>34</xdr:row>
      <xdr:rowOff>34491</xdr:rowOff>
    </xdr:to>
    <xdr:sp macro="" textlink="">
      <xdr:nvSpPr>
        <xdr:cNvPr id="26" name="B ETS HYPER HOME">
          <a:hlinkClick xmlns:r="http://schemas.openxmlformats.org/officeDocument/2006/relationships" r:id="rId11" tooltip="Go to General Data Page"/>
          <a:extLst>
            <a:ext uri="{FF2B5EF4-FFF2-40B4-BE49-F238E27FC236}">
              <a16:creationId xmlns:a16="http://schemas.microsoft.com/office/drawing/2014/main" id="{00000000-0008-0000-0100-00001A000000}"/>
            </a:ext>
          </a:extLst>
        </xdr:cNvPr>
        <xdr:cNvSpPr/>
      </xdr:nvSpPr>
      <xdr:spPr>
        <a:xfrm>
          <a:off x="3935330" y="6509085"/>
          <a:ext cx="1394661" cy="182880"/>
        </a:xfrm>
        <a:prstGeom prst="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 Page</a:t>
          </a:r>
        </a:p>
      </xdr:txBody>
    </xdr:sp>
    <xdr:clientData/>
  </xdr:twoCellAnchor>
  <xdr:twoCellAnchor editAs="absolute">
    <xdr:from>
      <xdr:col>3</xdr:col>
      <xdr:colOff>147387</xdr:colOff>
      <xdr:row>61</xdr:row>
      <xdr:rowOff>76199</xdr:rowOff>
    </xdr:from>
    <xdr:to>
      <xdr:col>6</xdr:col>
      <xdr:colOff>175961</xdr:colOff>
      <xdr:row>62</xdr:row>
      <xdr:rowOff>68579</xdr:rowOff>
    </xdr:to>
    <xdr:sp macro="" textlink="">
      <xdr:nvSpPr>
        <xdr:cNvPr id="28" name="B PSPM HYPER HOME">
          <a:hlinkClick xmlns:r="http://schemas.openxmlformats.org/officeDocument/2006/relationships" r:id="rId12" tooltip="Go to IHSS Services Page"/>
          <a:extLst>
            <a:ext uri="{FF2B5EF4-FFF2-40B4-BE49-F238E27FC236}">
              <a16:creationId xmlns:a16="http://schemas.microsoft.com/office/drawing/2014/main" id="{00000000-0008-0000-0100-00001C000000}"/>
            </a:ext>
          </a:extLst>
        </xdr:cNvPr>
        <xdr:cNvSpPr/>
      </xdr:nvSpPr>
      <xdr:spPr>
        <a:xfrm>
          <a:off x="3843087" y="11868149"/>
          <a:ext cx="1485899" cy="182880"/>
        </a:xfrm>
        <a:prstGeom prst="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 Page</a:t>
          </a:r>
        </a:p>
      </xdr:txBody>
    </xdr:sp>
    <xdr:clientData/>
  </xdr:twoCellAnchor>
  <xdr:twoCellAnchor editAs="absolute">
    <xdr:from>
      <xdr:col>19</xdr:col>
      <xdr:colOff>66675</xdr:colOff>
      <xdr:row>19</xdr:row>
      <xdr:rowOff>57150</xdr:rowOff>
    </xdr:from>
    <xdr:to>
      <xdr:col>22</xdr:col>
      <xdr:colOff>371475</xdr:colOff>
      <xdr:row>20</xdr:row>
      <xdr:rowOff>49530</xdr:rowOff>
    </xdr:to>
    <xdr:sp macro="" textlink="">
      <xdr:nvSpPr>
        <xdr:cNvPr id="29" name="B RECIP ABD HYPER HOME">
          <a:hlinkClick xmlns:r="http://schemas.openxmlformats.org/officeDocument/2006/relationships" r:id="rId13" tooltip="Go to Aged, Blind, or Disabled Page"/>
          <a:extLst>
            <a:ext uri="{FF2B5EF4-FFF2-40B4-BE49-F238E27FC236}">
              <a16:creationId xmlns:a16="http://schemas.microsoft.com/office/drawing/2014/main" id="{00000000-0008-0000-0100-00001D000000}"/>
            </a:ext>
          </a:extLst>
        </xdr:cNvPr>
        <xdr:cNvSpPr/>
      </xdr:nvSpPr>
      <xdr:spPr>
        <a:xfrm>
          <a:off x="13144500" y="3848100"/>
          <a:ext cx="2133600" cy="182880"/>
        </a:xfrm>
        <a:prstGeom prst="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 Blind, or Disabled Page</a:t>
          </a:r>
        </a:p>
      </xdr:txBody>
    </xdr:sp>
    <xdr:clientData/>
  </xdr:twoCellAnchor>
  <xdr:twoCellAnchor editAs="absolute">
    <xdr:from>
      <xdr:col>20</xdr:col>
      <xdr:colOff>38351</xdr:colOff>
      <xdr:row>33</xdr:row>
      <xdr:rowOff>51885</xdr:rowOff>
    </xdr:from>
    <xdr:to>
      <xdr:col>22</xdr:col>
      <xdr:colOff>376488</xdr:colOff>
      <xdr:row>34</xdr:row>
      <xdr:rowOff>44265</xdr:rowOff>
    </xdr:to>
    <xdr:sp macro="" textlink="">
      <xdr:nvSpPr>
        <xdr:cNvPr id="30" name="B PROV LIVEIN HYPER HOME">
          <a:hlinkClick xmlns:r="http://schemas.openxmlformats.org/officeDocument/2006/relationships" r:id="rId14" tooltip="Go to Provider Details Page"/>
          <a:extLst>
            <a:ext uri="{FF2B5EF4-FFF2-40B4-BE49-F238E27FC236}">
              <a16:creationId xmlns:a16="http://schemas.microsoft.com/office/drawing/2014/main" id="{00000000-0008-0000-0100-00001E000000}"/>
            </a:ext>
          </a:extLst>
        </xdr:cNvPr>
        <xdr:cNvSpPr/>
      </xdr:nvSpPr>
      <xdr:spPr>
        <a:xfrm>
          <a:off x="13764377" y="6518859"/>
          <a:ext cx="1561348" cy="182880"/>
        </a:xfrm>
        <a:prstGeom prst="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 Page</a:t>
          </a:r>
        </a:p>
      </xdr:txBody>
    </xdr:sp>
    <xdr:clientData/>
  </xdr:twoCellAnchor>
  <xdr:twoCellAnchor editAs="absolute">
    <xdr:from>
      <xdr:col>19</xdr:col>
      <xdr:colOff>5014</xdr:colOff>
      <xdr:row>47</xdr:row>
      <xdr:rowOff>42111</xdr:rowOff>
    </xdr:from>
    <xdr:to>
      <xdr:col>21</xdr:col>
      <xdr:colOff>386014</xdr:colOff>
      <xdr:row>48</xdr:row>
      <xdr:rowOff>31985</xdr:rowOff>
    </xdr:to>
    <xdr:sp macro="" textlink="">
      <xdr:nvSpPr>
        <xdr:cNvPr id="31" name="B GENDER HYPER HOME">
          <a:hlinkClick xmlns:r="http://schemas.openxmlformats.org/officeDocument/2006/relationships" r:id="rId15" tooltip="Go to Age &amp; Gender Page"/>
          <a:extLst>
            <a:ext uri="{FF2B5EF4-FFF2-40B4-BE49-F238E27FC236}">
              <a16:creationId xmlns:a16="http://schemas.microsoft.com/office/drawing/2014/main" id="{00000000-0008-0000-0100-00001F000000}"/>
            </a:ext>
          </a:extLst>
        </xdr:cNvPr>
        <xdr:cNvSpPr/>
      </xdr:nvSpPr>
      <xdr:spPr>
        <a:xfrm>
          <a:off x="13082839" y="9167061"/>
          <a:ext cx="1600200" cy="180374"/>
        </a:xfrm>
        <a:prstGeom prst="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a:t>
          </a:r>
          <a:r>
            <a:rPr lang="en-US" sz="1100" baseline="0">
              <a:latin typeface="Arial" panose="020B0604020202020204" pitchFamily="34" charset="0"/>
              <a:cs typeface="Arial" panose="020B0604020202020204" pitchFamily="34" charset="0"/>
            </a:rPr>
            <a:t> &amp; </a:t>
          </a:r>
          <a:r>
            <a:rPr lang="en-US" sz="1100">
              <a:latin typeface="Arial" panose="020B0604020202020204" pitchFamily="34" charset="0"/>
              <a:cs typeface="Arial" panose="020B0604020202020204" pitchFamily="34" charset="0"/>
            </a:rPr>
            <a:t>Gender Page</a:t>
          </a:r>
        </a:p>
      </xdr:txBody>
    </xdr:sp>
    <xdr:clientData/>
  </xdr:twoCellAnchor>
  <xdr:twoCellAnchor editAs="absolute">
    <xdr:from>
      <xdr:col>19</xdr:col>
      <xdr:colOff>85975</xdr:colOff>
      <xdr:row>61</xdr:row>
      <xdr:rowOff>76199</xdr:rowOff>
    </xdr:from>
    <xdr:to>
      <xdr:col>22</xdr:col>
      <xdr:colOff>376488</xdr:colOff>
      <xdr:row>62</xdr:row>
      <xdr:rowOff>68579</xdr:rowOff>
    </xdr:to>
    <xdr:sp macro="" textlink="">
      <xdr:nvSpPr>
        <xdr:cNvPr id="32" name="B BVI HYPER HOME">
          <a:hlinkClick xmlns:r="http://schemas.openxmlformats.org/officeDocument/2006/relationships" r:id="rId13" tooltip="Go to Aged, Blind, or Disabled Page"/>
          <a:extLst>
            <a:ext uri="{FF2B5EF4-FFF2-40B4-BE49-F238E27FC236}">
              <a16:creationId xmlns:a16="http://schemas.microsoft.com/office/drawing/2014/main" id="{00000000-0008-0000-0100-000020000000}"/>
            </a:ext>
          </a:extLst>
        </xdr:cNvPr>
        <xdr:cNvSpPr/>
      </xdr:nvSpPr>
      <xdr:spPr>
        <a:xfrm>
          <a:off x="13163800" y="11868149"/>
          <a:ext cx="2119313" cy="182880"/>
        </a:xfrm>
        <a:prstGeom prst="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 Blind</a:t>
          </a:r>
          <a:r>
            <a:rPr lang="en-US" sz="1100" baseline="0">
              <a:latin typeface="Arial" panose="020B0604020202020204" pitchFamily="34" charset="0"/>
              <a:cs typeface="Arial" panose="020B0604020202020204" pitchFamily="34" charset="0"/>
            </a:rPr>
            <a:t>, or Disabled Page</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12</xdr:col>
      <xdr:colOff>180974</xdr:colOff>
      <xdr:row>61</xdr:row>
      <xdr:rowOff>76199</xdr:rowOff>
    </xdr:from>
    <xdr:to>
      <xdr:col>14</xdr:col>
      <xdr:colOff>514349</xdr:colOff>
      <xdr:row>62</xdr:row>
      <xdr:rowOff>68579</xdr:rowOff>
    </xdr:to>
    <xdr:sp macro="" textlink="">
      <xdr:nvSpPr>
        <xdr:cNvPr id="33" name="B PROV SPOKEN HYPER HOME">
          <a:hlinkClick xmlns:r="http://schemas.openxmlformats.org/officeDocument/2006/relationships" r:id="rId14" tooltip="Go to Provider Details Page"/>
          <a:extLst>
            <a:ext uri="{FF2B5EF4-FFF2-40B4-BE49-F238E27FC236}">
              <a16:creationId xmlns:a16="http://schemas.microsoft.com/office/drawing/2014/main" id="{00000000-0008-0000-0100-000021000000}"/>
            </a:ext>
          </a:extLst>
        </xdr:cNvPr>
        <xdr:cNvSpPr/>
      </xdr:nvSpPr>
      <xdr:spPr>
        <a:xfrm>
          <a:off x="8991599" y="11868149"/>
          <a:ext cx="1552575" cy="182880"/>
        </a:xfrm>
        <a:prstGeom prst="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r>
            <a:rPr lang="en-US" sz="1100" baseline="0">
              <a:latin typeface="Arial" panose="020B0604020202020204" pitchFamily="34" charset="0"/>
              <a:cs typeface="Arial" panose="020B0604020202020204" pitchFamily="34" charset="0"/>
            </a:rPr>
            <a:t> Page</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11</xdr:col>
      <xdr:colOff>419902</xdr:colOff>
      <xdr:row>33</xdr:row>
      <xdr:rowOff>42711</xdr:rowOff>
    </xdr:from>
    <xdr:to>
      <xdr:col>14</xdr:col>
      <xdr:colOff>511342</xdr:colOff>
      <xdr:row>34</xdr:row>
      <xdr:rowOff>35091</xdr:rowOff>
    </xdr:to>
    <xdr:sp macro="" textlink="">
      <xdr:nvSpPr>
        <xdr:cNvPr id="34" name="B RECIP SPOKEN HYPER HOME">
          <a:hlinkClick xmlns:r="http://schemas.openxmlformats.org/officeDocument/2006/relationships" r:id="rId16" tooltip="Go to Ethnicity &amp; Language Page"/>
          <a:extLst>
            <a:ext uri="{FF2B5EF4-FFF2-40B4-BE49-F238E27FC236}">
              <a16:creationId xmlns:a16="http://schemas.microsoft.com/office/drawing/2014/main" id="{00000000-0008-0000-0100-000022000000}"/>
            </a:ext>
          </a:extLst>
        </xdr:cNvPr>
        <xdr:cNvSpPr/>
      </xdr:nvSpPr>
      <xdr:spPr>
        <a:xfrm>
          <a:off x="8620927" y="6500661"/>
          <a:ext cx="1920240" cy="182880"/>
        </a:xfrm>
        <a:prstGeom prst="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 Page</a:t>
          </a:r>
        </a:p>
      </xdr:txBody>
    </xdr:sp>
    <xdr:clientData/>
  </xdr:twoCellAnchor>
  <xdr:twoCellAnchor editAs="absolute">
    <xdr:from>
      <xdr:col>0</xdr:col>
      <xdr:colOff>0</xdr:colOff>
      <xdr:row>1</xdr:row>
      <xdr:rowOff>0</xdr:rowOff>
    </xdr:from>
    <xdr:to>
      <xdr:col>1</xdr:col>
      <xdr:colOff>457200</xdr:colOff>
      <xdr:row>3</xdr:row>
      <xdr:rowOff>23084</xdr:rowOff>
    </xdr:to>
    <xdr:sp macro="" textlink="">
      <xdr:nvSpPr>
        <xdr:cNvPr id="36" name="B NAME AT" descr="County Name and Link back to county selection">
          <a:hlinkClick xmlns:r="http://schemas.openxmlformats.org/officeDocument/2006/relationships" r:id="rId17" tooltip="Back to County Selection"/>
          <a:extLst>
            <a:ext uri="{FF2B5EF4-FFF2-40B4-BE49-F238E27FC236}">
              <a16:creationId xmlns:a16="http://schemas.microsoft.com/office/drawing/2014/main" id="{00000000-0008-0000-0100-000024000000}"/>
            </a:ext>
          </a:extLst>
        </xdr:cNvPr>
        <xdr:cNvSpPr/>
      </xdr:nvSpPr>
      <xdr:spPr>
        <a:xfrm>
          <a:off x="0" y="9525"/>
          <a:ext cx="2286000" cy="546959"/>
        </a:xfrm>
        <a:prstGeom prst="round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127067</xdr:colOff>
      <xdr:row>1</xdr:row>
      <xdr:rowOff>66675</xdr:rowOff>
    </xdr:from>
    <xdr:to>
      <xdr:col>5</xdr:col>
      <xdr:colOff>523307</xdr:colOff>
      <xdr:row>3</xdr:row>
      <xdr:rowOff>21463</xdr:rowOff>
    </xdr:to>
    <xdr:sp macro="" textlink="">
      <xdr:nvSpPr>
        <xdr:cNvPr id="37" name="B HOME PAGE">
          <a:hlinkClick xmlns:r="http://schemas.openxmlformats.org/officeDocument/2006/relationships" r:id="rId18" tooltip="Dashboard Page (Current)"/>
          <a:extLst>
            <a:ext uri="{FF2B5EF4-FFF2-40B4-BE49-F238E27FC236}">
              <a16:creationId xmlns:a16="http://schemas.microsoft.com/office/drawing/2014/main" id="{00000000-0008-0000-0100-000025000000}"/>
            </a:ext>
          </a:extLst>
        </xdr:cNvPr>
        <xdr:cNvSpPr/>
      </xdr:nvSpPr>
      <xdr:spPr>
        <a:xfrm>
          <a:off x="4049126" y="77881"/>
          <a:ext cx="1001357" cy="481464"/>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xdr:col>
      <xdr:colOff>1</xdr:colOff>
      <xdr:row>47</xdr:row>
      <xdr:rowOff>37599</xdr:rowOff>
    </xdr:from>
    <xdr:to>
      <xdr:col>6</xdr:col>
      <xdr:colOff>171451</xdr:colOff>
      <xdr:row>48</xdr:row>
      <xdr:rowOff>29979</xdr:rowOff>
    </xdr:to>
    <xdr:sp macro="" textlink="">
      <xdr:nvSpPr>
        <xdr:cNvPr id="39" name="B ETS HYPER HOME">
          <a:hlinkClick xmlns:r="http://schemas.openxmlformats.org/officeDocument/2006/relationships" r:id="rId11" tooltip="Go to General Data Page"/>
          <a:extLst>
            <a:ext uri="{FF2B5EF4-FFF2-40B4-BE49-F238E27FC236}">
              <a16:creationId xmlns:a16="http://schemas.microsoft.com/office/drawing/2014/main" id="{00000000-0008-0000-0100-000027000000}"/>
            </a:ext>
          </a:extLst>
        </xdr:cNvPr>
        <xdr:cNvSpPr/>
      </xdr:nvSpPr>
      <xdr:spPr>
        <a:xfrm>
          <a:off x="3940343" y="9171573"/>
          <a:ext cx="1394661" cy="182880"/>
        </a:xfrm>
        <a:prstGeom prst="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 Page</a:t>
          </a:r>
        </a:p>
      </xdr:txBody>
    </xdr:sp>
    <xdr:clientData/>
  </xdr:twoCellAnchor>
  <xdr:twoCellAnchor editAs="absolute">
    <xdr:from>
      <xdr:col>0</xdr:col>
      <xdr:colOff>19049</xdr:colOff>
      <xdr:row>5</xdr:row>
      <xdr:rowOff>133350</xdr:rowOff>
    </xdr:from>
    <xdr:to>
      <xdr:col>0</xdr:col>
      <xdr:colOff>1438274</xdr:colOff>
      <xdr:row>7</xdr:row>
      <xdr:rowOff>16764</xdr:rowOff>
    </xdr:to>
    <xdr:sp macro="" textlink="Data_Date">
      <xdr:nvSpPr>
        <xdr:cNvPr id="49" name="B DATE GD">
          <a:extLst>
            <a:ext uri="{FF2B5EF4-FFF2-40B4-BE49-F238E27FC236}">
              <a16:creationId xmlns:a16="http://schemas.microsoft.com/office/drawing/2014/main" id="{00000000-0008-0000-0100-000031000000}"/>
            </a:ext>
          </a:extLst>
        </xdr:cNvPr>
        <xdr:cNvSpPr/>
      </xdr:nvSpPr>
      <xdr:spPr>
        <a:xfrm>
          <a:off x="19049" y="1019175"/>
          <a:ext cx="1419225" cy="283464"/>
        </a:xfrm>
        <a:prstGeom prst="roundRect">
          <a:avLst/>
        </a:prstGeom>
        <a:noFill/>
        <a:ln w="285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A870FEC-B8DF-4EF9-AB20-F08F0952E64C}" type="TxLink">
            <a:rPr lang="en-US" sz="1200" b="1" i="0" u="none" strike="noStrike">
              <a:solidFill>
                <a:srgbClr val="000000"/>
              </a:solidFill>
              <a:latin typeface="Arial"/>
              <a:cs typeface="Arial"/>
            </a:rPr>
            <a:pPr algn="ctr"/>
            <a:t>September 2023</a:t>
          </a:fld>
          <a:endParaRPr lang="en-US" sz="1100"/>
        </a:p>
      </xdr:txBody>
    </xdr:sp>
    <xdr:clientData/>
  </xdr:twoCellAnchor>
  <xdr:twoCellAnchor editAs="absolute">
    <xdr:from>
      <xdr:col>14</xdr:col>
      <xdr:colOff>504825</xdr:colOff>
      <xdr:row>33</xdr:row>
      <xdr:rowOff>42711</xdr:rowOff>
    </xdr:from>
    <xdr:to>
      <xdr:col>15</xdr:col>
      <xdr:colOff>495301</xdr:colOff>
      <xdr:row>34</xdr:row>
      <xdr:rowOff>35090</xdr:rowOff>
    </xdr:to>
    <xdr:sp macro="" textlink="">
      <xdr:nvSpPr>
        <xdr:cNvPr id="50" name="B RECIP SPOKEN HYPER HOME">
          <a:hlinkClick xmlns:r="http://schemas.openxmlformats.org/officeDocument/2006/relationships" r:id="rId19" tooltip="Go to De-Identification definition"/>
          <a:extLst>
            <a:ext uri="{FF2B5EF4-FFF2-40B4-BE49-F238E27FC236}">
              <a16:creationId xmlns:a16="http://schemas.microsoft.com/office/drawing/2014/main" id="{F15B51EC-3C34-42DB-89B4-449665FE3461}"/>
            </a:ext>
          </a:extLst>
        </xdr:cNvPr>
        <xdr:cNvSpPr/>
      </xdr:nvSpPr>
      <xdr:spPr>
        <a:xfrm>
          <a:off x="10534650" y="6500661"/>
          <a:ext cx="600076" cy="182879"/>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DDG</a:t>
          </a:r>
        </a:p>
      </xdr:txBody>
    </xdr:sp>
    <xdr:clientData/>
  </xdr:twoCellAnchor>
  <xdr:twoCellAnchor editAs="absolute">
    <xdr:from>
      <xdr:col>14</xdr:col>
      <xdr:colOff>514350</xdr:colOff>
      <xdr:row>61</xdr:row>
      <xdr:rowOff>76199</xdr:rowOff>
    </xdr:from>
    <xdr:to>
      <xdr:col>15</xdr:col>
      <xdr:colOff>504826</xdr:colOff>
      <xdr:row>62</xdr:row>
      <xdr:rowOff>68578</xdr:rowOff>
    </xdr:to>
    <xdr:sp macro="" textlink="">
      <xdr:nvSpPr>
        <xdr:cNvPr id="52" name="B RECIP SPOKEN HYPER HOME">
          <a:hlinkClick xmlns:r="http://schemas.openxmlformats.org/officeDocument/2006/relationships" r:id="rId19" tooltip="Go to De-Identification definition"/>
          <a:extLst>
            <a:ext uri="{FF2B5EF4-FFF2-40B4-BE49-F238E27FC236}">
              <a16:creationId xmlns:a16="http://schemas.microsoft.com/office/drawing/2014/main" id="{5BAB692A-B3DD-4850-B44F-93A579A418DE}"/>
            </a:ext>
          </a:extLst>
        </xdr:cNvPr>
        <xdr:cNvSpPr/>
      </xdr:nvSpPr>
      <xdr:spPr>
        <a:xfrm>
          <a:off x="10544175" y="11868149"/>
          <a:ext cx="600076" cy="182879"/>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DDG</a:t>
          </a:r>
        </a:p>
      </xdr:txBody>
    </xdr:sp>
    <xdr:clientData/>
  </xdr:twoCellAnchor>
  <xdr:twoCellAnchor editAs="absolute">
    <xdr:from>
      <xdr:col>21</xdr:col>
      <xdr:colOff>386013</xdr:colOff>
      <xdr:row>47</xdr:row>
      <xdr:rowOff>39606</xdr:rowOff>
    </xdr:from>
    <xdr:to>
      <xdr:col>22</xdr:col>
      <xdr:colOff>376489</xdr:colOff>
      <xdr:row>48</xdr:row>
      <xdr:rowOff>31985</xdr:rowOff>
    </xdr:to>
    <xdr:sp macro="" textlink="">
      <xdr:nvSpPr>
        <xdr:cNvPr id="53" name="B RECIP SPOKEN HYPER HOME">
          <a:hlinkClick xmlns:r="http://schemas.openxmlformats.org/officeDocument/2006/relationships" r:id="rId19" tooltip="Go to De-Identification definition"/>
          <a:extLst>
            <a:ext uri="{FF2B5EF4-FFF2-40B4-BE49-F238E27FC236}">
              <a16:creationId xmlns:a16="http://schemas.microsoft.com/office/drawing/2014/main" id="{164146AE-18EE-4DBB-9630-330D1626EF81}"/>
            </a:ext>
          </a:extLst>
        </xdr:cNvPr>
        <xdr:cNvSpPr/>
      </xdr:nvSpPr>
      <xdr:spPr>
        <a:xfrm>
          <a:off x="14683038" y="9164556"/>
          <a:ext cx="600076" cy="182879"/>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DDG</a:t>
          </a:r>
        </a:p>
      </xdr:txBody>
    </xdr:sp>
    <xdr:clientData/>
  </xdr:twoCellAnchor>
  <xdr:twoCellAnchor editAs="absolute">
    <xdr:from>
      <xdr:col>22</xdr:col>
      <xdr:colOff>74302</xdr:colOff>
      <xdr:row>1</xdr:row>
      <xdr:rowOff>66675</xdr:rowOff>
    </xdr:from>
    <xdr:to>
      <xdr:col>23</xdr:col>
      <xdr:colOff>256736</xdr:colOff>
      <xdr:row>3</xdr:row>
      <xdr:rowOff>18568</xdr:rowOff>
    </xdr:to>
    <xdr:sp macro="" textlink="">
      <xdr:nvSpPr>
        <xdr:cNvPr id="67" name="B ALL DATA PAGE">
          <a:hlinkClick xmlns:r="http://schemas.openxmlformats.org/officeDocument/2006/relationships" r:id="rId20" tooltip="Back to All Data Page"/>
          <a:extLst>
            <a:ext uri="{FF2B5EF4-FFF2-40B4-BE49-F238E27FC236}">
              <a16:creationId xmlns:a16="http://schemas.microsoft.com/office/drawing/2014/main" id="{5EED0156-17F3-4130-AB4D-381C9D1C2607}"/>
            </a:ext>
          </a:extLst>
        </xdr:cNvPr>
        <xdr:cNvSpPr/>
      </xdr:nvSpPr>
      <xdr:spPr>
        <a:xfrm>
          <a:off x="14888478" y="77881"/>
          <a:ext cx="989258" cy="478569"/>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14</xdr:col>
      <xdr:colOff>587213</xdr:colOff>
      <xdr:row>1</xdr:row>
      <xdr:rowOff>66675</xdr:rowOff>
    </xdr:from>
    <xdr:to>
      <xdr:col>16</xdr:col>
      <xdr:colOff>361687</xdr:colOff>
      <xdr:row>3</xdr:row>
      <xdr:rowOff>18568</xdr:rowOff>
    </xdr:to>
    <xdr:sp macro="" textlink="">
      <xdr:nvSpPr>
        <xdr:cNvPr id="68" name="B AGE PAGE">
          <a:hlinkClick xmlns:r="http://schemas.openxmlformats.org/officeDocument/2006/relationships" r:id="rId15" tooltip="Back to Age &amp; Gender Page"/>
          <a:extLst>
            <a:ext uri="{FF2B5EF4-FFF2-40B4-BE49-F238E27FC236}">
              <a16:creationId xmlns:a16="http://schemas.microsoft.com/office/drawing/2014/main" id="{0E1C8609-5627-4E12-AC2B-FA34C4E391B5}"/>
            </a:ext>
          </a:extLst>
        </xdr:cNvPr>
        <xdr:cNvSpPr/>
      </xdr:nvSpPr>
      <xdr:spPr>
        <a:xfrm>
          <a:off x="10560448" y="77881"/>
          <a:ext cx="984710"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a:t>
          </a:r>
          <a:r>
            <a:rPr lang="en-US" sz="1100" baseline="0">
              <a:latin typeface="Arial" panose="020B0604020202020204" pitchFamily="34" charset="0"/>
              <a:cs typeface="Arial" panose="020B0604020202020204" pitchFamily="34" charset="0"/>
            </a:rPr>
            <a:t>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20</xdr:col>
      <xdr:colOff>208294</xdr:colOff>
      <xdr:row>1</xdr:row>
      <xdr:rowOff>66675</xdr:rowOff>
    </xdr:from>
    <xdr:to>
      <xdr:col>21</xdr:col>
      <xdr:colOff>586096</xdr:colOff>
      <xdr:row>3</xdr:row>
      <xdr:rowOff>18568</xdr:rowOff>
    </xdr:to>
    <xdr:sp macro="" textlink="">
      <xdr:nvSpPr>
        <xdr:cNvPr id="69" name="B TERMS PAGE">
          <a:hlinkClick xmlns:r="http://schemas.openxmlformats.org/officeDocument/2006/relationships" r:id="rId21" tooltip="Back to Appendix &amp; Terms Page"/>
          <a:extLst>
            <a:ext uri="{FF2B5EF4-FFF2-40B4-BE49-F238E27FC236}">
              <a16:creationId xmlns:a16="http://schemas.microsoft.com/office/drawing/2014/main" id="{25A80280-6723-4077-8182-229A5F8CD544}"/>
            </a:ext>
          </a:extLst>
        </xdr:cNvPr>
        <xdr:cNvSpPr/>
      </xdr:nvSpPr>
      <xdr:spPr>
        <a:xfrm>
          <a:off x="13812235" y="77881"/>
          <a:ext cx="982920"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13</xdr:col>
      <xdr:colOff>107272</xdr:colOff>
      <xdr:row>1</xdr:row>
      <xdr:rowOff>66675</xdr:rowOff>
    </xdr:from>
    <xdr:to>
      <xdr:col>14</xdr:col>
      <xdr:colOff>493892</xdr:colOff>
      <xdr:row>3</xdr:row>
      <xdr:rowOff>18568</xdr:rowOff>
    </xdr:to>
    <xdr:sp macro="" textlink="">
      <xdr:nvSpPr>
        <xdr:cNvPr id="70" name="B IHSS SERV PAGE">
          <a:hlinkClick xmlns:r="http://schemas.openxmlformats.org/officeDocument/2006/relationships" r:id="rId12" tooltip="Back to IHSS Services Page"/>
          <a:extLst>
            <a:ext uri="{FF2B5EF4-FFF2-40B4-BE49-F238E27FC236}">
              <a16:creationId xmlns:a16="http://schemas.microsoft.com/office/drawing/2014/main" id="{BE327FF4-6920-4F29-9E5C-15E4E0B7A521}"/>
            </a:ext>
          </a:extLst>
        </xdr:cNvPr>
        <xdr:cNvSpPr/>
      </xdr:nvSpPr>
      <xdr:spPr>
        <a:xfrm>
          <a:off x="9475390" y="77881"/>
          <a:ext cx="991737"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9</xdr:col>
      <xdr:colOff>359260</xdr:colOff>
      <xdr:row>1</xdr:row>
      <xdr:rowOff>66675</xdr:rowOff>
    </xdr:from>
    <xdr:to>
      <xdr:col>11</xdr:col>
      <xdr:colOff>141818</xdr:colOff>
      <xdr:row>3</xdr:row>
      <xdr:rowOff>18568</xdr:rowOff>
    </xdr:to>
    <xdr:sp macro="" textlink="">
      <xdr:nvSpPr>
        <xdr:cNvPr id="71" name="B ABD PAGE">
          <a:hlinkClick xmlns:r="http://schemas.openxmlformats.org/officeDocument/2006/relationships" r:id="rId13" tooltip="Back to Aged, Blind, or Disabled Page"/>
          <a:extLst>
            <a:ext uri="{FF2B5EF4-FFF2-40B4-BE49-F238E27FC236}">
              <a16:creationId xmlns:a16="http://schemas.microsoft.com/office/drawing/2014/main" id="{5B8FB18F-F9BB-4FC3-84D3-6F3FA6DB4514}"/>
            </a:ext>
          </a:extLst>
        </xdr:cNvPr>
        <xdr:cNvSpPr/>
      </xdr:nvSpPr>
      <xdr:spPr>
        <a:xfrm>
          <a:off x="7306907" y="77881"/>
          <a:ext cx="992793"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18</xdr:col>
      <xdr:colOff>331919</xdr:colOff>
      <xdr:row>1</xdr:row>
      <xdr:rowOff>66675</xdr:rowOff>
    </xdr:from>
    <xdr:to>
      <xdr:col>20</xdr:col>
      <xdr:colOff>114973</xdr:colOff>
      <xdr:row>3</xdr:row>
      <xdr:rowOff>18568</xdr:rowOff>
    </xdr:to>
    <xdr:sp macro="" textlink="">
      <xdr:nvSpPr>
        <xdr:cNvPr id="72" name="B PROV DET PAGE">
          <a:hlinkClick xmlns:r="http://schemas.openxmlformats.org/officeDocument/2006/relationships" r:id="rId14" tooltip="Back to Provider Page"/>
          <a:extLst>
            <a:ext uri="{FF2B5EF4-FFF2-40B4-BE49-F238E27FC236}">
              <a16:creationId xmlns:a16="http://schemas.microsoft.com/office/drawing/2014/main" id="{16441F1B-D620-4CFD-942B-1A32C70DBCB7}"/>
            </a:ext>
          </a:extLst>
        </xdr:cNvPr>
        <xdr:cNvSpPr/>
      </xdr:nvSpPr>
      <xdr:spPr>
        <a:xfrm>
          <a:off x="12725625" y="77881"/>
          <a:ext cx="993289"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11</xdr:col>
      <xdr:colOff>235139</xdr:colOff>
      <xdr:row>1</xdr:row>
      <xdr:rowOff>66675</xdr:rowOff>
    </xdr:from>
    <xdr:to>
      <xdr:col>13</xdr:col>
      <xdr:colOff>13951</xdr:colOff>
      <xdr:row>3</xdr:row>
      <xdr:rowOff>18568</xdr:rowOff>
    </xdr:to>
    <xdr:sp macro="" textlink="">
      <xdr:nvSpPr>
        <xdr:cNvPr id="73" name="B IHSS PROG PAGE">
          <a:hlinkClick xmlns:r="http://schemas.openxmlformats.org/officeDocument/2006/relationships" r:id="rId22" tooltip="Back to IHSS Programs Page"/>
          <a:extLst>
            <a:ext uri="{FF2B5EF4-FFF2-40B4-BE49-F238E27FC236}">
              <a16:creationId xmlns:a16="http://schemas.microsoft.com/office/drawing/2014/main" id="{90FAABC5-9C6D-42FC-8841-0FF541F314B1}"/>
            </a:ext>
          </a:extLst>
        </xdr:cNvPr>
        <xdr:cNvSpPr/>
      </xdr:nvSpPr>
      <xdr:spPr>
        <a:xfrm>
          <a:off x="8393021" y="77881"/>
          <a:ext cx="989048"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16</xdr:col>
      <xdr:colOff>455008</xdr:colOff>
      <xdr:row>1</xdr:row>
      <xdr:rowOff>66675</xdr:rowOff>
    </xdr:from>
    <xdr:to>
      <xdr:col>18</xdr:col>
      <xdr:colOff>238598</xdr:colOff>
      <xdr:row>3</xdr:row>
      <xdr:rowOff>18568</xdr:rowOff>
    </xdr:to>
    <xdr:sp macro="" textlink="">
      <xdr:nvSpPr>
        <xdr:cNvPr id="74" name="B ETHNICITY PAGE">
          <a:hlinkClick xmlns:r="http://schemas.openxmlformats.org/officeDocument/2006/relationships" r:id="rId16" tooltip="Back to Ethnicity &amp; Language Page"/>
          <a:extLst>
            <a:ext uri="{FF2B5EF4-FFF2-40B4-BE49-F238E27FC236}">
              <a16:creationId xmlns:a16="http://schemas.microsoft.com/office/drawing/2014/main" id="{78DA9CE6-57E7-47D9-97EE-C4A680C5A806}"/>
            </a:ext>
          </a:extLst>
        </xdr:cNvPr>
        <xdr:cNvSpPr/>
      </xdr:nvSpPr>
      <xdr:spPr>
        <a:xfrm>
          <a:off x="11638479" y="77881"/>
          <a:ext cx="993825"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xdr:col>
      <xdr:colOff>136071</xdr:colOff>
      <xdr:row>1</xdr:row>
      <xdr:rowOff>66675</xdr:rowOff>
    </xdr:from>
    <xdr:to>
      <xdr:col>4</xdr:col>
      <xdr:colOff>33746</xdr:colOff>
      <xdr:row>3</xdr:row>
      <xdr:rowOff>18568</xdr:rowOff>
    </xdr:to>
    <xdr:sp macro="" textlink="">
      <xdr:nvSpPr>
        <xdr:cNvPr id="75" name="B GEN DATA PAGE">
          <a:hlinkClick xmlns:r="http://schemas.openxmlformats.org/officeDocument/2006/relationships" r:id="rId23" tooltip="Back to Navigation Page"/>
          <a:extLst>
            <a:ext uri="{FF2B5EF4-FFF2-40B4-BE49-F238E27FC236}">
              <a16:creationId xmlns:a16="http://schemas.microsoft.com/office/drawing/2014/main" id="{A86248D4-6D5D-42EF-A4AE-860E0EE5F645}"/>
            </a:ext>
          </a:extLst>
        </xdr:cNvPr>
        <xdr:cNvSpPr/>
      </xdr:nvSpPr>
      <xdr:spPr>
        <a:xfrm>
          <a:off x="2948747" y="77881"/>
          <a:ext cx="1007058"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7</xdr:col>
      <xdr:colOff>491546</xdr:colOff>
      <xdr:row>1</xdr:row>
      <xdr:rowOff>66675</xdr:rowOff>
    </xdr:from>
    <xdr:to>
      <xdr:col>9</xdr:col>
      <xdr:colOff>265939</xdr:colOff>
      <xdr:row>3</xdr:row>
      <xdr:rowOff>18568</xdr:rowOff>
    </xdr:to>
    <xdr:sp macro="" textlink="">
      <xdr:nvSpPr>
        <xdr:cNvPr id="76" name="B GEN DATA PAGE">
          <a:hlinkClick xmlns:r="http://schemas.openxmlformats.org/officeDocument/2006/relationships" r:id="rId24" tooltip="IHSS Applicants Page (Current)"/>
          <a:extLst>
            <a:ext uri="{FF2B5EF4-FFF2-40B4-BE49-F238E27FC236}">
              <a16:creationId xmlns:a16="http://schemas.microsoft.com/office/drawing/2014/main" id="{3B449E9A-F51B-4160-A854-C54925140238}"/>
            </a:ext>
          </a:extLst>
        </xdr:cNvPr>
        <xdr:cNvSpPr/>
      </xdr:nvSpPr>
      <xdr:spPr>
        <a:xfrm>
          <a:off x="6228958" y="77881"/>
          <a:ext cx="984628"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6</xdr:col>
      <xdr:colOff>11510</xdr:colOff>
      <xdr:row>1</xdr:row>
      <xdr:rowOff>66675</xdr:rowOff>
    </xdr:from>
    <xdr:to>
      <xdr:col>7</xdr:col>
      <xdr:colOff>398225</xdr:colOff>
      <xdr:row>3</xdr:row>
      <xdr:rowOff>18568</xdr:rowOff>
    </xdr:to>
    <xdr:sp macro="" textlink="">
      <xdr:nvSpPr>
        <xdr:cNvPr id="77" name="B GEN DATA PAGE">
          <a:hlinkClick xmlns:r="http://schemas.openxmlformats.org/officeDocument/2006/relationships" r:id="rId11" tooltip="General Data Page (Current)"/>
          <a:extLst>
            <a:ext uri="{FF2B5EF4-FFF2-40B4-BE49-F238E27FC236}">
              <a16:creationId xmlns:a16="http://schemas.microsoft.com/office/drawing/2014/main" id="{6AA7039A-9892-4349-81D9-37AB92AAA68B}"/>
            </a:ext>
          </a:extLst>
        </xdr:cNvPr>
        <xdr:cNvSpPr/>
      </xdr:nvSpPr>
      <xdr:spPr>
        <a:xfrm>
          <a:off x="5143804" y="77881"/>
          <a:ext cx="991833" cy="478569"/>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2381</xdr:colOff>
      <xdr:row>5</xdr:row>
      <xdr:rowOff>38884</xdr:rowOff>
    </xdr:from>
    <xdr:to>
      <xdr:col>6</xdr:col>
      <xdr:colOff>0</xdr:colOff>
      <xdr:row>18</xdr:row>
      <xdr:rowOff>92448</xdr:rowOff>
    </xdr:to>
    <xdr:graphicFrame macro="">
      <xdr:nvGraphicFramePr>
        <xdr:cNvPr id="2" name="C PSPM IS" descr="Chart for Protective Supervision and Paramedical percentage of total Recipients:. Chart's Data is in Table 2 on the current page">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xdr:colOff>
      <xdr:row>5</xdr:row>
      <xdr:rowOff>38884</xdr:rowOff>
    </xdr:from>
    <xdr:to>
      <xdr:col>11</xdr:col>
      <xdr:colOff>0</xdr:colOff>
      <xdr:row>18</xdr:row>
      <xdr:rowOff>92448</xdr:rowOff>
    </xdr:to>
    <xdr:graphicFrame macro="">
      <xdr:nvGraphicFramePr>
        <xdr:cNvPr id="3" name="C PSPM HOURS IS" descr="Chart for Protective Supervision and Paramedical Services Avg. Auth Hours per Recipient. Chart's Data is in Table 2 on the current page">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0</xdr:row>
      <xdr:rowOff>0</xdr:rowOff>
    </xdr:from>
    <xdr:to>
      <xdr:col>2</xdr:col>
      <xdr:colOff>785532</xdr:colOff>
      <xdr:row>3</xdr:row>
      <xdr:rowOff>13559</xdr:rowOff>
    </xdr:to>
    <xdr:sp macro="" textlink="">
      <xdr:nvSpPr>
        <xdr:cNvPr id="35" name="B NAME IS" descr="County Name and Link back to county selection">
          <a:hlinkClick xmlns:r="http://schemas.openxmlformats.org/officeDocument/2006/relationships" r:id="rId3" tooltip="Back to County Selection"/>
          <a:extLst>
            <a:ext uri="{FF2B5EF4-FFF2-40B4-BE49-F238E27FC236}">
              <a16:creationId xmlns:a16="http://schemas.microsoft.com/office/drawing/2014/main" id="{00000000-0008-0000-0500-000023000000}"/>
            </a:ext>
          </a:extLst>
        </xdr:cNvPr>
        <xdr:cNvSpPr/>
      </xdr:nvSpPr>
      <xdr:spPr>
        <a:xfrm>
          <a:off x="0" y="0"/>
          <a:ext cx="2286000" cy="548640"/>
        </a:xfrm>
        <a:prstGeom prst="round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561</xdr:colOff>
      <xdr:row>25</xdr:row>
      <xdr:rowOff>123824</xdr:rowOff>
    </xdr:from>
    <xdr:to>
      <xdr:col>6</xdr:col>
      <xdr:colOff>0</xdr:colOff>
      <xdr:row>59</xdr:row>
      <xdr:rowOff>609599</xdr:rowOff>
    </xdr:to>
    <xdr:graphicFrame macro="">
      <xdr:nvGraphicFramePr>
        <xdr:cNvPr id="5" name="C PERSONAL CARE IS" descr="Chart for Personal Care Services Recipients and Percentage of total Recipient Percent. Chart's Data is in Table 3 on the current page">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xdr:colOff>
      <xdr:row>25</xdr:row>
      <xdr:rowOff>123825</xdr:rowOff>
    </xdr:from>
    <xdr:to>
      <xdr:col>11</xdr:col>
      <xdr:colOff>0</xdr:colOff>
      <xdr:row>59</xdr:row>
      <xdr:rowOff>600075</xdr:rowOff>
    </xdr:to>
    <xdr:graphicFrame macro="">
      <xdr:nvGraphicFramePr>
        <xdr:cNvPr id="6" name="C PERSONAL CARE HOURS IS" descr="Chart for Personal Care Services: Avg. Auth. Hours Per Recipient. Chart's Data is in Table 4 on the current page">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561</xdr:colOff>
      <xdr:row>89</xdr:row>
      <xdr:rowOff>43245</xdr:rowOff>
    </xdr:from>
    <xdr:to>
      <xdr:col>6</xdr:col>
      <xdr:colOff>0</xdr:colOff>
      <xdr:row>119</xdr:row>
      <xdr:rowOff>57150</xdr:rowOff>
    </xdr:to>
    <xdr:graphicFrame macro="">
      <xdr:nvGraphicFramePr>
        <xdr:cNvPr id="7" name="C DOMESTIC IS" descr="Chart for Domestic and Related Services: Percent of Recipients. Chart's Data is in Table 5 on the current page">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xdr:colOff>
      <xdr:row>89</xdr:row>
      <xdr:rowOff>43245</xdr:rowOff>
    </xdr:from>
    <xdr:to>
      <xdr:col>11</xdr:col>
      <xdr:colOff>0</xdr:colOff>
      <xdr:row>119</xdr:row>
      <xdr:rowOff>57150</xdr:rowOff>
    </xdr:to>
    <xdr:graphicFrame macro="">
      <xdr:nvGraphicFramePr>
        <xdr:cNvPr id="20" name="C DOMESTIC HOURS IS" descr="Chart for Domestic and Related Services: Authorized Hours per Recipient. Chart's Data is in Table 6 on the current page">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19050</xdr:colOff>
      <xdr:row>5</xdr:row>
      <xdr:rowOff>131669</xdr:rowOff>
    </xdr:from>
    <xdr:to>
      <xdr:col>1</xdr:col>
      <xdr:colOff>800100</xdr:colOff>
      <xdr:row>7</xdr:row>
      <xdr:rowOff>36419</xdr:rowOff>
    </xdr:to>
    <xdr:sp macro="" textlink="Data_Date">
      <xdr:nvSpPr>
        <xdr:cNvPr id="19" name="B DATE IS">
          <a:extLst>
            <a:ext uri="{FF2B5EF4-FFF2-40B4-BE49-F238E27FC236}">
              <a16:creationId xmlns:a16="http://schemas.microsoft.com/office/drawing/2014/main" id="{00000000-0008-0000-0500-000013000000}"/>
            </a:ext>
            <a:ext uri="{C183D7F6-B498-43B3-948B-1728B52AA6E4}">
              <adec:decorative xmlns:adec="http://schemas.microsoft.com/office/drawing/2017/decorative" val="1"/>
            </a:ext>
          </a:extLst>
        </xdr:cNvPr>
        <xdr:cNvSpPr/>
      </xdr:nvSpPr>
      <xdr:spPr>
        <a:xfrm>
          <a:off x="19050" y="1017494"/>
          <a:ext cx="1390650" cy="285750"/>
        </a:xfrm>
        <a:prstGeom prst="roundRect">
          <a:avLst/>
        </a:prstGeom>
        <a:noFill/>
        <a:ln w="285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8966110-DCCF-4438-A549-16ECF416D282}" type="TxLink">
            <a:rPr lang="en-US" sz="1200" b="1" i="0" u="none" strike="noStrike">
              <a:solidFill>
                <a:srgbClr val="000000"/>
              </a:solidFill>
              <a:latin typeface="Arial"/>
              <a:cs typeface="Arial"/>
            </a:rPr>
            <a:pPr algn="ctr"/>
            <a:t>September 2023</a:t>
          </a:fld>
          <a:endParaRPr lang="en-US" sz="1100"/>
        </a:p>
      </xdr:txBody>
    </xdr:sp>
    <xdr:clientData/>
  </xdr:twoCellAnchor>
  <xdr:twoCellAnchor editAs="absolute">
    <xdr:from>
      <xdr:col>2</xdr:col>
      <xdr:colOff>2569613</xdr:colOff>
      <xdr:row>1</xdr:row>
      <xdr:rowOff>66675</xdr:rowOff>
    </xdr:from>
    <xdr:to>
      <xdr:col>3</xdr:col>
      <xdr:colOff>809121</xdr:colOff>
      <xdr:row>3</xdr:row>
      <xdr:rowOff>21463</xdr:rowOff>
    </xdr:to>
    <xdr:sp macro="" textlink="">
      <xdr:nvSpPr>
        <xdr:cNvPr id="21" name="B HOME PAGE">
          <a:hlinkClick xmlns:r="http://schemas.openxmlformats.org/officeDocument/2006/relationships" r:id="rId8" tooltip="Back to Dashboard Page"/>
          <a:extLst>
            <a:ext uri="{FF2B5EF4-FFF2-40B4-BE49-F238E27FC236}">
              <a16:creationId xmlns:a16="http://schemas.microsoft.com/office/drawing/2014/main" id="{77AB8783-B4D5-421A-81CB-D70E592C5691}"/>
            </a:ext>
          </a:extLst>
        </xdr:cNvPr>
        <xdr:cNvSpPr/>
      </xdr:nvSpPr>
      <xdr:spPr>
        <a:xfrm>
          <a:off x="4080006" y="80282"/>
          <a:ext cx="1001758" cy="471860"/>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xdr:col>
      <xdr:colOff>903323</xdr:colOff>
      <xdr:row>1</xdr:row>
      <xdr:rowOff>66675</xdr:rowOff>
    </xdr:from>
    <xdr:to>
      <xdr:col>4</xdr:col>
      <xdr:colOff>604238</xdr:colOff>
      <xdr:row>3</xdr:row>
      <xdr:rowOff>21463</xdr:rowOff>
    </xdr:to>
    <xdr:sp macro="" textlink="">
      <xdr:nvSpPr>
        <xdr:cNvPr id="22" name="B GEN DATA PAGE">
          <a:hlinkClick xmlns:r="http://schemas.openxmlformats.org/officeDocument/2006/relationships" r:id="rId9" tooltip="Back to General Data Page"/>
          <a:extLst>
            <a:ext uri="{FF2B5EF4-FFF2-40B4-BE49-F238E27FC236}">
              <a16:creationId xmlns:a16="http://schemas.microsoft.com/office/drawing/2014/main" id="{F4B29FB6-E381-4D47-9164-F49061E08299}"/>
            </a:ext>
          </a:extLst>
        </xdr:cNvPr>
        <xdr:cNvSpPr/>
      </xdr:nvSpPr>
      <xdr:spPr>
        <a:xfrm>
          <a:off x="5175966" y="80282"/>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5</xdr:col>
      <xdr:colOff>485392</xdr:colOff>
      <xdr:row>1</xdr:row>
      <xdr:rowOff>66675</xdr:rowOff>
    </xdr:from>
    <xdr:to>
      <xdr:col>7</xdr:col>
      <xdr:colOff>36628</xdr:colOff>
      <xdr:row>3</xdr:row>
      <xdr:rowOff>21463</xdr:rowOff>
    </xdr:to>
    <xdr:sp macro="" textlink="">
      <xdr:nvSpPr>
        <xdr:cNvPr id="23" name="B ABD PAGE">
          <a:hlinkClick xmlns:r="http://schemas.openxmlformats.org/officeDocument/2006/relationships" r:id="rId10" tooltip="Aged, Blind, or Disabled Page (Current)"/>
          <a:extLst>
            <a:ext uri="{FF2B5EF4-FFF2-40B4-BE49-F238E27FC236}">
              <a16:creationId xmlns:a16="http://schemas.microsoft.com/office/drawing/2014/main" id="{70308930-E9E9-4CEA-9C1D-5DA4C34E92DB}"/>
            </a:ext>
          </a:extLst>
        </xdr:cNvPr>
        <xdr:cNvSpPr/>
      </xdr:nvSpPr>
      <xdr:spPr>
        <a:xfrm>
          <a:off x="7370606" y="80282"/>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xdr:col>
      <xdr:colOff>1469571</xdr:colOff>
      <xdr:row>1</xdr:row>
      <xdr:rowOff>66675</xdr:rowOff>
    </xdr:from>
    <xdr:to>
      <xdr:col>2</xdr:col>
      <xdr:colOff>2475411</xdr:colOff>
      <xdr:row>3</xdr:row>
      <xdr:rowOff>21463</xdr:rowOff>
    </xdr:to>
    <xdr:sp macro="" textlink="">
      <xdr:nvSpPr>
        <xdr:cNvPr id="24" name="B GEN DATA PAGE">
          <a:hlinkClick xmlns:r="http://schemas.openxmlformats.org/officeDocument/2006/relationships" r:id="rId11" tooltip="Back to Navigation Page"/>
          <a:extLst>
            <a:ext uri="{FF2B5EF4-FFF2-40B4-BE49-F238E27FC236}">
              <a16:creationId xmlns:a16="http://schemas.microsoft.com/office/drawing/2014/main" id="{055A35F6-22E9-4931-B643-C8CF91BDA7A2}"/>
            </a:ext>
          </a:extLst>
        </xdr:cNvPr>
        <xdr:cNvSpPr/>
      </xdr:nvSpPr>
      <xdr:spPr>
        <a:xfrm>
          <a:off x="2979964" y="80282"/>
          <a:ext cx="1005840"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11</xdr:col>
      <xdr:colOff>124648</xdr:colOff>
      <xdr:row>1</xdr:row>
      <xdr:rowOff>66675</xdr:rowOff>
    </xdr:from>
    <xdr:to>
      <xdr:col>12</xdr:col>
      <xdr:colOff>347904</xdr:colOff>
      <xdr:row>3</xdr:row>
      <xdr:rowOff>18568</xdr:rowOff>
    </xdr:to>
    <xdr:sp macro="" textlink="">
      <xdr:nvSpPr>
        <xdr:cNvPr id="25" name="B ALL DATA PAGE">
          <a:hlinkClick xmlns:r="http://schemas.openxmlformats.org/officeDocument/2006/relationships" r:id="rId12" tooltip="Back to All Data Page"/>
          <a:extLst>
            <a:ext uri="{FF2B5EF4-FFF2-40B4-BE49-F238E27FC236}">
              <a16:creationId xmlns:a16="http://schemas.microsoft.com/office/drawing/2014/main" id="{5EB9A7BE-64F7-4893-8DDE-50D6ECCAC6AD}"/>
            </a:ext>
          </a:extLst>
        </xdr:cNvPr>
        <xdr:cNvSpPr/>
      </xdr:nvSpPr>
      <xdr:spPr>
        <a:xfrm>
          <a:off x="15051684" y="80282"/>
          <a:ext cx="998863" cy="468965"/>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7</xdr:col>
      <xdr:colOff>2328529</xdr:colOff>
      <xdr:row>1</xdr:row>
      <xdr:rowOff>66675</xdr:rowOff>
    </xdr:from>
    <xdr:to>
      <xdr:col>8</xdr:col>
      <xdr:colOff>565395</xdr:colOff>
      <xdr:row>3</xdr:row>
      <xdr:rowOff>18568</xdr:rowOff>
    </xdr:to>
    <xdr:sp macro="" textlink="">
      <xdr:nvSpPr>
        <xdr:cNvPr id="26" name="B AGE PAGE">
          <a:hlinkClick xmlns:r="http://schemas.openxmlformats.org/officeDocument/2006/relationships" r:id="rId13" tooltip="Back to Age &amp; Gender Page"/>
          <a:extLst>
            <a:ext uri="{FF2B5EF4-FFF2-40B4-BE49-F238E27FC236}">
              <a16:creationId xmlns:a16="http://schemas.microsoft.com/office/drawing/2014/main" id="{0EACE5EC-84F6-44EE-AE21-59218E30B1C3}"/>
            </a:ext>
          </a:extLst>
        </xdr:cNvPr>
        <xdr:cNvSpPr/>
      </xdr:nvSpPr>
      <xdr:spPr>
        <a:xfrm>
          <a:off x="10669708" y="80282"/>
          <a:ext cx="999116"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a:t>
          </a:r>
          <a:r>
            <a:rPr lang="en-US" sz="1100" baseline="0">
              <a:latin typeface="Arial" panose="020B0604020202020204" pitchFamily="34" charset="0"/>
              <a:cs typeface="Arial" panose="020B0604020202020204" pitchFamily="34" charset="0"/>
            </a:rPr>
            <a:t>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10</xdr:col>
      <xdr:colOff>251360</xdr:colOff>
      <xdr:row>1</xdr:row>
      <xdr:rowOff>66675</xdr:rowOff>
    </xdr:from>
    <xdr:to>
      <xdr:col>11</xdr:col>
      <xdr:colOff>30448</xdr:colOff>
      <xdr:row>3</xdr:row>
      <xdr:rowOff>18568</xdr:rowOff>
    </xdr:to>
    <xdr:sp macro="" textlink="">
      <xdr:nvSpPr>
        <xdr:cNvPr id="27" name="B TERMS PAGE">
          <a:hlinkClick xmlns:r="http://schemas.openxmlformats.org/officeDocument/2006/relationships" r:id="rId14" tooltip="Back to Appendix &amp; Terms Page"/>
          <a:extLst>
            <a:ext uri="{FF2B5EF4-FFF2-40B4-BE49-F238E27FC236}">
              <a16:creationId xmlns:a16="http://schemas.microsoft.com/office/drawing/2014/main" id="{0023C1FC-D994-4D79-9F90-62B29E6772EB}"/>
            </a:ext>
          </a:extLst>
        </xdr:cNvPr>
        <xdr:cNvSpPr/>
      </xdr:nvSpPr>
      <xdr:spPr>
        <a:xfrm>
          <a:off x="13967360" y="80282"/>
          <a:ext cx="990124"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9</xdr:col>
      <xdr:colOff>455747</xdr:colOff>
      <xdr:row>1</xdr:row>
      <xdr:rowOff>66675</xdr:rowOff>
    </xdr:from>
    <xdr:to>
      <xdr:col>10</xdr:col>
      <xdr:colOff>157158</xdr:colOff>
      <xdr:row>3</xdr:row>
      <xdr:rowOff>18568</xdr:rowOff>
    </xdr:to>
    <xdr:sp macro="" textlink="">
      <xdr:nvSpPr>
        <xdr:cNvPr id="29" name="B PROV DET PAGE">
          <a:hlinkClick xmlns:r="http://schemas.openxmlformats.org/officeDocument/2006/relationships" r:id="rId15" tooltip="Back to Provider Page"/>
          <a:extLst>
            <a:ext uri="{FF2B5EF4-FFF2-40B4-BE49-F238E27FC236}">
              <a16:creationId xmlns:a16="http://schemas.microsoft.com/office/drawing/2014/main" id="{D74FD0D4-319E-42EE-80E3-0EDF2B0A325E}"/>
            </a:ext>
          </a:extLst>
        </xdr:cNvPr>
        <xdr:cNvSpPr/>
      </xdr:nvSpPr>
      <xdr:spPr>
        <a:xfrm>
          <a:off x="12865461" y="80282"/>
          <a:ext cx="1007697"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7</xdr:col>
      <xdr:colOff>130830</xdr:colOff>
      <xdr:row>1</xdr:row>
      <xdr:rowOff>66675</xdr:rowOff>
    </xdr:from>
    <xdr:to>
      <xdr:col>7</xdr:col>
      <xdr:colOff>1134285</xdr:colOff>
      <xdr:row>3</xdr:row>
      <xdr:rowOff>18568</xdr:rowOff>
    </xdr:to>
    <xdr:sp macro="" textlink="">
      <xdr:nvSpPr>
        <xdr:cNvPr id="34" name="B IHSS PROG PAGE">
          <a:hlinkClick xmlns:r="http://schemas.openxmlformats.org/officeDocument/2006/relationships" r:id="rId16" tooltip="Back to IHSS Programs Page"/>
          <a:extLst>
            <a:ext uri="{FF2B5EF4-FFF2-40B4-BE49-F238E27FC236}">
              <a16:creationId xmlns:a16="http://schemas.microsoft.com/office/drawing/2014/main" id="{D2F53404-C638-4C2E-A17E-651343D05EDC}"/>
            </a:ext>
          </a:extLst>
        </xdr:cNvPr>
        <xdr:cNvSpPr/>
      </xdr:nvSpPr>
      <xdr:spPr>
        <a:xfrm>
          <a:off x="8472009" y="80282"/>
          <a:ext cx="100345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8</xdr:col>
      <xdr:colOff>659597</xdr:colOff>
      <xdr:row>1</xdr:row>
      <xdr:rowOff>66675</xdr:rowOff>
    </xdr:from>
    <xdr:to>
      <xdr:col>9</xdr:col>
      <xdr:colOff>361545</xdr:colOff>
      <xdr:row>3</xdr:row>
      <xdr:rowOff>18568</xdr:rowOff>
    </xdr:to>
    <xdr:sp macro="" textlink="">
      <xdr:nvSpPr>
        <xdr:cNvPr id="42" name="B ETHNICITY PAGE">
          <a:hlinkClick xmlns:r="http://schemas.openxmlformats.org/officeDocument/2006/relationships" r:id="rId17" tooltip="Back to Ethnicity &amp; Language Page"/>
          <a:extLst>
            <a:ext uri="{FF2B5EF4-FFF2-40B4-BE49-F238E27FC236}">
              <a16:creationId xmlns:a16="http://schemas.microsoft.com/office/drawing/2014/main" id="{25EFA7EA-7F52-4DC9-BAC9-7070DC018944}"/>
            </a:ext>
          </a:extLst>
        </xdr:cNvPr>
        <xdr:cNvSpPr/>
      </xdr:nvSpPr>
      <xdr:spPr>
        <a:xfrm>
          <a:off x="11763026" y="80282"/>
          <a:ext cx="1008233"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xdr:col>
      <xdr:colOff>698440</xdr:colOff>
      <xdr:row>1</xdr:row>
      <xdr:rowOff>66675</xdr:rowOff>
    </xdr:from>
    <xdr:to>
      <xdr:col>5</xdr:col>
      <xdr:colOff>391190</xdr:colOff>
      <xdr:row>3</xdr:row>
      <xdr:rowOff>18568</xdr:rowOff>
    </xdr:to>
    <xdr:sp macro="" textlink="">
      <xdr:nvSpPr>
        <xdr:cNvPr id="44" name="B GEN DATA PAGE">
          <a:hlinkClick xmlns:r="http://schemas.openxmlformats.org/officeDocument/2006/relationships" r:id="rId18" tooltip="IHSS Applicants Page (Current)"/>
          <a:extLst>
            <a:ext uri="{FF2B5EF4-FFF2-40B4-BE49-F238E27FC236}">
              <a16:creationId xmlns:a16="http://schemas.microsoft.com/office/drawing/2014/main" id="{3FD75182-73EE-4A5E-8CDB-683A9CAF1375}"/>
            </a:ext>
          </a:extLst>
        </xdr:cNvPr>
        <xdr:cNvSpPr/>
      </xdr:nvSpPr>
      <xdr:spPr>
        <a:xfrm>
          <a:off x="6277369" y="80282"/>
          <a:ext cx="99903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7</xdr:col>
      <xdr:colOff>1228487</xdr:colOff>
      <xdr:row>1</xdr:row>
      <xdr:rowOff>66675</xdr:rowOff>
    </xdr:from>
    <xdr:to>
      <xdr:col>7</xdr:col>
      <xdr:colOff>2234327</xdr:colOff>
      <xdr:row>3</xdr:row>
      <xdr:rowOff>21463</xdr:rowOff>
    </xdr:to>
    <xdr:sp macro="" textlink="">
      <xdr:nvSpPr>
        <xdr:cNvPr id="45" name="B IHSS SERV PAGE">
          <a:hlinkClick xmlns:r="http://schemas.openxmlformats.org/officeDocument/2006/relationships" r:id="rId19" tooltip="IHSS Services Page (Current)"/>
          <a:extLst>
            <a:ext uri="{FF2B5EF4-FFF2-40B4-BE49-F238E27FC236}">
              <a16:creationId xmlns:a16="http://schemas.microsoft.com/office/drawing/2014/main" id="{19B2AE4E-AC7C-4E6A-95C2-B5F3E2B1D4C6}"/>
            </a:ext>
          </a:extLst>
        </xdr:cNvPr>
        <xdr:cNvSpPr/>
      </xdr:nvSpPr>
      <xdr:spPr>
        <a:xfrm>
          <a:off x="9569666" y="80282"/>
          <a:ext cx="1005840" cy="471860"/>
        </a:xfrm>
        <a:prstGeom prst="roundRect">
          <a:avLst/>
        </a:prstGeom>
        <a:solidFill>
          <a:srgbClr val="C74F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2</xdr:col>
      <xdr:colOff>728944</xdr:colOff>
      <xdr:row>3</xdr:row>
      <xdr:rowOff>13559</xdr:rowOff>
    </xdr:to>
    <xdr:sp macro="" textlink="">
      <xdr:nvSpPr>
        <xdr:cNvPr id="45" name="B NAME AG" descr="County Name and Link back to county selection">
          <a:hlinkClick xmlns:r="http://schemas.openxmlformats.org/officeDocument/2006/relationships" r:id="rId1" tooltip="Back to County Selection"/>
          <a:extLst>
            <a:ext uri="{FF2B5EF4-FFF2-40B4-BE49-F238E27FC236}">
              <a16:creationId xmlns:a16="http://schemas.microsoft.com/office/drawing/2014/main" id="{00000000-0008-0000-0600-00002D000000}"/>
            </a:ext>
          </a:extLst>
        </xdr:cNvPr>
        <xdr:cNvSpPr/>
      </xdr:nvSpPr>
      <xdr:spPr>
        <a:xfrm>
          <a:off x="1" y="0"/>
          <a:ext cx="2286000" cy="548640"/>
        </a:xfrm>
        <a:prstGeom prst="round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9522</xdr:colOff>
      <xdr:row>5</xdr:row>
      <xdr:rowOff>45944</xdr:rowOff>
    </xdr:from>
    <xdr:to>
      <xdr:col>14</xdr:col>
      <xdr:colOff>914399</xdr:colOff>
      <xdr:row>19</xdr:row>
      <xdr:rowOff>53788</xdr:rowOff>
    </xdr:to>
    <xdr:graphicFrame macro="">
      <xdr:nvGraphicFramePr>
        <xdr:cNvPr id="14" name="C AGE GROUPS AG" descr="Chart for Recipients: Age Groups. Chart's Data is in Table 1 on the current page">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891540</xdr:colOff>
      <xdr:row>47</xdr:row>
      <xdr:rowOff>180029</xdr:rowOff>
    </xdr:from>
    <xdr:to>
      <xdr:col>10</xdr:col>
      <xdr:colOff>143510</xdr:colOff>
      <xdr:row>62</xdr:row>
      <xdr:rowOff>19710</xdr:rowOff>
    </xdr:to>
    <xdr:graphicFrame macro="">
      <xdr:nvGraphicFramePr>
        <xdr:cNvPr id="16" name="C GENDER AG" descr="Chart for Recipients: Gender. Chart's Data is in Table 3 on the current page.">
          <a:extLst>
            <a:ext uri="{FF2B5EF4-FFF2-40B4-BE49-F238E27FC236}">
              <a16:creationId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19049</xdr:colOff>
      <xdr:row>5</xdr:row>
      <xdr:rowOff>74519</xdr:rowOff>
    </xdr:from>
    <xdr:to>
      <xdr:col>1</xdr:col>
      <xdr:colOff>828674</xdr:colOff>
      <xdr:row>6</xdr:row>
      <xdr:rowOff>169769</xdr:rowOff>
    </xdr:to>
    <xdr:sp macro="" textlink="Data_Date">
      <xdr:nvSpPr>
        <xdr:cNvPr id="15" name="B DATE AG">
          <a:extLst>
            <a:ext uri="{FF2B5EF4-FFF2-40B4-BE49-F238E27FC236}">
              <a16:creationId xmlns:a16="http://schemas.microsoft.com/office/drawing/2014/main" id="{00000000-0008-0000-0600-00000F000000}"/>
            </a:ext>
            <a:ext uri="{C183D7F6-B498-43B3-948B-1728B52AA6E4}">
              <adec:decorative xmlns:adec="http://schemas.microsoft.com/office/drawing/2017/decorative" val="1"/>
            </a:ext>
          </a:extLst>
        </xdr:cNvPr>
        <xdr:cNvSpPr/>
      </xdr:nvSpPr>
      <xdr:spPr>
        <a:xfrm>
          <a:off x="19049" y="1017494"/>
          <a:ext cx="1419225" cy="285750"/>
        </a:xfrm>
        <a:prstGeom prst="roundRect">
          <a:avLst/>
        </a:prstGeom>
        <a:noFill/>
        <a:ln w="285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4D366A9-1E22-4E9D-926C-D78E5CD0EC09}" type="TxLink">
            <a:rPr lang="en-US" sz="1200" b="1" i="0" u="none" strike="noStrike">
              <a:solidFill>
                <a:srgbClr val="000000"/>
              </a:solidFill>
              <a:latin typeface="Arial"/>
              <a:cs typeface="Arial"/>
            </a:rPr>
            <a:pPr algn="ctr"/>
            <a:t>September 2023</a:t>
          </a:fld>
          <a:endParaRPr lang="en-US" sz="1100"/>
        </a:p>
      </xdr:txBody>
    </xdr:sp>
    <xdr:clientData/>
  </xdr:twoCellAnchor>
  <xdr:twoCellAnchor editAs="absolute">
    <xdr:from>
      <xdr:col>10</xdr:col>
      <xdr:colOff>618543</xdr:colOff>
      <xdr:row>1</xdr:row>
      <xdr:rowOff>66675</xdr:rowOff>
    </xdr:from>
    <xdr:to>
      <xdr:col>11</xdr:col>
      <xdr:colOff>856334</xdr:colOff>
      <xdr:row>3</xdr:row>
      <xdr:rowOff>21463</xdr:rowOff>
    </xdr:to>
    <xdr:sp macro="" textlink="">
      <xdr:nvSpPr>
        <xdr:cNvPr id="31" name="B AGE PAGE">
          <a:hlinkClick xmlns:r="http://schemas.openxmlformats.org/officeDocument/2006/relationships" r:id="rId4" tooltip="Age &amp; Gender Page (Current)"/>
          <a:extLst>
            <a:ext uri="{FF2B5EF4-FFF2-40B4-BE49-F238E27FC236}">
              <a16:creationId xmlns:a16="http://schemas.microsoft.com/office/drawing/2014/main" id="{00000000-0008-0000-0600-00001F000000}"/>
            </a:ext>
          </a:extLst>
        </xdr:cNvPr>
        <xdr:cNvSpPr/>
      </xdr:nvSpPr>
      <xdr:spPr>
        <a:xfrm>
          <a:off x="10660614" y="80282"/>
          <a:ext cx="1013399" cy="471860"/>
        </a:xfrm>
        <a:prstGeom prst="roundRect">
          <a:avLst/>
        </a:prstGeom>
        <a:solidFill>
          <a:srgbClr val="C74F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oneCell">
    <xdr:from>
      <xdr:col>2</xdr:col>
      <xdr:colOff>10583</xdr:colOff>
      <xdr:row>26</xdr:row>
      <xdr:rowOff>0</xdr:rowOff>
    </xdr:from>
    <xdr:to>
      <xdr:col>14</xdr:col>
      <xdr:colOff>923925</xdr:colOff>
      <xdr:row>40</xdr:row>
      <xdr:rowOff>76200</xdr:rowOff>
    </xdr:to>
    <xdr:graphicFrame macro="">
      <xdr:nvGraphicFramePr>
        <xdr:cNvPr id="2" name="Chart 1" descr="Chart for Recipients: Avg Hours Per Recipient by Age Groups. Chart's Data is in Table 2 on the current page">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321651</xdr:colOff>
      <xdr:row>18</xdr:row>
      <xdr:rowOff>66675</xdr:rowOff>
    </xdr:from>
    <xdr:to>
      <xdr:col>14</xdr:col>
      <xdr:colOff>918797</xdr:colOff>
      <xdr:row>19</xdr:row>
      <xdr:rowOff>59054</xdr:rowOff>
    </xdr:to>
    <xdr:sp macro="" textlink="">
      <xdr:nvSpPr>
        <xdr:cNvPr id="18" name="B RECIP SPOKEN HYPER HOME">
          <a:hlinkClick xmlns:r="http://schemas.openxmlformats.org/officeDocument/2006/relationships" r:id="rId6" tooltip="Go to De-Identification definition"/>
          <a:extLst>
            <a:ext uri="{FF2B5EF4-FFF2-40B4-BE49-F238E27FC236}">
              <a16:creationId xmlns:a16="http://schemas.microsoft.com/office/drawing/2014/main" id="{06CBB9F4-EFFD-4C98-AE8B-9CA29208BFE0}"/>
            </a:ext>
          </a:extLst>
        </xdr:cNvPr>
        <xdr:cNvSpPr/>
      </xdr:nvSpPr>
      <xdr:spPr>
        <a:xfrm>
          <a:off x="14104326" y="3552825"/>
          <a:ext cx="597146" cy="182879"/>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DDG</a:t>
          </a:r>
        </a:p>
      </xdr:txBody>
    </xdr:sp>
    <xdr:clientData/>
  </xdr:twoCellAnchor>
  <xdr:twoCellAnchor>
    <xdr:from>
      <xdr:col>14</xdr:col>
      <xdr:colOff>323850</xdr:colOff>
      <xdr:row>39</xdr:row>
      <xdr:rowOff>85725</xdr:rowOff>
    </xdr:from>
    <xdr:to>
      <xdr:col>14</xdr:col>
      <xdr:colOff>923926</xdr:colOff>
      <xdr:row>40</xdr:row>
      <xdr:rowOff>78104</xdr:rowOff>
    </xdr:to>
    <xdr:sp macro="" textlink="">
      <xdr:nvSpPr>
        <xdr:cNvPr id="19" name="B RECIP SPOKEN HYPER HOME">
          <a:hlinkClick xmlns:r="http://schemas.openxmlformats.org/officeDocument/2006/relationships" r:id="rId6" tooltip="Go to De-Identification definition"/>
          <a:extLst>
            <a:ext uri="{FF2B5EF4-FFF2-40B4-BE49-F238E27FC236}">
              <a16:creationId xmlns:a16="http://schemas.microsoft.com/office/drawing/2014/main" id="{BE97F7A8-8835-4EDC-AD8F-CE22B17B92E9}"/>
            </a:ext>
          </a:extLst>
        </xdr:cNvPr>
        <xdr:cNvSpPr/>
      </xdr:nvSpPr>
      <xdr:spPr>
        <a:xfrm>
          <a:off x="14106525" y="7867650"/>
          <a:ext cx="600076" cy="182879"/>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DDG</a:t>
          </a:r>
        </a:p>
      </xdr:txBody>
    </xdr:sp>
    <xdr:clientData/>
  </xdr:twoCellAnchor>
  <xdr:twoCellAnchor>
    <xdr:from>
      <xdr:col>9</xdr:col>
      <xdr:colOff>600075</xdr:colOff>
      <xdr:row>61</xdr:row>
      <xdr:rowOff>38100</xdr:rowOff>
    </xdr:from>
    <xdr:to>
      <xdr:col>10</xdr:col>
      <xdr:colOff>171451</xdr:colOff>
      <xdr:row>62</xdr:row>
      <xdr:rowOff>30479</xdr:rowOff>
    </xdr:to>
    <xdr:sp macro="" textlink="">
      <xdr:nvSpPr>
        <xdr:cNvPr id="20" name="B RECIP SPOKEN HYPER HOME">
          <a:hlinkClick xmlns:r="http://schemas.openxmlformats.org/officeDocument/2006/relationships" r:id="rId6" tooltip="Go to De-Identification definition"/>
          <a:extLst>
            <a:ext uri="{FF2B5EF4-FFF2-40B4-BE49-F238E27FC236}">
              <a16:creationId xmlns:a16="http://schemas.microsoft.com/office/drawing/2014/main" id="{A2137AE5-433F-401A-98C4-24617B9C1008}"/>
            </a:ext>
          </a:extLst>
        </xdr:cNvPr>
        <xdr:cNvSpPr/>
      </xdr:nvSpPr>
      <xdr:spPr>
        <a:xfrm>
          <a:off x="9582150" y="12230100"/>
          <a:ext cx="600076" cy="182879"/>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DDG</a:t>
          </a:r>
        </a:p>
      </xdr:txBody>
    </xdr:sp>
    <xdr:clientData/>
  </xdr:twoCellAnchor>
  <xdr:twoCellAnchor editAs="absolute">
    <xdr:from>
      <xdr:col>4</xdr:col>
      <xdr:colOff>214277</xdr:colOff>
      <xdr:row>1</xdr:row>
      <xdr:rowOff>66675</xdr:rowOff>
    </xdr:from>
    <xdr:to>
      <xdr:col>5</xdr:col>
      <xdr:colOff>304357</xdr:colOff>
      <xdr:row>3</xdr:row>
      <xdr:rowOff>21463</xdr:rowOff>
    </xdr:to>
    <xdr:sp macro="" textlink="">
      <xdr:nvSpPr>
        <xdr:cNvPr id="21" name="B HOME PAGE">
          <a:hlinkClick xmlns:r="http://schemas.openxmlformats.org/officeDocument/2006/relationships" r:id="rId7" tooltip="Back to Dashboard Page"/>
          <a:extLst>
            <a:ext uri="{FF2B5EF4-FFF2-40B4-BE49-F238E27FC236}">
              <a16:creationId xmlns:a16="http://schemas.microsoft.com/office/drawing/2014/main" id="{2F90B786-D8BF-462D-A148-869D03515D5F}"/>
            </a:ext>
          </a:extLst>
        </xdr:cNvPr>
        <xdr:cNvSpPr/>
      </xdr:nvSpPr>
      <xdr:spPr>
        <a:xfrm>
          <a:off x="4078706" y="80282"/>
          <a:ext cx="1001758" cy="471860"/>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xdr:col>
      <xdr:colOff>397260</xdr:colOff>
      <xdr:row>1</xdr:row>
      <xdr:rowOff>66675</xdr:rowOff>
    </xdr:from>
    <xdr:to>
      <xdr:col>6</xdr:col>
      <xdr:colOff>370318</xdr:colOff>
      <xdr:row>3</xdr:row>
      <xdr:rowOff>21463</xdr:rowOff>
    </xdr:to>
    <xdr:sp macro="" textlink="">
      <xdr:nvSpPr>
        <xdr:cNvPr id="22" name="B GEN DATA PAGE">
          <a:hlinkClick xmlns:r="http://schemas.openxmlformats.org/officeDocument/2006/relationships" r:id="rId8" tooltip="Back to General Data Page"/>
          <a:extLst>
            <a:ext uri="{FF2B5EF4-FFF2-40B4-BE49-F238E27FC236}">
              <a16:creationId xmlns:a16="http://schemas.microsoft.com/office/drawing/2014/main" id="{2496F8A0-FB38-4CFE-B690-BC0D1C821CA9}"/>
            </a:ext>
          </a:extLst>
        </xdr:cNvPr>
        <xdr:cNvSpPr/>
      </xdr:nvSpPr>
      <xdr:spPr>
        <a:xfrm>
          <a:off x="5173367" y="80282"/>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7</xdr:col>
      <xdr:colOff>371338</xdr:colOff>
      <xdr:row>1</xdr:row>
      <xdr:rowOff>66675</xdr:rowOff>
    </xdr:from>
    <xdr:to>
      <xdr:col>8</xdr:col>
      <xdr:colOff>344396</xdr:colOff>
      <xdr:row>3</xdr:row>
      <xdr:rowOff>21463</xdr:rowOff>
    </xdr:to>
    <xdr:sp macro="" textlink="">
      <xdr:nvSpPr>
        <xdr:cNvPr id="23" name="B ABD PAGE">
          <a:hlinkClick xmlns:r="http://schemas.openxmlformats.org/officeDocument/2006/relationships" r:id="rId9" tooltip="Aged, Blind, or Disabled Page (Current)"/>
          <a:extLst>
            <a:ext uri="{FF2B5EF4-FFF2-40B4-BE49-F238E27FC236}">
              <a16:creationId xmlns:a16="http://schemas.microsoft.com/office/drawing/2014/main" id="{8FAEF840-9F30-48D5-9FC4-EFAF0137BB82}"/>
            </a:ext>
          </a:extLst>
        </xdr:cNvPr>
        <xdr:cNvSpPr/>
      </xdr:nvSpPr>
      <xdr:spPr>
        <a:xfrm>
          <a:off x="7365409" y="80282"/>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xdr:col>
      <xdr:colOff>149677</xdr:colOff>
      <xdr:row>1</xdr:row>
      <xdr:rowOff>66675</xdr:rowOff>
    </xdr:from>
    <xdr:to>
      <xdr:col>4</xdr:col>
      <xdr:colOff>121374</xdr:colOff>
      <xdr:row>3</xdr:row>
      <xdr:rowOff>21463</xdr:rowOff>
    </xdr:to>
    <xdr:sp macro="" textlink="">
      <xdr:nvSpPr>
        <xdr:cNvPr id="24" name="B GEN DATA PAGE">
          <a:hlinkClick xmlns:r="http://schemas.openxmlformats.org/officeDocument/2006/relationships" r:id="rId10" tooltip="Back to Navigation Page"/>
          <a:extLst>
            <a:ext uri="{FF2B5EF4-FFF2-40B4-BE49-F238E27FC236}">
              <a16:creationId xmlns:a16="http://schemas.microsoft.com/office/drawing/2014/main" id="{9FD4BC78-CD4F-4B71-AE61-4EF7C132F82C}"/>
            </a:ext>
          </a:extLst>
        </xdr:cNvPr>
        <xdr:cNvSpPr/>
      </xdr:nvSpPr>
      <xdr:spPr>
        <a:xfrm>
          <a:off x="2979963" y="80282"/>
          <a:ext cx="1005840"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15</xdr:col>
      <xdr:colOff>287933</xdr:colOff>
      <xdr:row>1</xdr:row>
      <xdr:rowOff>66675</xdr:rowOff>
    </xdr:from>
    <xdr:to>
      <xdr:col>16</xdr:col>
      <xdr:colOff>565617</xdr:colOff>
      <xdr:row>3</xdr:row>
      <xdr:rowOff>18568</xdr:rowOff>
    </xdr:to>
    <xdr:sp macro="" textlink="">
      <xdr:nvSpPr>
        <xdr:cNvPr id="25" name="B ALL DATA PAGE">
          <a:hlinkClick xmlns:r="http://schemas.openxmlformats.org/officeDocument/2006/relationships" r:id="rId11" tooltip="Back to All Data Page"/>
          <a:extLst>
            <a:ext uri="{FF2B5EF4-FFF2-40B4-BE49-F238E27FC236}">
              <a16:creationId xmlns:a16="http://schemas.microsoft.com/office/drawing/2014/main" id="{294DE567-B8DD-4613-B0CB-74AC78670667}"/>
            </a:ext>
          </a:extLst>
        </xdr:cNvPr>
        <xdr:cNvSpPr/>
      </xdr:nvSpPr>
      <xdr:spPr>
        <a:xfrm>
          <a:off x="15051683" y="80282"/>
          <a:ext cx="998863" cy="468965"/>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14</xdr:col>
      <xdr:colOff>143795</xdr:colOff>
      <xdr:row>1</xdr:row>
      <xdr:rowOff>66675</xdr:rowOff>
    </xdr:from>
    <xdr:to>
      <xdr:col>15</xdr:col>
      <xdr:colOff>195026</xdr:colOff>
      <xdr:row>3</xdr:row>
      <xdr:rowOff>18568</xdr:rowOff>
    </xdr:to>
    <xdr:sp macro="" textlink="">
      <xdr:nvSpPr>
        <xdr:cNvPr id="27" name="B TERMS PAGE">
          <a:hlinkClick xmlns:r="http://schemas.openxmlformats.org/officeDocument/2006/relationships" r:id="rId12" tooltip="Back to Appendix &amp; Terms Page"/>
          <a:extLst>
            <a:ext uri="{FF2B5EF4-FFF2-40B4-BE49-F238E27FC236}">
              <a16:creationId xmlns:a16="http://schemas.microsoft.com/office/drawing/2014/main" id="{BBB01ED4-CF25-4561-9F3D-DA5C51348CCF}"/>
            </a:ext>
          </a:extLst>
        </xdr:cNvPr>
        <xdr:cNvSpPr/>
      </xdr:nvSpPr>
      <xdr:spPr>
        <a:xfrm>
          <a:off x="13968652" y="80282"/>
          <a:ext cx="990124"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13</xdr:col>
      <xdr:colOff>77338</xdr:colOff>
      <xdr:row>1</xdr:row>
      <xdr:rowOff>66675</xdr:rowOff>
    </xdr:from>
    <xdr:to>
      <xdr:col>14</xdr:col>
      <xdr:colOff>50892</xdr:colOff>
      <xdr:row>3</xdr:row>
      <xdr:rowOff>18568</xdr:rowOff>
    </xdr:to>
    <xdr:sp macro="" textlink="">
      <xdr:nvSpPr>
        <xdr:cNvPr id="39" name="B PROV DET PAGE">
          <a:hlinkClick xmlns:r="http://schemas.openxmlformats.org/officeDocument/2006/relationships" r:id="rId13" tooltip="Back to Provider Page"/>
          <a:extLst>
            <a:ext uri="{FF2B5EF4-FFF2-40B4-BE49-F238E27FC236}">
              <a16:creationId xmlns:a16="http://schemas.microsoft.com/office/drawing/2014/main" id="{199521D2-D710-4A35-A2D2-8BFC680BAC1F}"/>
            </a:ext>
          </a:extLst>
        </xdr:cNvPr>
        <xdr:cNvSpPr/>
      </xdr:nvSpPr>
      <xdr:spPr>
        <a:xfrm>
          <a:off x="12868052" y="80282"/>
          <a:ext cx="1007697"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8</xdr:col>
      <xdr:colOff>437299</xdr:colOff>
      <xdr:row>1</xdr:row>
      <xdr:rowOff>66675</xdr:rowOff>
    </xdr:from>
    <xdr:to>
      <xdr:col>9</xdr:col>
      <xdr:colOff>461039</xdr:colOff>
      <xdr:row>3</xdr:row>
      <xdr:rowOff>18568</xdr:rowOff>
    </xdr:to>
    <xdr:sp macro="" textlink="">
      <xdr:nvSpPr>
        <xdr:cNvPr id="40" name="B IHSS PROG PAGE">
          <a:hlinkClick xmlns:r="http://schemas.openxmlformats.org/officeDocument/2006/relationships" r:id="rId14" tooltip="Back to IHSS Programs Page"/>
          <a:extLst>
            <a:ext uri="{FF2B5EF4-FFF2-40B4-BE49-F238E27FC236}">
              <a16:creationId xmlns:a16="http://schemas.microsoft.com/office/drawing/2014/main" id="{B3332C8C-547B-4B72-9870-4D313C98D50A}"/>
            </a:ext>
          </a:extLst>
        </xdr:cNvPr>
        <xdr:cNvSpPr/>
      </xdr:nvSpPr>
      <xdr:spPr>
        <a:xfrm>
          <a:off x="8465513" y="80282"/>
          <a:ext cx="100345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11</xdr:col>
      <xdr:colOff>949237</xdr:colOff>
      <xdr:row>1</xdr:row>
      <xdr:rowOff>66675</xdr:rowOff>
    </xdr:from>
    <xdr:to>
      <xdr:col>12</xdr:col>
      <xdr:colOff>923328</xdr:colOff>
      <xdr:row>3</xdr:row>
      <xdr:rowOff>18568</xdr:rowOff>
    </xdr:to>
    <xdr:sp macro="" textlink="">
      <xdr:nvSpPr>
        <xdr:cNvPr id="41" name="B ETHNICITY PAGE">
          <a:hlinkClick xmlns:r="http://schemas.openxmlformats.org/officeDocument/2006/relationships" r:id="rId15" tooltip="Back to Ethnicity &amp; Language Page"/>
          <a:extLst>
            <a:ext uri="{FF2B5EF4-FFF2-40B4-BE49-F238E27FC236}">
              <a16:creationId xmlns:a16="http://schemas.microsoft.com/office/drawing/2014/main" id="{5E8F8FC6-9529-4340-9ACA-70EB82912B3B}"/>
            </a:ext>
          </a:extLst>
        </xdr:cNvPr>
        <xdr:cNvSpPr/>
      </xdr:nvSpPr>
      <xdr:spPr>
        <a:xfrm>
          <a:off x="11766916" y="80282"/>
          <a:ext cx="1008233"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6</xdr:col>
      <xdr:colOff>463221</xdr:colOff>
      <xdr:row>1</xdr:row>
      <xdr:rowOff>66675</xdr:rowOff>
    </xdr:from>
    <xdr:to>
      <xdr:col>7</xdr:col>
      <xdr:colOff>278435</xdr:colOff>
      <xdr:row>3</xdr:row>
      <xdr:rowOff>18568</xdr:rowOff>
    </xdr:to>
    <xdr:sp macro="" textlink="">
      <xdr:nvSpPr>
        <xdr:cNvPr id="42" name="B GEN DATA PAGE">
          <a:hlinkClick xmlns:r="http://schemas.openxmlformats.org/officeDocument/2006/relationships" r:id="rId16" tooltip="IHSS Applicants Page (Current)"/>
          <a:extLst>
            <a:ext uri="{FF2B5EF4-FFF2-40B4-BE49-F238E27FC236}">
              <a16:creationId xmlns:a16="http://schemas.microsoft.com/office/drawing/2014/main" id="{D01D27DA-5448-4932-BEBE-35224D43B299}"/>
            </a:ext>
          </a:extLst>
        </xdr:cNvPr>
        <xdr:cNvSpPr/>
      </xdr:nvSpPr>
      <xdr:spPr>
        <a:xfrm>
          <a:off x="6273471" y="80282"/>
          <a:ext cx="99903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9</xdr:col>
      <xdr:colOff>553942</xdr:colOff>
      <xdr:row>1</xdr:row>
      <xdr:rowOff>66675</xdr:rowOff>
    </xdr:from>
    <xdr:to>
      <xdr:col>10</xdr:col>
      <xdr:colOff>525640</xdr:colOff>
      <xdr:row>3</xdr:row>
      <xdr:rowOff>21463</xdr:rowOff>
    </xdr:to>
    <xdr:sp macro="" textlink="">
      <xdr:nvSpPr>
        <xdr:cNvPr id="43" name="B IHSS SERV PAGE">
          <a:hlinkClick xmlns:r="http://schemas.openxmlformats.org/officeDocument/2006/relationships" r:id="rId17" tooltip="IHSS Services Page (Current)"/>
          <a:extLst>
            <a:ext uri="{FF2B5EF4-FFF2-40B4-BE49-F238E27FC236}">
              <a16:creationId xmlns:a16="http://schemas.microsoft.com/office/drawing/2014/main" id="{132A7962-FFD7-46F3-A9D4-08B99462ED6C}"/>
            </a:ext>
          </a:extLst>
        </xdr:cNvPr>
        <xdr:cNvSpPr/>
      </xdr:nvSpPr>
      <xdr:spPr>
        <a:xfrm>
          <a:off x="9561871" y="80282"/>
          <a:ext cx="1005840"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838200</xdr:colOff>
      <xdr:row>5</xdr:row>
      <xdr:rowOff>136749</xdr:rowOff>
    </xdr:from>
    <xdr:to>
      <xdr:col>7</xdr:col>
      <xdr:colOff>782954</xdr:colOff>
      <xdr:row>38</xdr:row>
      <xdr:rowOff>22450</xdr:rowOff>
    </xdr:to>
    <xdr:graphicFrame macro="">
      <xdr:nvGraphicFramePr>
        <xdr:cNvPr id="4" name="C ETHNICITY EL" descr="Chart for Recipients: Ethnicity (Top 10). Chart's Data is in Table 1 on the current page">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0</xdr:row>
      <xdr:rowOff>0</xdr:rowOff>
    </xdr:from>
    <xdr:to>
      <xdr:col>1</xdr:col>
      <xdr:colOff>1676400</xdr:colOff>
      <xdr:row>3</xdr:row>
      <xdr:rowOff>24354</xdr:rowOff>
    </xdr:to>
    <xdr:sp macro="" textlink="">
      <xdr:nvSpPr>
        <xdr:cNvPr id="44" name="B NAME EL" descr="County Name and Link back to county selection">
          <a:hlinkClick xmlns:r="http://schemas.openxmlformats.org/officeDocument/2006/relationships" r:id="rId2" tooltip="Back to County Selection"/>
          <a:extLst>
            <a:ext uri="{FF2B5EF4-FFF2-40B4-BE49-F238E27FC236}">
              <a16:creationId xmlns:a16="http://schemas.microsoft.com/office/drawing/2014/main" id="{00000000-0008-0000-0700-00002C000000}"/>
            </a:ext>
          </a:extLst>
        </xdr:cNvPr>
        <xdr:cNvSpPr/>
      </xdr:nvSpPr>
      <xdr:spPr>
        <a:xfrm>
          <a:off x="0" y="0"/>
          <a:ext cx="2286000" cy="548640"/>
        </a:xfrm>
        <a:prstGeom prst="round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825499</xdr:colOff>
      <xdr:row>38</xdr:row>
      <xdr:rowOff>172945</xdr:rowOff>
    </xdr:from>
    <xdr:to>
      <xdr:col>7</xdr:col>
      <xdr:colOff>784224</xdr:colOff>
      <xdr:row>74</xdr:row>
      <xdr:rowOff>0</xdr:rowOff>
    </xdr:to>
    <xdr:graphicFrame macro="">
      <xdr:nvGraphicFramePr>
        <xdr:cNvPr id="17" name="C RECIP SPOKEN EL" descr="Chart for Recipients: Spoken Language (Top 10). Chart's Data is in Table 2 on the current page.">
          <a:extLst>
            <a:ext uri="{FF2B5EF4-FFF2-40B4-BE49-F238E27FC236}">
              <a16:creationId xmlns:a16="http://schemas.microsoft.com/office/drawing/2014/main" id="{00000000-0008-0000-07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6</xdr:row>
      <xdr:rowOff>21217</xdr:rowOff>
    </xdr:from>
    <xdr:to>
      <xdr:col>1</xdr:col>
      <xdr:colOff>824230</xdr:colOff>
      <xdr:row>6</xdr:row>
      <xdr:rowOff>327885</xdr:rowOff>
    </xdr:to>
    <xdr:sp macro="" textlink="Data_Date">
      <xdr:nvSpPr>
        <xdr:cNvPr id="15" name="B DATE EL">
          <a:extLst>
            <a:ext uri="{FF2B5EF4-FFF2-40B4-BE49-F238E27FC236}">
              <a16:creationId xmlns:a16="http://schemas.microsoft.com/office/drawing/2014/main" id="{00000000-0008-0000-0700-00000F000000}"/>
            </a:ext>
            <a:ext uri="{C183D7F6-B498-43B3-948B-1728B52AA6E4}">
              <adec:decorative xmlns:adec="http://schemas.microsoft.com/office/drawing/2017/decorative" val="1"/>
            </a:ext>
          </a:extLst>
        </xdr:cNvPr>
        <xdr:cNvSpPr/>
      </xdr:nvSpPr>
      <xdr:spPr>
        <a:xfrm>
          <a:off x="0" y="1021977"/>
          <a:ext cx="1428750" cy="281268"/>
        </a:xfrm>
        <a:prstGeom prst="roundRect">
          <a:avLst/>
        </a:prstGeom>
        <a:noFill/>
        <a:ln w="285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21467D6-5445-48D1-9C21-929A88F2F099}" type="TxLink">
            <a:rPr lang="en-US" sz="1200" b="1" i="0" u="none" strike="noStrike">
              <a:solidFill>
                <a:srgbClr val="000000"/>
              </a:solidFill>
              <a:latin typeface="Arial"/>
              <a:cs typeface="Arial"/>
            </a:rPr>
            <a:pPr algn="ctr"/>
            <a:t>September 2023</a:t>
          </a:fld>
          <a:endParaRPr lang="en-US" sz="1100"/>
        </a:p>
      </xdr:txBody>
    </xdr:sp>
    <xdr:clientData/>
  </xdr:twoCellAnchor>
  <xdr:twoCellAnchor>
    <xdr:from>
      <xdr:col>7</xdr:col>
      <xdr:colOff>171450</xdr:colOff>
      <xdr:row>37</xdr:row>
      <xdr:rowOff>28575</xdr:rowOff>
    </xdr:from>
    <xdr:to>
      <xdr:col>7</xdr:col>
      <xdr:colOff>771526</xdr:colOff>
      <xdr:row>38</xdr:row>
      <xdr:rowOff>20954</xdr:rowOff>
    </xdr:to>
    <xdr:sp macro="" textlink="">
      <xdr:nvSpPr>
        <xdr:cNvPr id="18" name="B RECIP SPOKEN HYPER HOME" descr="Link to Data De-Identification Guidelines definition on the Appendix and Terms Page">
          <a:hlinkClick xmlns:r="http://schemas.openxmlformats.org/officeDocument/2006/relationships" r:id="rId4" tooltip="Go to De-Identification definition"/>
          <a:extLst>
            <a:ext uri="{FF2B5EF4-FFF2-40B4-BE49-F238E27FC236}">
              <a16:creationId xmlns:a16="http://schemas.microsoft.com/office/drawing/2014/main" id="{B29D90AF-2870-49F3-8277-ECCE94BC2775}"/>
            </a:ext>
          </a:extLst>
        </xdr:cNvPr>
        <xdr:cNvSpPr/>
      </xdr:nvSpPr>
      <xdr:spPr>
        <a:xfrm>
          <a:off x="7048500" y="7191375"/>
          <a:ext cx="600076" cy="182879"/>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DDG</a:t>
          </a:r>
        </a:p>
      </xdr:txBody>
    </xdr:sp>
    <xdr:clientData/>
  </xdr:twoCellAnchor>
  <xdr:twoCellAnchor>
    <xdr:from>
      <xdr:col>7</xdr:col>
      <xdr:colOff>172720</xdr:colOff>
      <xdr:row>73</xdr:row>
      <xdr:rowOff>14605</xdr:rowOff>
    </xdr:from>
    <xdr:to>
      <xdr:col>7</xdr:col>
      <xdr:colOff>781686</xdr:colOff>
      <xdr:row>73</xdr:row>
      <xdr:rowOff>196214</xdr:rowOff>
    </xdr:to>
    <xdr:sp macro="" textlink="">
      <xdr:nvSpPr>
        <xdr:cNvPr id="19" name="B RECIP SPOKEN HYPER HOME" descr="Link to Data De-Identification Guidelines definition on the Appendix and Terms Page">
          <a:hlinkClick xmlns:r="http://schemas.openxmlformats.org/officeDocument/2006/relationships" r:id="rId4" tooltip="Go to De-Identification definition"/>
          <a:extLst>
            <a:ext uri="{FF2B5EF4-FFF2-40B4-BE49-F238E27FC236}">
              <a16:creationId xmlns:a16="http://schemas.microsoft.com/office/drawing/2014/main" id="{B176FDEC-F0DC-42AE-A59E-9BA7D7376709}"/>
            </a:ext>
          </a:extLst>
        </xdr:cNvPr>
        <xdr:cNvSpPr/>
      </xdr:nvSpPr>
      <xdr:spPr>
        <a:xfrm>
          <a:off x="7358380" y="14492605"/>
          <a:ext cx="608966" cy="181609"/>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DDG</a:t>
          </a:r>
        </a:p>
      </xdr:txBody>
    </xdr:sp>
    <xdr:clientData/>
  </xdr:twoCellAnchor>
  <xdr:twoCellAnchor editAs="absolute">
    <xdr:from>
      <xdr:col>9</xdr:col>
      <xdr:colOff>329347</xdr:colOff>
      <xdr:row>1</xdr:row>
      <xdr:rowOff>60325</xdr:rowOff>
    </xdr:from>
    <xdr:to>
      <xdr:col>10</xdr:col>
      <xdr:colOff>441771</xdr:colOff>
      <xdr:row>3</xdr:row>
      <xdr:rowOff>20193</xdr:rowOff>
    </xdr:to>
    <xdr:sp macro="" textlink="">
      <xdr:nvSpPr>
        <xdr:cNvPr id="43" name="B AGE PAGE">
          <a:hlinkClick xmlns:r="http://schemas.openxmlformats.org/officeDocument/2006/relationships" r:id="rId5" tooltip="Age &amp; Gender Page (Current)"/>
          <a:extLst>
            <a:ext uri="{FF2B5EF4-FFF2-40B4-BE49-F238E27FC236}">
              <a16:creationId xmlns:a16="http://schemas.microsoft.com/office/drawing/2014/main" id="{95538A05-84B4-4693-A3C5-7014302D40DD}"/>
            </a:ext>
          </a:extLst>
        </xdr:cNvPr>
        <xdr:cNvSpPr/>
      </xdr:nvSpPr>
      <xdr:spPr>
        <a:xfrm>
          <a:off x="10647008" y="80282"/>
          <a:ext cx="1013399"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xdr:col>
      <xdr:colOff>268707</xdr:colOff>
      <xdr:row>1</xdr:row>
      <xdr:rowOff>60325</xdr:rowOff>
    </xdr:from>
    <xdr:to>
      <xdr:col>4</xdr:col>
      <xdr:colOff>404688</xdr:colOff>
      <xdr:row>3</xdr:row>
      <xdr:rowOff>20193</xdr:rowOff>
    </xdr:to>
    <xdr:sp macro="" textlink="">
      <xdr:nvSpPr>
        <xdr:cNvPr id="45" name="B HOME PAGE">
          <a:hlinkClick xmlns:r="http://schemas.openxmlformats.org/officeDocument/2006/relationships" r:id="rId6" tooltip="Back to Dashboard Page"/>
          <a:extLst>
            <a:ext uri="{FF2B5EF4-FFF2-40B4-BE49-F238E27FC236}">
              <a16:creationId xmlns:a16="http://schemas.microsoft.com/office/drawing/2014/main" id="{43A1170B-F1B5-4543-86C2-B8153140565D}"/>
            </a:ext>
          </a:extLst>
        </xdr:cNvPr>
        <xdr:cNvSpPr/>
      </xdr:nvSpPr>
      <xdr:spPr>
        <a:xfrm>
          <a:off x="4065100" y="80282"/>
          <a:ext cx="1001758" cy="471860"/>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xdr:col>
      <xdr:colOff>492511</xdr:colOff>
      <xdr:row>1</xdr:row>
      <xdr:rowOff>60325</xdr:rowOff>
    </xdr:from>
    <xdr:to>
      <xdr:col>5</xdr:col>
      <xdr:colOff>824435</xdr:colOff>
      <xdr:row>3</xdr:row>
      <xdr:rowOff>20193</xdr:rowOff>
    </xdr:to>
    <xdr:sp macro="" textlink="">
      <xdr:nvSpPr>
        <xdr:cNvPr id="46" name="B GEN DATA PAGE">
          <a:hlinkClick xmlns:r="http://schemas.openxmlformats.org/officeDocument/2006/relationships" r:id="rId7" tooltip="Back to General Data Page"/>
          <a:extLst>
            <a:ext uri="{FF2B5EF4-FFF2-40B4-BE49-F238E27FC236}">
              <a16:creationId xmlns:a16="http://schemas.microsoft.com/office/drawing/2014/main" id="{A704A441-6334-4FBE-87A5-BD0F689EB871}"/>
            </a:ext>
          </a:extLst>
        </xdr:cNvPr>
        <xdr:cNvSpPr/>
      </xdr:nvSpPr>
      <xdr:spPr>
        <a:xfrm>
          <a:off x="5159761" y="80282"/>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7</xdr:col>
      <xdr:colOff>478019</xdr:colOff>
      <xdr:row>1</xdr:row>
      <xdr:rowOff>60325</xdr:rowOff>
    </xdr:from>
    <xdr:to>
      <xdr:col>8</xdr:col>
      <xdr:colOff>555761</xdr:colOff>
      <xdr:row>3</xdr:row>
      <xdr:rowOff>20193</xdr:rowOff>
    </xdr:to>
    <xdr:sp macro="" textlink="">
      <xdr:nvSpPr>
        <xdr:cNvPr id="47" name="B ABD PAGE">
          <a:hlinkClick xmlns:r="http://schemas.openxmlformats.org/officeDocument/2006/relationships" r:id="rId8" tooltip="Aged, Blind, or Disabled Page (Current)"/>
          <a:extLst>
            <a:ext uri="{FF2B5EF4-FFF2-40B4-BE49-F238E27FC236}">
              <a16:creationId xmlns:a16="http://schemas.microsoft.com/office/drawing/2014/main" id="{BAFCCF39-21DE-4101-9759-D694B896B8F0}"/>
            </a:ext>
          </a:extLst>
        </xdr:cNvPr>
        <xdr:cNvSpPr/>
      </xdr:nvSpPr>
      <xdr:spPr>
        <a:xfrm>
          <a:off x="7351803" y="80282"/>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xdr:col>
      <xdr:colOff>23767</xdr:colOff>
      <xdr:row>1</xdr:row>
      <xdr:rowOff>60325</xdr:rowOff>
    </xdr:from>
    <xdr:to>
      <xdr:col>3</xdr:col>
      <xdr:colOff>174534</xdr:colOff>
      <xdr:row>3</xdr:row>
      <xdr:rowOff>20193</xdr:rowOff>
    </xdr:to>
    <xdr:sp macro="" textlink="">
      <xdr:nvSpPr>
        <xdr:cNvPr id="48" name="B GEN DATA PAGE">
          <a:hlinkClick xmlns:r="http://schemas.openxmlformats.org/officeDocument/2006/relationships" r:id="rId9" tooltip="Back to Navigation Page"/>
          <a:extLst>
            <a:ext uri="{FF2B5EF4-FFF2-40B4-BE49-F238E27FC236}">
              <a16:creationId xmlns:a16="http://schemas.microsoft.com/office/drawing/2014/main" id="{6175B96B-CF82-4BF2-845B-18637D81AA8F}"/>
            </a:ext>
          </a:extLst>
        </xdr:cNvPr>
        <xdr:cNvSpPr/>
      </xdr:nvSpPr>
      <xdr:spPr>
        <a:xfrm>
          <a:off x="2966357" y="80282"/>
          <a:ext cx="1005840"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14</xdr:col>
      <xdr:colOff>287571</xdr:colOff>
      <xdr:row>1</xdr:row>
      <xdr:rowOff>60325</xdr:rowOff>
    </xdr:from>
    <xdr:to>
      <xdr:col>15</xdr:col>
      <xdr:colOff>555459</xdr:colOff>
      <xdr:row>3</xdr:row>
      <xdr:rowOff>23648</xdr:rowOff>
    </xdr:to>
    <xdr:sp macro="" textlink="">
      <xdr:nvSpPr>
        <xdr:cNvPr id="49" name="B ALL DATA PAGE">
          <a:hlinkClick xmlns:r="http://schemas.openxmlformats.org/officeDocument/2006/relationships" r:id="rId10" tooltip="Back to All Data Page"/>
          <a:extLst>
            <a:ext uri="{FF2B5EF4-FFF2-40B4-BE49-F238E27FC236}">
              <a16:creationId xmlns:a16="http://schemas.microsoft.com/office/drawing/2014/main" id="{1077BFBA-1E2B-4EAE-BD9F-818E50E39D85}"/>
            </a:ext>
          </a:extLst>
        </xdr:cNvPr>
        <xdr:cNvSpPr/>
      </xdr:nvSpPr>
      <xdr:spPr>
        <a:xfrm>
          <a:off x="15038077" y="80282"/>
          <a:ext cx="998863" cy="468965"/>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13</xdr:col>
      <xdr:colOff>34939</xdr:colOff>
      <xdr:row>1</xdr:row>
      <xdr:rowOff>60325</xdr:rowOff>
    </xdr:from>
    <xdr:to>
      <xdr:col>14</xdr:col>
      <xdr:colOff>213714</xdr:colOff>
      <xdr:row>3</xdr:row>
      <xdr:rowOff>23648</xdr:rowOff>
    </xdr:to>
    <xdr:sp macro="" textlink="">
      <xdr:nvSpPr>
        <xdr:cNvPr id="50" name="B TERMS PAGE">
          <a:hlinkClick xmlns:r="http://schemas.openxmlformats.org/officeDocument/2006/relationships" r:id="rId11" tooltip="Back to Appendix &amp; Terms Page"/>
          <a:extLst>
            <a:ext uri="{FF2B5EF4-FFF2-40B4-BE49-F238E27FC236}">
              <a16:creationId xmlns:a16="http://schemas.microsoft.com/office/drawing/2014/main" id="{60AF947E-A6AB-411F-89AD-E1ACAC687BCB}"/>
            </a:ext>
          </a:extLst>
        </xdr:cNvPr>
        <xdr:cNvSpPr/>
      </xdr:nvSpPr>
      <xdr:spPr>
        <a:xfrm>
          <a:off x="13955046" y="80282"/>
          <a:ext cx="990124"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11</xdr:col>
      <xdr:colOff>743726</xdr:colOff>
      <xdr:row>1</xdr:row>
      <xdr:rowOff>60325</xdr:rowOff>
    </xdr:from>
    <xdr:to>
      <xdr:col>12</xdr:col>
      <xdr:colOff>863874</xdr:colOff>
      <xdr:row>3</xdr:row>
      <xdr:rowOff>23648</xdr:rowOff>
    </xdr:to>
    <xdr:sp macro="" textlink="">
      <xdr:nvSpPr>
        <xdr:cNvPr id="51" name="B PROV DET PAGE">
          <a:hlinkClick xmlns:r="http://schemas.openxmlformats.org/officeDocument/2006/relationships" r:id="rId12" tooltip="Back to Provider Page"/>
          <a:extLst>
            <a:ext uri="{FF2B5EF4-FFF2-40B4-BE49-F238E27FC236}">
              <a16:creationId xmlns:a16="http://schemas.microsoft.com/office/drawing/2014/main" id="{2AE45B9D-3FCF-4A15-9F81-2327F3624184}"/>
            </a:ext>
          </a:extLst>
        </xdr:cNvPr>
        <xdr:cNvSpPr/>
      </xdr:nvSpPr>
      <xdr:spPr>
        <a:xfrm>
          <a:off x="12854446" y="80282"/>
          <a:ext cx="1007697"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8</xdr:col>
      <xdr:colOff>670254</xdr:colOff>
      <xdr:row>1</xdr:row>
      <xdr:rowOff>60325</xdr:rowOff>
    </xdr:from>
    <xdr:to>
      <xdr:col>8</xdr:col>
      <xdr:colOff>1663549</xdr:colOff>
      <xdr:row>3</xdr:row>
      <xdr:rowOff>23648</xdr:rowOff>
    </xdr:to>
    <xdr:sp macro="" textlink="">
      <xdr:nvSpPr>
        <xdr:cNvPr id="52" name="B IHSS PROG PAGE">
          <a:hlinkClick xmlns:r="http://schemas.openxmlformats.org/officeDocument/2006/relationships" r:id="rId13" tooltip="Back to IHSS Programs Page"/>
          <a:extLst>
            <a:ext uri="{FF2B5EF4-FFF2-40B4-BE49-F238E27FC236}">
              <a16:creationId xmlns:a16="http://schemas.microsoft.com/office/drawing/2014/main" id="{A188BE1C-4A4D-42E7-BEB4-DE59AA22A06B}"/>
            </a:ext>
          </a:extLst>
        </xdr:cNvPr>
        <xdr:cNvSpPr/>
      </xdr:nvSpPr>
      <xdr:spPr>
        <a:xfrm>
          <a:off x="8451907" y="80282"/>
          <a:ext cx="100345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10</xdr:col>
      <xdr:colOff>556264</xdr:colOff>
      <xdr:row>1</xdr:row>
      <xdr:rowOff>60325</xdr:rowOff>
    </xdr:from>
    <xdr:to>
      <xdr:col>11</xdr:col>
      <xdr:colOff>669873</xdr:colOff>
      <xdr:row>3</xdr:row>
      <xdr:rowOff>23648</xdr:rowOff>
    </xdr:to>
    <xdr:sp macro="" textlink="">
      <xdr:nvSpPr>
        <xdr:cNvPr id="53" name="B ETHNICITY PAGE">
          <a:hlinkClick xmlns:r="http://schemas.openxmlformats.org/officeDocument/2006/relationships" r:id="rId14" tooltip="Back to Ethnicity &amp; Language Page"/>
          <a:extLst>
            <a:ext uri="{FF2B5EF4-FFF2-40B4-BE49-F238E27FC236}">
              <a16:creationId xmlns:a16="http://schemas.microsoft.com/office/drawing/2014/main" id="{855DB9EA-8796-41CC-AAF4-0733E58D7734}"/>
            </a:ext>
          </a:extLst>
        </xdr:cNvPr>
        <xdr:cNvSpPr/>
      </xdr:nvSpPr>
      <xdr:spPr>
        <a:xfrm>
          <a:off x="11753310" y="80282"/>
          <a:ext cx="1008233" cy="468965"/>
        </a:xfrm>
        <a:prstGeom prst="roundRect">
          <a:avLst/>
        </a:prstGeom>
        <a:solidFill>
          <a:srgbClr val="C74F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xdr:col>
      <xdr:colOff>912258</xdr:colOff>
      <xdr:row>1</xdr:row>
      <xdr:rowOff>60325</xdr:rowOff>
    </xdr:from>
    <xdr:to>
      <xdr:col>7</xdr:col>
      <xdr:colOff>368606</xdr:colOff>
      <xdr:row>3</xdr:row>
      <xdr:rowOff>23648</xdr:rowOff>
    </xdr:to>
    <xdr:sp macro="" textlink="">
      <xdr:nvSpPr>
        <xdr:cNvPr id="54" name="B GEN DATA PAGE">
          <a:hlinkClick xmlns:r="http://schemas.openxmlformats.org/officeDocument/2006/relationships" r:id="rId15" tooltip="IHSS Applicants Page (Current)"/>
          <a:extLst>
            <a:ext uri="{FF2B5EF4-FFF2-40B4-BE49-F238E27FC236}">
              <a16:creationId xmlns:a16="http://schemas.microsoft.com/office/drawing/2014/main" id="{A2550A08-4ACF-47B8-B51C-1357E07BD10C}"/>
            </a:ext>
          </a:extLst>
        </xdr:cNvPr>
        <xdr:cNvSpPr/>
      </xdr:nvSpPr>
      <xdr:spPr>
        <a:xfrm>
          <a:off x="6259865" y="80282"/>
          <a:ext cx="99903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8</xdr:col>
      <xdr:colOff>1751372</xdr:colOff>
      <xdr:row>1</xdr:row>
      <xdr:rowOff>60325</xdr:rowOff>
    </xdr:from>
    <xdr:to>
      <xdr:col>9</xdr:col>
      <xdr:colOff>226284</xdr:colOff>
      <xdr:row>3</xdr:row>
      <xdr:rowOff>20193</xdr:rowOff>
    </xdr:to>
    <xdr:sp macro="" textlink="">
      <xdr:nvSpPr>
        <xdr:cNvPr id="55" name="B IHSS SERV PAGE">
          <a:hlinkClick xmlns:r="http://schemas.openxmlformats.org/officeDocument/2006/relationships" r:id="rId16" tooltip="IHSS Services Page (Current)"/>
          <a:extLst>
            <a:ext uri="{FF2B5EF4-FFF2-40B4-BE49-F238E27FC236}">
              <a16:creationId xmlns:a16="http://schemas.microsoft.com/office/drawing/2014/main" id="{D2406540-ACD3-4213-9B38-AFAAD1364D2C}"/>
            </a:ext>
          </a:extLst>
        </xdr:cNvPr>
        <xdr:cNvSpPr/>
      </xdr:nvSpPr>
      <xdr:spPr>
        <a:xfrm>
          <a:off x="9548265" y="80282"/>
          <a:ext cx="1005840"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3</xdr:col>
      <xdr:colOff>0</xdr:colOff>
      <xdr:row>5</xdr:row>
      <xdr:rowOff>139290</xdr:rowOff>
    </xdr:from>
    <xdr:to>
      <xdr:col>6</xdr:col>
      <xdr:colOff>1295400</xdr:colOff>
      <xdr:row>20</xdr:row>
      <xdr:rowOff>21179</xdr:rowOff>
    </xdr:to>
    <xdr:graphicFrame macro="">
      <xdr:nvGraphicFramePr>
        <xdr:cNvPr id="3" name="C LIVEIN PROV PD" descr="Chart for Percent of Total Live-In Provider. Chart's Data is in Table 1 on the current page.">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xdr:colOff>
      <xdr:row>0</xdr:row>
      <xdr:rowOff>0</xdr:rowOff>
    </xdr:from>
    <xdr:to>
      <xdr:col>3</xdr:col>
      <xdr:colOff>609601</xdr:colOff>
      <xdr:row>3</xdr:row>
      <xdr:rowOff>23084</xdr:rowOff>
    </xdr:to>
    <xdr:sp macro="" textlink="">
      <xdr:nvSpPr>
        <xdr:cNvPr id="33" name="B NAME PD" descr="County Name and Link back to county selection">
          <a:hlinkClick xmlns:r="http://schemas.openxmlformats.org/officeDocument/2006/relationships" r:id="rId2" tooltip="Back to County Selection"/>
          <a:extLst>
            <a:ext uri="{FF2B5EF4-FFF2-40B4-BE49-F238E27FC236}">
              <a16:creationId xmlns:a16="http://schemas.microsoft.com/office/drawing/2014/main" id="{00000000-0008-0000-0800-000021000000}"/>
            </a:ext>
          </a:extLst>
        </xdr:cNvPr>
        <xdr:cNvSpPr/>
      </xdr:nvSpPr>
      <xdr:spPr>
        <a:xfrm>
          <a:off x="1" y="0"/>
          <a:ext cx="2286000" cy="548640"/>
        </a:xfrm>
        <a:prstGeom prst="round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685800</xdr:colOff>
      <xdr:row>68</xdr:row>
      <xdr:rowOff>63501</xdr:rowOff>
    </xdr:from>
    <xdr:to>
      <xdr:col>6</xdr:col>
      <xdr:colOff>1315720</xdr:colOff>
      <xdr:row>82</xdr:row>
      <xdr:rowOff>21591</xdr:rowOff>
    </xdr:to>
    <xdr:graphicFrame macro="">
      <xdr:nvGraphicFramePr>
        <xdr:cNvPr id="15" name="C WAGE PD" descr="Chart for Wage Rate: Hourly. Chart's Data is in Table 4 on the current page">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0</xdr:colOff>
      <xdr:row>5</xdr:row>
      <xdr:rowOff>135352</xdr:rowOff>
    </xdr:from>
    <xdr:to>
      <xdr:col>12</xdr:col>
      <xdr:colOff>0</xdr:colOff>
      <xdr:row>20</xdr:row>
      <xdr:rowOff>21179</xdr:rowOff>
    </xdr:to>
    <xdr:graphicFrame macro="">
      <xdr:nvGraphicFramePr>
        <xdr:cNvPr id="2" name="C REL SPOUSE PROV PD" descr="Chart for Providers: Spoken Language (Top 10). Chart's Data is in Table 3 on the current page.">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24129</xdr:colOff>
      <xdr:row>5</xdr:row>
      <xdr:rowOff>177389</xdr:rowOff>
    </xdr:from>
    <xdr:to>
      <xdr:col>2</xdr:col>
      <xdr:colOff>457199</xdr:colOff>
      <xdr:row>7</xdr:row>
      <xdr:rowOff>97379</xdr:rowOff>
    </xdr:to>
    <xdr:sp macro="" textlink="Data_Date">
      <xdr:nvSpPr>
        <xdr:cNvPr id="18" name="B DATE PD">
          <a:extLst>
            <a:ext uri="{FF2B5EF4-FFF2-40B4-BE49-F238E27FC236}">
              <a16:creationId xmlns:a16="http://schemas.microsoft.com/office/drawing/2014/main" id="{00000000-0008-0000-0800-000012000000}"/>
            </a:ext>
            <a:ext uri="{C183D7F6-B498-43B3-948B-1728B52AA6E4}">
              <adec:decorative xmlns:adec="http://schemas.microsoft.com/office/drawing/2017/decorative" val="1"/>
            </a:ext>
          </a:extLst>
        </xdr:cNvPr>
        <xdr:cNvSpPr/>
      </xdr:nvSpPr>
      <xdr:spPr>
        <a:xfrm>
          <a:off x="19049" y="1017494"/>
          <a:ext cx="1419225" cy="285750"/>
        </a:xfrm>
        <a:prstGeom prst="roundRect">
          <a:avLst/>
        </a:prstGeom>
        <a:noFill/>
        <a:ln w="285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E75EB01-281F-4033-8C7B-94C56DC68206}" type="TxLink">
            <a:rPr lang="en-US" sz="1200" b="1" i="0" u="none" strike="noStrike">
              <a:solidFill>
                <a:srgbClr val="000000"/>
              </a:solidFill>
              <a:latin typeface="Arial"/>
              <a:cs typeface="Arial"/>
            </a:rPr>
            <a:pPr algn="ctr"/>
            <a:t>September 2023</a:t>
          </a:fld>
          <a:endParaRPr lang="en-US" sz="1100"/>
        </a:p>
      </xdr:txBody>
    </xdr:sp>
    <xdr:clientData/>
  </xdr:twoCellAnchor>
  <xdr:twoCellAnchor>
    <xdr:from>
      <xdr:col>3</xdr:col>
      <xdr:colOff>0</xdr:colOff>
      <xdr:row>31</xdr:row>
      <xdr:rowOff>0</xdr:rowOff>
    </xdr:from>
    <xdr:to>
      <xdr:col>7</xdr:col>
      <xdr:colOff>0</xdr:colOff>
      <xdr:row>65</xdr:row>
      <xdr:rowOff>190500</xdr:rowOff>
    </xdr:to>
    <xdr:grpSp>
      <xdr:nvGrpSpPr>
        <xdr:cNvPr id="4" name="Group 3" descr="Chart for Providers: Spoken Language (Top 10). Chart's Data is in Table 3 on the current page.">
          <a:extLst>
            <a:ext uri="{FF2B5EF4-FFF2-40B4-BE49-F238E27FC236}">
              <a16:creationId xmlns:a16="http://schemas.microsoft.com/office/drawing/2014/main" id="{00000000-0008-0000-0800-000004000000}"/>
            </a:ext>
          </a:extLst>
        </xdr:cNvPr>
        <xdr:cNvGrpSpPr/>
      </xdr:nvGrpSpPr>
      <xdr:grpSpPr>
        <a:xfrm>
          <a:off x="1760220" y="6050280"/>
          <a:ext cx="6080760" cy="7124700"/>
          <a:chOff x="1562100" y="6094319"/>
          <a:chExt cx="5905500" cy="6699525"/>
        </a:xfrm>
      </xdr:grpSpPr>
      <xdr:graphicFrame macro="">
        <xdr:nvGraphicFramePr>
          <xdr:cNvPr id="17" name="C SPOKEN PD" descr="Chart for Providers: Spoken Language (Top 10). Chart's Data is in Table 3 on the current page.">
            <a:extLst>
              <a:ext uri="{FF2B5EF4-FFF2-40B4-BE49-F238E27FC236}">
                <a16:creationId xmlns:a16="http://schemas.microsoft.com/office/drawing/2014/main" id="{00000000-0008-0000-0800-000011000000}"/>
              </a:ext>
            </a:extLst>
          </xdr:cNvPr>
          <xdr:cNvGraphicFramePr>
            <a:graphicFrameLocks/>
          </xdr:cNvGraphicFramePr>
        </xdr:nvGraphicFramePr>
        <xdr:xfrm>
          <a:off x="1562100" y="6094319"/>
          <a:ext cx="5905500" cy="669607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9" name="B AUTH HOURS HYPER HOME" descr="Note: A provider is not required to state their spoken language&#10;">
            <a:extLst>
              <a:ext uri="{FF2B5EF4-FFF2-40B4-BE49-F238E27FC236}">
                <a16:creationId xmlns:a16="http://schemas.microsoft.com/office/drawing/2014/main" id="{00000000-0008-0000-0800-000013000000}"/>
              </a:ext>
            </a:extLst>
          </xdr:cNvPr>
          <xdr:cNvSpPr/>
        </xdr:nvSpPr>
        <xdr:spPr>
          <a:xfrm>
            <a:off x="5000222" y="12155669"/>
            <a:ext cx="1828800" cy="638175"/>
          </a:xfrm>
          <a:prstGeom prst="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Note: A provider is not required to state their spoken language</a:t>
            </a:r>
          </a:p>
        </xdr:txBody>
      </xdr:sp>
    </xdr:grpSp>
    <xdr:clientData/>
  </xdr:twoCellAnchor>
  <xdr:twoCellAnchor>
    <xdr:from>
      <xdr:col>8</xdr:col>
      <xdr:colOff>0</xdr:colOff>
      <xdr:row>68</xdr:row>
      <xdr:rowOff>103505</xdr:rowOff>
    </xdr:from>
    <xdr:to>
      <xdr:col>12</xdr:col>
      <xdr:colOff>12065</xdr:colOff>
      <xdr:row>82</xdr:row>
      <xdr:rowOff>60960</xdr:rowOff>
    </xdr:to>
    <xdr:graphicFrame macro="">
      <xdr:nvGraphicFramePr>
        <xdr:cNvPr id="5" name="Chart 4" descr="Chart for Providers: Electronic Funds Transfer Chart's Data is in Table  on the current pag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89</xdr:row>
      <xdr:rowOff>103505</xdr:rowOff>
    </xdr:from>
    <xdr:to>
      <xdr:col>6</xdr:col>
      <xdr:colOff>1311274</xdr:colOff>
      <xdr:row>104</xdr:row>
      <xdr:rowOff>31623</xdr:rowOff>
    </xdr:to>
    <xdr:graphicFrame macro="">
      <xdr:nvGraphicFramePr>
        <xdr:cNvPr id="6" name="Chart 5" descr="Chart for Providers: Overtime and travel Violations. Chart's Data is in Table 6 on the current page">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22859</xdr:colOff>
      <xdr:row>89</xdr:row>
      <xdr:rowOff>103505</xdr:rowOff>
    </xdr:from>
    <xdr:to>
      <xdr:col>11</xdr:col>
      <xdr:colOff>1077594</xdr:colOff>
      <xdr:row>104</xdr:row>
      <xdr:rowOff>27305</xdr:rowOff>
    </xdr:to>
    <xdr:graphicFrame macro="">
      <xdr:nvGraphicFramePr>
        <xdr:cNvPr id="7" name="Chart 6" descr="Chart for Providers: Overtime Exemptions. Chart's Data is in Table 7 on the current page">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708025</xdr:colOff>
      <xdr:row>65</xdr:row>
      <xdr:rowOff>15240</xdr:rowOff>
    </xdr:from>
    <xdr:to>
      <xdr:col>7</xdr:col>
      <xdr:colOff>1</xdr:colOff>
      <xdr:row>65</xdr:row>
      <xdr:rowOff>187959</xdr:rowOff>
    </xdr:to>
    <xdr:sp macro="" textlink="">
      <xdr:nvSpPr>
        <xdr:cNvPr id="24" name="B RECIP SPOKEN HYPER HOME" descr="Link to Data De-Identification Guidelines definition on the Appendix and Terms Page">
          <a:hlinkClick xmlns:r="http://schemas.openxmlformats.org/officeDocument/2006/relationships" r:id="rId9" tooltip="Go to De-Identification definition"/>
          <a:extLst>
            <a:ext uri="{FF2B5EF4-FFF2-40B4-BE49-F238E27FC236}">
              <a16:creationId xmlns:a16="http://schemas.microsoft.com/office/drawing/2014/main" id="{7E255C32-AE82-4CF5-8E3E-7B99E0E3BBF9}"/>
            </a:ext>
          </a:extLst>
        </xdr:cNvPr>
        <xdr:cNvSpPr/>
      </xdr:nvSpPr>
      <xdr:spPr>
        <a:xfrm>
          <a:off x="7169785" y="12999720"/>
          <a:ext cx="663576" cy="172719"/>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DDG</a:t>
          </a:r>
        </a:p>
      </xdr:txBody>
    </xdr:sp>
    <xdr:clientData/>
  </xdr:twoCellAnchor>
  <xdr:twoCellAnchor editAs="absolute">
    <xdr:from>
      <xdr:col>9</xdr:col>
      <xdr:colOff>1128251</xdr:colOff>
      <xdr:row>1</xdr:row>
      <xdr:rowOff>59690</xdr:rowOff>
    </xdr:from>
    <xdr:to>
      <xdr:col>10</xdr:col>
      <xdr:colOff>822664</xdr:colOff>
      <xdr:row>3</xdr:row>
      <xdr:rowOff>24638</xdr:rowOff>
    </xdr:to>
    <xdr:sp macro="" textlink="">
      <xdr:nvSpPr>
        <xdr:cNvPr id="25" name="B AGE PAGE">
          <a:hlinkClick xmlns:r="http://schemas.openxmlformats.org/officeDocument/2006/relationships" r:id="rId10" tooltip="Age &amp; Gender Page (Current)"/>
          <a:extLst>
            <a:ext uri="{FF2B5EF4-FFF2-40B4-BE49-F238E27FC236}">
              <a16:creationId xmlns:a16="http://schemas.microsoft.com/office/drawing/2014/main" id="{3D26197C-A226-4247-8A62-95C3709B6249}"/>
            </a:ext>
          </a:extLst>
        </xdr:cNvPr>
        <xdr:cNvSpPr/>
      </xdr:nvSpPr>
      <xdr:spPr>
        <a:xfrm>
          <a:off x="10639281" y="82187"/>
          <a:ext cx="1013399"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xdr:col>
      <xdr:colOff>492302</xdr:colOff>
      <xdr:row>1</xdr:row>
      <xdr:rowOff>59690</xdr:rowOff>
    </xdr:from>
    <xdr:to>
      <xdr:col>5</xdr:col>
      <xdr:colOff>187774</xdr:colOff>
      <xdr:row>3</xdr:row>
      <xdr:rowOff>24638</xdr:rowOff>
    </xdr:to>
    <xdr:sp macro="" textlink="">
      <xdr:nvSpPr>
        <xdr:cNvPr id="26" name="B HOME PAGE">
          <a:hlinkClick xmlns:r="http://schemas.openxmlformats.org/officeDocument/2006/relationships" r:id="rId11" tooltip="Back to Dashboard Page"/>
          <a:extLst>
            <a:ext uri="{FF2B5EF4-FFF2-40B4-BE49-F238E27FC236}">
              <a16:creationId xmlns:a16="http://schemas.microsoft.com/office/drawing/2014/main" id="{B9E68442-71D0-4FEF-9043-986DD09DABBD}"/>
            </a:ext>
          </a:extLst>
        </xdr:cNvPr>
        <xdr:cNvSpPr/>
      </xdr:nvSpPr>
      <xdr:spPr>
        <a:xfrm>
          <a:off x="4057373" y="82187"/>
          <a:ext cx="1001758" cy="471860"/>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xdr:col>
      <xdr:colOff>287027</xdr:colOff>
      <xdr:row>1</xdr:row>
      <xdr:rowOff>59690</xdr:rowOff>
    </xdr:from>
    <xdr:to>
      <xdr:col>5</xdr:col>
      <xdr:colOff>1278988</xdr:colOff>
      <xdr:row>3</xdr:row>
      <xdr:rowOff>24638</xdr:rowOff>
    </xdr:to>
    <xdr:sp macro="" textlink="">
      <xdr:nvSpPr>
        <xdr:cNvPr id="27" name="B GEN DATA PAGE">
          <a:hlinkClick xmlns:r="http://schemas.openxmlformats.org/officeDocument/2006/relationships" r:id="rId12" tooltip="Back to General Data Page"/>
          <a:extLst>
            <a:ext uri="{FF2B5EF4-FFF2-40B4-BE49-F238E27FC236}">
              <a16:creationId xmlns:a16="http://schemas.microsoft.com/office/drawing/2014/main" id="{90E7AC32-C57B-4AA4-BF15-53F0094D6F61}"/>
            </a:ext>
          </a:extLst>
        </xdr:cNvPr>
        <xdr:cNvSpPr/>
      </xdr:nvSpPr>
      <xdr:spPr>
        <a:xfrm>
          <a:off x="5152034" y="82187"/>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6</xdr:col>
      <xdr:colOff>1167703</xdr:colOff>
      <xdr:row>1</xdr:row>
      <xdr:rowOff>59690</xdr:rowOff>
    </xdr:from>
    <xdr:to>
      <xdr:col>8</xdr:col>
      <xdr:colOff>710050</xdr:colOff>
      <xdr:row>3</xdr:row>
      <xdr:rowOff>24638</xdr:rowOff>
    </xdr:to>
    <xdr:sp macro="" textlink="">
      <xdr:nvSpPr>
        <xdr:cNvPr id="28" name="B ABD PAGE">
          <a:hlinkClick xmlns:r="http://schemas.openxmlformats.org/officeDocument/2006/relationships" r:id="rId13" tooltip="Aged, Blind, or Disabled Page (Current)"/>
          <a:extLst>
            <a:ext uri="{FF2B5EF4-FFF2-40B4-BE49-F238E27FC236}">
              <a16:creationId xmlns:a16="http://schemas.microsoft.com/office/drawing/2014/main" id="{6C1128C9-5D56-43C4-88DE-73C89699F702}"/>
            </a:ext>
          </a:extLst>
        </xdr:cNvPr>
        <xdr:cNvSpPr/>
      </xdr:nvSpPr>
      <xdr:spPr>
        <a:xfrm>
          <a:off x="7344076" y="82187"/>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xdr:col>
      <xdr:colOff>1279871</xdr:colOff>
      <xdr:row>1</xdr:row>
      <xdr:rowOff>59690</xdr:rowOff>
    </xdr:from>
    <xdr:to>
      <xdr:col>4</xdr:col>
      <xdr:colOff>407019</xdr:colOff>
      <xdr:row>3</xdr:row>
      <xdr:rowOff>24638</xdr:rowOff>
    </xdr:to>
    <xdr:sp macro="" textlink="">
      <xdr:nvSpPr>
        <xdr:cNvPr id="40" name="B GEN DATA PAGE">
          <a:hlinkClick xmlns:r="http://schemas.openxmlformats.org/officeDocument/2006/relationships" r:id="rId14" tooltip="Back to Navigation Page"/>
          <a:extLst>
            <a:ext uri="{FF2B5EF4-FFF2-40B4-BE49-F238E27FC236}">
              <a16:creationId xmlns:a16="http://schemas.microsoft.com/office/drawing/2014/main" id="{7AD31107-2558-4C8B-B598-CCE88AD9378D}"/>
            </a:ext>
          </a:extLst>
        </xdr:cNvPr>
        <xdr:cNvSpPr/>
      </xdr:nvSpPr>
      <xdr:spPr>
        <a:xfrm>
          <a:off x="2958630" y="82187"/>
          <a:ext cx="1005840"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14</xdr:col>
      <xdr:colOff>557793</xdr:colOff>
      <xdr:row>1</xdr:row>
      <xdr:rowOff>59690</xdr:rowOff>
    </xdr:from>
    <xdr:to>
      <xdr:col>16</xdr:col>
      <xdr:colOff>477156</xdr:colOff>
      <xdr:row>3</xdr:row>
      <xdr:rowOff>21743</xdr:rowOff>
    </xdr:to>
    <xdr:sp macro="" textlink="">
      <xdr:nvSpPr>
        <xdr:cNvPr id="42" name="B ALL DATA PAGE">
          <a:hlinkClick xmlns:r="http://schemas.openxmlformats.org/officeDocument/2006/relationships" r:id="rId15" tooltip="Back to All Data Page"/>
          <a:extLst>
            <a:ext uri="{FF2B5EF4-FFF2-40B4-BE49-F238E27FC236}">
              <a16:creationId xmlns:a16="http://schemas.microsoft.com/office/drawing/2014/main" id="{CBF4CBD9-4C52-44DA-8DF2-A25D19040138}"/>
            </a:ext>
          </a:extLst>
        </xdr:cNvPr>
        <xdr:cNvSpPr/>
      </xdr:nvSpPr>
      <xdr:spPr>
        <a:xfrm>
          <a:off x="15030350" y="82187"/>
          <a:ext cx="998863" cy="468965"/>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13</xdr:col>
      <xdr:colOff>231319</xdr:colOff>
      <xdr:row>1</xdr:row>
      <xdr:rowOff>59690</xdr:rowOff>
    </xdr:from>
    <xdr:to>
      <xdr:col>14</xdr:col>
      <xdr:colOff>440756</xdr:colOff>
      <xdr:row>3</xdr:row>
      <xdr:rowOff>21743</xdr:rowOff>
    </xdr:to>
    <xdr:sp macro="" textlink="">
      <xdr:nvSpPr>
        <xdr:cNvPr id="43" name="B TERMS PAGE">
          <a:hlinkClick xmlns:r="http://schemas.openxmlformats.org/officeDocument/2006/relationships" r:id="rId16" tooltip="Back to Appendix &amp; Terms Page"/>
          <a:extLst>
            <a:ext uri="{FF2B5EF4-FFF2-40B4-BE49-F238E27FC236}">
              <a16:creationId xmlns:a16="http://schemas.microsoft.com/office/drawing/2014/main" id="{DBAD5A9B-5223-4D4D-9181-4A73313F10BA}"/>
            </a:ext>
          </a:extLst>
        </xdr:cNvPr>
        <xdr:cNvSpPr/>
      </xdr:nvSpPr>
      <xdr:spPr>
        <a:xfrm>
          <a:off x="13947319" y="82187"/>
          <a:ext cx="990124"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11</xdr:col>
      <xdr:colOff>1053499</xdr:colOff>
      <xdr:row>1</xdr:row>
      <xdr:rowOff>59690</xdr:rowOff>
    </xdr:from>
    <xdr:to>
      <xdr:col>13</xdr:col>
      <xdr:colOff>139686</xdr:colOff>
      <xdr:row>3</xdr:row>
      <xdr:rowOff>21743</xdr:rowOff>
    </xdr:to>
    <xdr:sp macro="" textlink="">
      <xdr:nvSpPr>
        <xdr:cNvPr id="44" name="B PROV DET PAGE">
          <a:hlinkClick xmlns:r="http://schemas.openxmlformats.org/officeDocument/2006/relationships" r:id="rId17" tooltip="Back to Provider Page"/>
          <a:extLst>
            <a:ext uri="{FF2B5EF4-FFF2-40B4-BE49-F238E27FC236}">
              <a16:creationId xmlns:a16="http://schemas.microsoft.com/office/drawing/2014/main" id="{FBE157FC-8B11-4B63-BDE6-40B7FA8783BE}"/>
            </a:ext>
          </a:extLst>
        </xdr:cNvPr>
        <xdr:cNvSpPr/>
      </xdr:nvSpPr>
      <xdr:spPr>
        <a:xfrm>
          <a:off x="12846719" y="82187"/>
          <a:ext cx="1007697" cy="468965"/>
        </a:xfrm>
        <a:prstGeom prst="roundRect">
          <a:avLst/>
        </a:prstGeom>
        <a:solidFill>
          <a:srgbClr val="C74F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8</xdr:col>
      <xdr:colOff>820733</xdr:colOff>
      <xdr:row>1</xdr:row>
      <xdr:rowOff>59690</xdr:rowOff>
    </xdr:from>
    <xdr:to>
      <xdr:col>8</xdr:col>
      <xdr:colOff>1815298</xdr:colOff>
      <xdr:row>3</xdr:row>
      <xdr:rowOff>21743</xdr:rowOff>
    </xdr:to>
    <xdr:sp macro="" textlink="">
      <xdr:nvSpPr>
        <xdr:cNvPr id="45" name="B IHSS PROG PAGE">
          <a:hlinkClick xmlns:r="http://schemas.openxmlformats.org/officeDocument/2006/relationships" r:id="rId18" tooltip="Back to IHSS Programs Page"/>
          <a:extLst>
            <a:ext uri="{FF2B5EF4-FFF2-40B4-BE49-F238E27FC236}">
              <a16:creationId xmlns:a16="http://schemas.microsoft.com/office/drawing/2014/main" id="{575213B5-F66F-4A60-A97C-28CB611E3073}"/>
            </a:ext>
          </a:extLst>
        </xdr:cNvPr>
        <xdr:cNvSpPr/>
      </xdr:nvSpPr>
      <xdr:spPr>
        <a:xfrm>
          <a:off x="8444180" y="82187"/>
          <a:ext cx="100345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10</xdr:col>
      <xdr:colOff>914297</xdr:colOff>
      <xdr:row>1</xdr:row>
      <xdr:rowOff>59690</xdr:rowOff>
    </xdr:from>
    <xdr:to>
      <xdr:col>11</xdr:col>
      <xdr:colOff>937736</xdr:colOff>
      <xdr:row>3</xdr:row>
      <xdr:rowOff>21743</xdr:rowOff>
    </xdr:to>
    <xdr:sp macro="" textlink="">
      <xdr:nvSpPr>
        <xdr:cNvPr id="46" name="B ETHNICITY PAGE">
          <a:hlinkClick xmlns:r="http://schemas.openxmlformats.org/officeDocument/2006/relationships" r:id="rId19" tooltip="Back to Ethnicity &amp; Language Page"/>
          <a:extLst>
            <a:ext uri="{FF2B5EF4-FFF2-40B4-BE49-F238E27FC236}">
              <a16:creationId xmlns:a16="http://schemas.microsoft.com/office/drawing/2014/main" id="{7EAB5F2B-EBF5-4E43-8BD7-593CF93347C4}"/>
            </a:ext>
          </a:extLst>
        </xdr:cNvPr>
        <xdr:cNvSpPr/>
      </xdr:nvSpPr>
      <xdr:spPr>
        <a:xfrm>
          <a:off x="11745583" y="82187"/>
          <a:ext cx="1008233"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6</xdr:col>
      <xdr:colOff>74495</xdr:colOff>
      <xdr:row>1</xdr:row>
      <xdr:rowOff>59690</xdr:rowOff>
    </xdr:from>
    <xdr:to>
      <xdr:col>6</xdr:col>
      <xdr:colOff>1088770</xdr:colOff>
      <xdr:row>3</xdr:row>
      <xdr:rowOff>21743</xdr:rowOff>
    </xdr:to>
    <xdr:sp macro="" textlink="">
      <xdr:nvSpPr>
        <xdr:cNvPr id="47" name="B GEN DATA PAGE">
          <a:hlinkClick xmlns:r="http://schemas.openxmlformats.org/officeDocument/2006/relationships" r:id="rId20" tooltip="IHSS Applicants Page (Current)"/>
          <a:extLst>
            <a:ext uri="{FF2B5EF4-FFF2-40B4-BE49-F238E27FC236}">
              <a16:creationId xmlns:a16="http://schemas.microsoft.com/office/drawing/2014/main" id="{9032CC8C-A6C6-46AD-A941-E229058B041C}"/>
            </a:ext>
          </a:extLst>
        </xdr:cNvPr>
        <xdr:cNvSpPr/>
      </xdr:nvSpPr>
      <xdr:spPr>
        <a:xfrm>
          <a:off x="6252138" y="82187"/>
          <a:ext cx="99903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9</xdr:col>
      <xdr:colOff>21888</xdr:colOff>
      <xdr:row>1</xdr:row>
      <xdr:rowOff>59690</xdr:rowOff>
    </xdr:from>
    <xdr:to>
      <xdr:col>9</xdr:col>
      <xdr:colOff>1012488</xdr:colOff>
      <xdr:row>3</xdr:row>
      <xdr:rowOff>24638</xdr:rowOff>
    </xdr:to>
    <xdr:sp macro="" textlink="">
      <xdr:nvSpPr>
        <xdr:cNvPr id="48" name="B IHSS SERV PAGE">
          <a:hlinkClick xmlns:r="http://schemas.openxmlformats.org/officeDocument/2006/relationships" r:id="rId21" tooltip="IHSS Services Page (Current)"/>
          <a:extLst>
            <a:ext uri="{FF2B5EF4-FFF2-40B4-BE49-F238E27FC236}">
              <a16:creationId xmlns:a16="http://schemas.microsoft.com/office/drawing/2014/main" id="{FFEFD8E6-9042-4648-92D2-F5995F270C81}"/>
            </a:ext>
          </a:extLst>
        </xdr:cNvPr>
        <xdr:cNvSpPr/>
      </xdr:nvSpPr>
      <xdr:spPr>
        <a:xfrm>
          <a:off x="9540538" y="82187"/>
          <a:ext cx="1005840"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2286000</xdr:colOff>
      <xdr:row>3</xdr:row>
      <xdr:rowOff>23084</xdr:rowOff>
    </xdr:to>
    <xdr:sp macro="" textlink="">
      <xdr:nvSpPr>
        <xdr:cNvPr id="34" name="B NAME AT" descr="County Name and Link back to county selection">
          <a:hlinkClick xmlns:r="http://schemas.openxmlformats.org/officeDocument/2006/relationships" r:id="rId1" tooltip="Back to County Selection"/>
          <a:extLst>
            <a:ext uri="{FF2B5EF4-FFF2-40B4-BE49-F238E27FC236}">
              <a16:creationId xmlns:a16="http://schemas.microsoft.com/office/drawing/2014/main" id="{00000000-0008-0000-0900-000022000000}"/>
            </a:ext>
          </a:extLst>
        </xdr:cNvPr>
        <xdr:cNvSpPr/>
      </xdr:nvSpPr>
      <xdr:spPr>
        <a:xfrm>
          <a:off x="0" y="0"/>
          <a:ext cx="2286000" cy="548640"/>
        </a:xfrm>
        <a:prstGeom prst="round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4897121</xdr:colOff>
      <xdr:row>4</xdr:row>
      <xdr:rowOff>112619</xdr:rowOff>
    </xdr:from>
    <xdr:to>
      <xdr:col>0</xdr:col>
      <xdr:colOff>10615931</xdr:colOff>
      <xdr:row>7</xdr:row>
      <xdr:rowOff>25128</xdr:rowOff>
    </xdr:to>
    <xdr:sp macro="" textlink="">
      <xdr:nvSpPr>
        <xdr:cNvPr id="2" name="B INSTRUC AT">
          <a:extLst>
            <a:ext uri="{FF2B5EF4-FFF2-40B4-BE49-F238E27FC236}">
              <a16:creationId xmlns:a16="http://schemas.microsoft.com/office/drawing/2014/main" id="{00000000-0008-0000-0900-000002000000}"/>
            </a:ext>
          </a:extLst>
        </xdr:cNvPr>
        <xdr:cNvSpPr/>
      </xdr:nvSpPr>
      <xdr:spPr>
        <a:xfrm>
          <a:off x="4905376" y="798419"/>
          <a:ext cx="5695950" cy="573181"/>
        </a:xfrm>
        <a:prstGeom prst="roundRect">
          <a:avLst/>
        </a:prstGeom>
        <a:solidFill>
          <a:srgbClr val="5E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u="none">
              <a:latin typeface="Arial" panose="020B0604020202020204" pitchFamily="34" charset="0"/>
              <a:cs typeface="Arial" panose="020B0604020202020204" pitchFamily="34" charset="0"/>
            </a:rPr>
            <a:t>Click on terms in bold</a:t>
          </a:r>
          <a:r>
            <a:rPr lang="en-US" sz="1100" u="none" baseline="0">
              <a:latin typeface="Arial" panose="020B0604020202020204" pitchFamily="34" charset="0"/>
              <a:cs typeface="Arial" panose="020B0604020202020204" pitchFamily="34" charset="0"/>
            </a:rPr>
            <a:t> </a:t>
          </a:r>
          <a:r>
            <a:rPr lang="en-US" sz="1100" u="none">
              <a:latin typeface="Arial" panose="020B0604020202020204" pitchFamily="34" charset="0"/>
              <a:cs typeface="Arial" panose="020B0604020202020204" pitchFamily="34" charset="0"/>
            </a:rPr>
            <a:t>BELOW </a:t>
          </a:r>
          <a:r>
            <a:rPr lang="en-US" sz="1100">
              <a:latin typeface="Arial" panose="020B0604020202020204" pitchFamily="34" charset="0"/>
              <a:cs typeface="Arial" panose="020B0604020202020204" pitchFamily="34" charset="0"/>
            </a:rPr>
            <a:t>to go to the appropriate chart the term is referenced.</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The Appendix</a:t>
          </a:r>
          <a:r>
            <a:rPr lang="en-US" sz="1100" baseline="0">
              <a:solidFill>
                <a:schemeClr val="lt1"/>
              </a:solidFill>
              <a:effectLst/>
              <a:latin typeface="Arial" panose="020B0604020202020204" pitchFamily="34" charset="0"/>
              <a:ea typeface="+mn-ea"/>
              <a:cs typeface="Arial" panose="020B0604020202020204" pitchFamily="34" charset="0"/>
            </a:rPr>
            <a:t> is located after the Terms.</a:t>
          </a:r>
          <a:r>
            <a:rPr lang="en-US" sz="1100">
              <a:latin typeface="Arial" panose="020B0604020202020204" pitchFamily="34" charset="0"/>
              <a:cs typeface="Arial" panose="020B0604020202020204" pitchFamily="34" charset="0"/>
            </a:rPr>
            <a:t> </a:t>
          </a:r>
          <a:endParaRPr lang="en-US" sz="1200">
            <a:latin typeface="Arial" panose="020B0604020202020204" pitchFamily="34" charset="0"/>
            <a:cs typeface="Arial" panose="020B0604020202020204" pitchFamily="34" charset="0"/>
          </a:endParaRPr>
        </a:p>
      </xdr:txBody>
    </xdr:sp>
    <xdr:clientData/>
  </xdr:twoCellAnchor>
  <xdr:twoCellAnchor editAs="absolute">
    <xdr:from>
      <xdr:col>0</xdr:col>
      <xdr:colOff>10653714</xdr:colOff>
      <xdr:row>1</xdr:row>
      <xdr:rowOff>58420</xdr:rowOff>
    </xdr:from>
    <xdr:to>
      <xdr:col>0</xdr:col>
      <xdr:colOff>11645523</xdr:colOff>
      <xdr:row>3</xdr:row>
      <xdr:rowOff>25908</xdr:rowOff>
    </xdr:to>
    <xdr:sp macro="" textlink="">
      <xdr:nvSpPr>
        <xdr:cNvPr id="25" name="B AGE PAGE">
          <a:hlinkClick xmlns:r="http://schemas.openxmlformats.org/officeDocument/2006/relationships" r:id="rId2" tooltip="Age &amp; Gender Page (Current)"/>
          <a:extLst>
            <a:ext uri="{FF2B5EF4-FFF2-40B4-BE49-F238E27FC236}">
              <a16:creationId xmlns:a16="http://schemas.microsoft.com/office/drawing/2014/main" id="{B3F4194D-B004-480C-9D6A-B7DAB81D5915}"/>
            </a:ext>
          </a:extLst>
        </xdr:cNvPr>
        <xdr:cNvSpPr/>
      </xdr:nvSpPr>
      <xdr:spPr>
        <a:xfrm>
          <a:off x="10633394" y="85997"/>
          <a:ext cx="1013399"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0</xdr:col>
      <xdr:colOff>4060376</xdr:colOff>
      <xdr:row>1</xdr:row>
      <xdr:rowOff>58420</xdr:rowOff>
    </xdr:from>
    <xdr:to>
      <xdr:col>0</xdr:col>
      <xdr:colOff>5051974</xdr:colOff>
      <xdr:row>3</xdr:row>
      <xdr:rowOff>25908</xdr:rowOff>
    </xdr:to>
    <xdr:sp macro="" textlink="">
      <xdr:nvSpPr>
        <xdr:cNvPr id="26" name="B HOME PAGE">
          <a:hlinkClick xmlns:r="http://schemas.openxmlformats.org/officeDocument/2006/relationships" r:id="rId3" tooltip="Back to Dashboard Page"/>
          <a:extLst>
            <a:ext uri="{FF2B5EF4-FFF2-40B4-BE49-F238E27FC236}">
              <a16:creationId xmlns:a16="http://schemas.microsoft.com/office/drawing/2014/main" id="{6A053502-2546-4853-89C7-C19B5806DFBB}"/>
            </a:ext>
          </a:extLst>
        </xdr:cNvPr>
        <xdr:cNvSpPr/>
      </xdr:nvSpPr>
      <xdr:spPr>
        <a:xfrm>
          <a:off x="4051486" y="85997"/>
          <a:ext cx="1001758" cy="471860"/>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0</xdr:col>
      <xdr:colOff>5146147</xdr:colOff>
      <xdr:row>1</xdr:row>
      <xdr:rowOff>58420</xdr:rowOff>
    </xdr:from>
    <xdr:to>
      <xdr:col>0</xdr:col>
      <xdr:colOff>6158428</xdr:colOff>
      <xdr:row>3</xdr:row>
      <xdr:rowOff>25908</xdr:rowOff>
    </xdr:to>
    <xdr:sp macro="" textlink="">
      <xdr:nvSpPr>
        <xdr:cNvPr id="27" name="B GEN DATA PAGE">
          <a:hlinkClick xmlns:r="http://schemas.openxmlformats.org/officeDocument/2006/relationships" r:id="rId4" tooltip="Back to General Data Page"/>
          <a:extLst>
            <a:ext uri="{FF2B5EF4-FFF2-40B4-BE49-F238E27FC236}">
              <a16:creationId xmlns:a16="http://schemas.microsoft.com/office/drawing/2014/main" id="{4AC7B58D-F4DC-46F2-B846-3962E108A8BC}"/>
            </a:ext>
          </a:extLst>
        </xdr:cNvPr>
        <xdr:cNvSpPr/>
      </xdr:nvSpPr>
      <xdr:spPr>
        <a:xfrm>
          <a:off x="5146147" y="85997"/>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0</xdr:col>
      <xdr:colOff>7336919</xdr:colOff>
      <xdr:row>1</xdr:row>
      <xdr:rowOff>58420</xdr:rowOff>
    </xdr:from>
    <xdr:to>
      <xdr:col>0</xdr:col>
      <xdr:colOff>8345390</xdr:colOff>
      <xdr:row>3</xdr:row>
      <xdr:rowOff>25908</xdr:rowOff>
    </xdr:to>
    <xdr:sp macro="" textlink="">
      <xdr:nvSpPr>
        <xdr:cNvPr id="28" name="B ABD PAGE">
          <a:hlinkClick xmlns:r="http://schemas.openxmlformats.org/officeDocument/2006/relationships" r:id="rId5" tooltip="Aged, Blind, or Disabled Page (Current)"/>
          <a:extLst>
            <a:ext uri="{FF2B5EF4-FFF2-40B4-BE49-F238E27FC236}">
              <a16:creationId xmlns:a16="http://schemas.microsoft.com/office/drawing/2014/main" id="{94F3B101-41BE-47FC-9F3D-7026E502DA0E}"/>
            </a:ext>
          </a:extLst>
        </xdr:cNvPr>
        <xdr:cNvSpPr/>
      </xdr:nvSpPr>
      <xdr:spPr>
        <a:xfrm>
          <a:off x="7338189" y="85997"/>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0</xdr:col>
      <xdr:colOff>2957823</xdr:colOff>
      <xdr:row>1</xdr:row>
      <xdr:rowOff>58420</xdr:rowOff>
    </xdr:from>
    <xdr:to>
      <xdr:col>0</xdr:col>
      <xdr:colOff>3944613</xdr:colOff>
      <xdr:row>3</xdr:row>
      <xdr:rowOff>25908</xdr:rowOff>
    </xdr:to>
    <xdr:sp macro="" textlink="">
      <xdr:nvSpPr>
        <xdr:cNvPr id="29" name="B GEN DATA PAGE">
          <a:hlinkClick xmlns:r="http://schemas.openxmlformats.org/officeDocument/2006/relationships" r:id="rId6" tooltip="Back to Navigation Page"/>
          <a:extLst>
            <a:ext uri="{FF2B5EF4-FFF2-40B4-BE49-F238E27FC236}">
              <a16:creationId xmlns:a16="http://schemas.microsoft.com/office/drawing/2014/main" id="{2E7CF537-AAF5-4667-AD78-22AE280A94A0}"/>
            </a:ext>
          </a:extLst>
        </xdr:cNvPr>
        <xdr:cNvSpPr/>
      </xdr:nvSpPr>
      <xdr:spPr>
        <a:xfrm>
          <a:off x="2952743" y="85997"/>
          <a:ext cx="1005840"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0</xdr:col>
      <xdr:colOff>15037163</xdr:colOff>
      <xdr:row>1</xdr:row>
      <xdr:rowOff>62230</xdr:rowOff>
    </xdr:from>
    <xdr:to>
      <xdr:col>0</xdr:col>
      <xdr:colOff>16024461</xdr:colOff>
      <xdr:row>3</xdr:row>
      <xdr:rowOff>20473</xdr:rowOff>
    </xdr:to>
    <xdr:sp macro="" textlink="">
      <xdr:nvSpPr>
        <xdr:cNvPr id="30" name="B ALL DATA PAGE">
          <a:hlinkClick xmlns:r="http://schemas.openxmlformats.org/officeDocument/2006/relationships" r:id="rId7" tooltip="Back to All Data Page"/>
          <a:extLst>
            <a:ext uri="{FF2B5EF4-FFF2-40B4-BE49-F238E27FC236}">
              <a16:creationId xmlns:a16="http://schemas.microsoft.com/office/drawing/2014/main" id="{536804E7-C0DB-4AC8-B7B3-0EAB7EFABAEA}"/>
            </a:ext>
          </a:extLst>
        </xdr:cNvPr>
        <xdr:cNvSpPr/>
      </xdr:nvSpPr>
      <xdr:spPr>
        <a:xfrm>
          <a:off x="15033353" y="66040"/>
          <a:ext cx="978408" cy="490373"/>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0</xdr:col>
      <xdr:colOff>13941432</xdr:colOff>
      <xdr:row>1</xdr:row>
      <xdr:rowOff>58420</xdr:rowOff>
    </xdr:from>
    <xdr:to>
      <xdr:col>0</xdr:col>
      <xdr:colOff>14917586</xdr:colOff>
      <xdr:row>3</xdr:row>
      <xdr:rowOff>23013</xdr:rowOff>
    </xdr:to>
    <xdr:sp macro="" textlink="">
      <xdr:nvSpPr>
        <xdr:cNvPr id="31" name="B TERMS PAGE">
          <a:hlinkClick xmlns:r="http://schemas.openxmlformats.org/officeDocument/2006/relationships" r:id="rId8" tooltip="Back to Appendix &amp; Terms Page"/>
          <a:extLst>
            <a:ext uri="{FF2B5EF4-FFF2-40B4-BE49-F238E27FC236}">
              <a16:creationId xmlns:a16="http://schemas.microsoft.com/office/drawing/2014/main" id="{6371F6DA-A03E-4409-B6E2-BF29935E81A4}"/>
            </a:ext>
          </a:extLst>
        </xdr:cNvPr>
        <xdr:cNvSpPr/>
      </xdr:nvSpPr>
      <xdr:spPr>
        <a:xfrm>
          <a:off x="13941432" y="85997"/>
          <a:ext cx="990124" cy="468965"/>
        </a:xfrm>
        <a:prstGeom prst="roundRect">
          <a:avLst/>
        </a:prstGeom>
        <a:solidFill>
          <a:srgbClr val="C74F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0</xdr:col>
      <xdr:colOff>12840832</xdr:colOff>
      <xdr:row>1</xdr:row>
      <xdr:rowOff>58420</xdr:rowOff>
    </xdr:from>
    <xdr:to>
      <xdr:col>0</xdr:col>
      <xdr:colOff>13853609</xdr:colOff>
      <xdr:row>3</xdr:row>
      <xdr:rowOff>23013</xdr:rowOff>
    </xdr:to>
    <xdr:sp macro="" textlink="">
      <xdr:nvSpPr>
        <xdr:cNvPr id="32" name="B PROV DET PAGE">
          <a:hlinkClick xmlns:r="http://schemas.openxmlformats.org/officeDocument/2006/relationships" r:id="rId9" tooltip="Back to Provider Page"/>
          <a:extLst>
            <a:ext uri="{FF2B5EF4-FFF2-40B4-BE49-F238E27FC236}">
              <a16:creationId xmlns:a16="http://schemas.microsoft.com/office/drawing/2014/main" id="{BAB59CFD-A357-4B39-A7A1-07EADD9D7780}"/>
            </a:ext>
          </a:extLst>
        </xdr:cNvPr>
        <xdr:cNvSpPr/>
      </xdr:nvSpPr>
      <xdr:spPr>
        <a:xfrm>
          <a:off x="12840832" y="85997"/>
          <a:ext cx="1007697"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0</xdr:col>
      <xdr:colOff>8443373</xdr:colOff>
      <xdr:row>1</xdr:row>
      <xdr:rowOff>58420</xdr:rowOff>
    </xdr:from>
    <xdr:to>
      <xdr:col>0</xdr:col>
      <xdr:colOff>9436668</xdr:colOff>
      <xdr:row>3</xdr:row>
      <xdr:rowOff>23013</xdr:rowOff>
    </xdr:to>
    <xdr:sp macro="" textlink="">
      <xdr:nvSpPr>
        <xdr:cNvPr id="33" name="B IHSS PROG PAGE">
          <a:hlinkClick xmlns:r="http://schemas.openxmlformats.org/officeDocument/2006/relationships" r:id="rId10" tooltip="Back to IHSS Programs Page"/>
          <a:extLst>
            <a:ext uri="{FF2B5EF4-FFF2-40B4-BE49-F238E27FC236}">
              <a16:creationId xmlns:a16="http://schemas.microsoft.com/office/drawing/2014/main" id="{9DEDBDF2-A79F-42D2-92C2-82B8914291E5}"/>
            </a:ext>
          </a:extLst>
        </xdr:cNvPr>
        <xdr:cNvSpPr/>
      </xdr:nvSpPr>
      <xdr:spPr>
        <a:xfrm>
          <a:off x="8438293" y="85997"/>
          <a:ext cx="100345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0</xdr:col>
      <xdr:colOff>11756206</xdr:colOff>
      <xdr:row>1</xdr:row>
      <xdr:rowOff>58420</xdr:rowOff>
    </xdr:from>
    <xdr:to>
      <xdr:col>0</xdr:col>
      <xdr:colOff>12746659</xdr:colOff>
      <xdr:row>3</xdr:row>
      <xdr:rowOff>23013</xdr:rowOff>
    </xdr:to>
    <xdr:sp macro="" textlink="">
      <xdr:nvSpPr>
        <xdr:cNvPr id="35" name="B ETHNICITY PAGE">
          <a:hlinkClick xmlns:r="http://schemas.openxmlformats.org/officeDocument/2006/relationships" r:id="rId11" tooltip="Back to Ethnicity &amp; Language Page"/>
          <a:extLst>
            <a:ext uri="{FF2B5EF4-FFF2-40B4-BE49-F238E27FC236}">
              <a16:creationId xmlns:a16="http://schemas.microsoft.com/office/drawing/2014/main" id="{90B99EC6-6FD4-44D6-A39B-03C46F9F2B35}"/>
            </a:ext>
          </a:extLst>
        </xdr:cNvPr>
        <xdr:cNvSpPr/>
      </xdr:nvSpPr>
      <xdr:spPr>
        <a:xfrm>
          <a:off x="11739696" y="85997"/>
          <a:ext cx="1008233"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0</xdr:col>
      <xdr:colOff>6246251</xdr:colOff>
      <xdr:row>1</xdr:row>
      <xdr:rowOff>58420</xdr:rowOff>
    </xdr:from>
    <xdr:to>
      <xdr:col>0</xdr:col>
      <xdr:colOff>7264336</xdr:colOff>
      <xdr:row>3</xdr:row>
      <xdr:rowOff>23013</xdr:rowOff>
    </xdr:to>
    <xdr:sp macro="" textlink="">
      <xdr:nvSpPr>
        <xdr:cNvPr id="36" name="B GEN DATA PAGE">
          <a:hlinkClick xmlns:r="http://schemas.openxmlformats.org/officeDocument/2006/relationships" r:id="rId12" tooltip="IHSS Applicants Page (Current)"/>
          <a:extLst>
            <a:ext uri="{FF2B5EF4-FFF2-40B4-BE49-F238E27FC236}">
              <a16:creationId xmlns:a16="http://schemas.microsoft.com/office/drawing/2014/main" id="{E56370AD-19D9-4B97-B712-67940384AADC}"/>
            </a:ext>
          </a:extLst>
        </xdr:cNvPr>
        <xdr:cNvSpPr/>
      </xdr:nvSpPr>
      <xdr:spPr>
        <a:xfrm>
          <a:off x="6246251" y="85997"/>
          <a:ext cx="99903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0</xdr:col>
      <xdr:colOff>9548621</xdr:colOff>
      <xdr:row>1</xdr:row>
      <xdr:rowOff>58420</xdr:rowOff>
    </xdr:from>
    <xdr:to>
      <xdr:col>0</xdr:col>
      <xdr:colOff>10539221</xdr:colOff>
      <xdr:row>3</xdr:row>
      <xdr:rowOff>25908</xdr:rowOff>
    </xdr:to>
    <xdr:sp macro="" textlink="">
      <xdr:nvSpPr>
        <xdr:cNvPr id="38" name="B IHSS SERV PAGE">
          <a:hlinkClick xmlns:r="http://schemas.openxmlformats.org/officeDocument/2006/relationships" r:id="rId13" tooltip="IHSS Services Page (Current)"/>
          <a:extLst>
            <a:ext uri="{FF2B5EF4-FFF2-40B4-BE49-F238E27FC236}">
              <a16:creationId xmlns:a16="http://schemas.microsoft.com/office/drawing/2014/main" id="{E814B067-BCBE-44DB-995B-B77E83424D9F}"/>
            </a:ext>
          </a:extLst>
        </xdr:cNvPr>
        <xdr:cNvSpPr/>
      </xdr:nvSpPr>
      <xdr:spPr>
        <a:xfrm>
          <a:off x="9534651" y="85997"/>
          <a:ext cx="1005840"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1</xdr:colOff>
      <xdr:row>1</xdr:row>
      <xdr:rowOff>23856</xdr:rowOff>
    </xdr:from>
    <xdr:to>
      <xdr:col>1</xdr:col>
      <xdr:colOff>938712</xdr:colOff>
      <xdr:row>1</xdr:row>
      <xdr:rowOff>633457</xdr:rowOff>
    </xdr:to>
    <xdr:sp macro="" textlink="">
      <xdr:nvSpPr>
        <xdr:cNvPr id="2" name="B NAME DATE AD" descr="County Name and Link back to county selection">
          <a:hlinkClick xmlns:r="http://schemas.openxmlformats.org/officeDocument/2006/relationships" r:id="rId1" tooltip="Back to County Selection"/>
          <a:extLst>
            <a:ext uri="{FF2B5EF4-FFF2-40B4-BE49-F238E27FC236}">
              <a16:creationId xmlns:a16="http://schemas.microsoft.com/office/drawing/2014/main" id="{00000000-0008-0000-0B00-000002000000}"/>
            </a:ext>
          </a:extLst>
        </xdr:cNvPr>
        <xdr:cNvSpPr/>
      </xdr:nvSpPr>
      <xdr:spPr>
        <a:xfrm>
          <a:off x="1" y="24491"/>
          <a:ext cx="2286000" cy="609601"/>
        </a:xfrm>
        <a:prstGeom prst="round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LocksWithSheet="0"/>
  </xdr:twoCellAnchor>
  <xdr:twoCellAnchor editAs="absolute">
    <xdr:from>
      <xdr:col>8</xdr:col>
      <xdr:colOff>748148</xdr:colOff>
      <xdr:row>1</xdr:row>
      <xdr:rowOff>59690</xdr:rowOff>
    </xdr:from>
    <xdr:to>
      <xdr:col>9</xdr:col>
      <xdr:colOff>290610</xdr:colOff>
      <xdr:row>1</xdr:row>
      <xdr:rowOff>553466</xdr:rowOff>
    </xdr:to>
    <xdr:sp macro="" textlink="">
      <xdr:nvSpPr>
        <xdr:cNvPr id="223" name="B AGE PAGE">
          <a:hlinkClick xmlns:r="http://schemas.openxmlformats.org/officeDocument/2006/relationships" r:id="rId2" tooltip="Age &amp; Gender Page (Current)"/>
          <a:extLst>
            <a:ext uri="{FF2B5EF4-FFF2-40B4-BE49-F238E27FC236}">
              <a16:creationId xmlns:a16="http://schemas.microsoft.com/office/drawing/2014/main" id="{E4B0A870-2A60-451F-9C07-AA4583045477}"/>
            </a:ext>
          </a:extLst>
        </xdr:cNvPr>
        <xdr:cNvSpPr/>
      </xdr:nvSpPr>
      <xdr:spPr>
        <a:xfrm>
          <a:off x="11162995" y="58420"/>
          <a:ext cx="105206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xdr:col>
      <xdr:colOff>515083</xdr:colOff>
      <xdr:row>1</xdr:row>
      <xdr:rowOff>59690</xdr:rowOff>
    </xdr:from>
    <xdr:to>
      <xdr:col>4</xdr:col>
      <xdr:colOff>402561</xdr:colOff>
      <xdr:row>1</xdr:row>
      <xdr:rowOff>553466</xdr:rowOff>
    </xdr:to>
    <xdr:sp macro="" textlink="">
      <xdr:nvSpPr>
        <xdr:cNvPr id="224" name="B HOME PAGE">
          <a:hlinkClick xmlns:r="http://schemas.openxmlformats.org/officeDocument/2006/relationships" r:id="rId3" tooltip="Back to Dashboard Page"/>
          <a:extLst>
            <a:ext uri="{FF2B5EF4-FFF2-40B4-BE49-F238E27FC236}">
              <a16:creationId xmlns:a16="http://schemas.microsoft.com/office/drawing/2014/main" id="{A454B6A0-1F14-4A5C-A4E2-7D21CA4E3770}"/>
            </a:ext>
          </a:extLst>
        </xdr:cNvPr>
        <xdr:cNvSpPr/>
      </xdr:nvSpPr>
      <xdr:spPr>
        <a:xfrm>
          <a:off x="4266663" y="58420"/>
          <a:ext cx="1082548" cy="49377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xdr:col>
      <xdr:colOff>454585</xdr:colOff>
      <xdr:row>1</xdr:row>
      <xdr:rowOff>59690</xdr:rowOff>
    </xdr:from>
    <xdr:to>
      <xdr:col>5</xdr:col>
      <xdr:colOff>328093</xdr:colOff>
      <xdr:row>1</xdr:row>
      <xdr:rowOff>553466</xdr:rowOff>
    </xdr:to>
    <xdr:sp macro="" textlink="">
      <xdr:nvSpPr>
        <xdr:cNvPr id="225" name="B GEN DATA PAGE">
          <a:hlinkClick xmlns:r="http://schemas.openxmlformats.org/officeDocument/2006/relationships" r:id="rId4" tooltip="Back to General Data Page"/>
          <a:extLst>
            <a:ext uri="{FF2B5EF4-FFF2-40B4-BE49-F238E27FC236}">
              <a16:creationId xmlns:a16="http://schemas.microsoft.com/office/drawing/2014/main" id="{1B4803C9-4F4A-49FA-AC3A-E60090FBC1AA}"/>
            </a:ext>
          </a:extLst>
        </xdr:cNvPr>
        <xdr:cNvSpPr/>
      </xdr:nvSpPr>
      <xdr:spPr>
        <a:xfrm>
          <a:off x="5407585" y="58420"/>
          <a:ext cx="10787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6</xdr:col>
      <xdr:colOff>325968</xdr:colOff>
      <xdr:row>1</xdr:row>
      <xdr:rowOff>59690</xdr:rowOff>
    </xdr:from>
    <xdr:to>
      <xdr:col>6</xdr:col>
      <xdr:colOff>1433494</xdr:colOff>
      <xdr:row>1</xdr:row>
      <xdr:rowOff>553466</xdr:rowOff>
    </xdr:to>
    <xdr:sp macro="" textlink="">
      <xdr:nvSpPr>
        <xdr:cNvPr id="226" name="B ABD PAGE">
          <a:hlinkClick xmlns:r="http://schemas.openxmlformats.org/officeDocument/2006/relationships" r:id="rId5" tooltip="Aged, Blind, or Disabled Page (Current)"/>
          <a:extLst>
            <a:ext uri="{FF2B5EF4-FFF2-40B4-BE49-F238E27FC236}">
              <a16:creationId xmlns:a16="http://schemas.microsoft.com/office/drawing/2014/main" id="{B77CE3FE-123D-4326-B2DE-8A6916F5E753}"/>
            </a:ext>
          </a:extLst>
        </xdr:cNvPr>
        <xdr:cNvSpPr/>
      </xdr:nvSpPr>
      <xdr:spPr>
        <a:xfrm>
          <a:off x="7690698" y="58420"/>
          <a:ext cx="1097789"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xdr:col>
      <xdr:colOff>594631</xdr:colOff>
      <xdr:row>1</xdr:row>
      <xdr:rowOff>59690</xdr:rowOff>
    </xdr:from>
    <xdr:to>
      <xdr:col>3</xdr:col>
      <xdr:colOff>442739</xdr:colOff>
      <xdr:row>1</xdr:row>
      <xdr:rowOff>553466</xdr:rowOff>
    </xdr:to>
    <xdr:sp macro="" textlink="">
      <xdr:nvSpPr>
        <xdr:cNvPr id="227" name="B GEN DATA PAGE">
          <a:hlinkClick xmlns:r="http://schemas.openxmlformats.org/officeDocument/2006/relationships" r:id="rId6" tooltip="Back to Navigation Page"/>
          <a:extLst>
            <a:ext uri="{FF2B5EF4-FFF2-40B4-BE49-F238E27FC236}">
              <a16:creationId xmlns:a16="http://schemas.microsoft.com/office/drawing/2014/main" id="{8A30F858-E6CA-4F62-A230-08D15B13E259}"/>
            </a:ext>
          </a:extLst>
        </xdr:cNvPr>
        <xdr:cNvSpPr/>
      </xdr:nvSpPr>
      <xdr:spPr>
        <a:xfrm>
          <a:off x="3120661" y="58420"/>
          <a:ext cx="106730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11</xdr:col>
      <xdr:colOff>1091752</xdr:colOff>
      <xdr:row>1</xdr:row>
      <xdr:rowOff>59690</xdr:rowOff>
    </xdr:from>
    <xdr:to>
      <xdr:col>12</xdr:col>
      <xdr:colOff>974875</xdr:colOff>
      <xdr:row>1</xdr:row>
      <xdr:rowOff>553466</xdr:rowOff>
    </xdr:to>
    <xdr:sp macro="" textlink="">
      <xdr:nvSpPr>
        <xdr:cNvPr id="228" name="B ALL DATA PAGE">
          <a:hlinkClick xmlns:r="http://schemas.openxmlformats.org/officeDocument/2006/relationships" r:id="rId7" tooltip="Back to All Data Page"/>
          <a:extLst>
            <a:ext uri="{FF2B5EF4-FFF2-40B4-BE49-F238E27FC236}">
              <a16:creationId xmlns:a16="http://schemas.microsoft.com/office/drawing/2014/main" id="{55F31FC2-DA3D-428F-81F1-44347074B91A}"/>
            </a:ext>
          </a:extLst>
        </xdr:cNvPr>
        <xdr:cNvSpPr/>
      </xdr:nvSpPr>
      <xdr:spPr>
        <a:xfrm>
          <a:off x="15738662" y="58420"/>
          <a:ext cx="1088353" cy="50012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10</xdr:col>
      <xdr:colOff>1168755</xdr:colOff>
      <xdr:row>1</xdr:row>
      <xdr:rowOff>59690</xdr:rowOff>
    </xdr:from>
    <xdr:to>
      <xdr:col>11</xdr:col>
      <xdr:colOff>1015593</xdr:colOff>
      <xdr:row>1</xdr:row>
      <xdr:rowOff>553466</xdr:rowOff>
    </xdr:to>
    <xdr:sp macro="" textlink="">
      <xdr:nvSpPr>
        <xdr:cNvPr id="229" name="B TERMS PAGE">
          <a:hlinkClick xmlns:r="http://schemas.openxmlformats.org/officeDocument/2006/relationships" r:id="rId8" tooltip="Back to Appendix &amp; Terms Page"/>
          <a:extLst>
            <a:ext uri="{FF2B5EF4-FFF2-40B4-BE49-F238E27FC236}">
              <a16:creationId xmlns:a16="http://schemas.microsoft.com/office/drawing/2014/main" id="{6E8A5F6A-B133-42D0-9209-B23388FDEC3F}"/>
            </a:ext>
          </a:extLst>
        </xdr:cNvPr>
        <xdr:cNvSpPr/>
      </xdr:nvSpPr>
      <xdr:spPr>
        <a:xfrm>
          <a:off x="14605778" y="58420"/>
          <a:ext cx="1055455"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10</xdr:col>
      <xdr:colOff>23479</xdr:colOff>
      <xdr:row>1</xdr:row>
      <xdr:rowOff>59690</xdr:rowOff>
    </xdr:from>
    <xdr:to>
      <xdr:col>10</xdr:col>
      <xdr:colOff>1090061</xdr:colOff>
      <xdr:row>1</xdr:row>
      <xdr:rowOff>553466</xdr:rowOff>
    </xdr:to>
    <xdr:sp macro="" textlink="">
      <xdr:nvSpPr>
        <xdr:cNvPr id="230" name="B PROV DET PAGE">
          <a:hlinkClick xmlns:r="http://schemas.openxmlformats.org/officeDocument/2006/relationships" r:id="rId9" tooltip="Back to Provider Page"/>
          <a:extLst>
            <a:ext uri="{FF2B5EF4-FFF2-40B4-BE49-F238E27FC236}">
              <a16:creationId xmlns:a16="http://schemas.microsoft.com/office/drawing/2014/main" id="{BDDC8199-516B-42FE-A9F3-6C3B14097D04}"/>
            </a:ext>
          </a:extLst>
        </xdr:cNvPr>
        <xdr:cNvSpPr/>
      </xdr:nvSpPr>
      <xdr:spPr>
        <a:xfrm>
          <a:off x="13462619" y="58420"/>
          <a:ext cx="106404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6</xdr:col>
      <xdr:colOff>1508378</xdr:colOff>
      <xdr:row>1</xdr:row>
      <xdr:rowOff>59690</xdr:rowOff>
    </xdr:from>
    <xdr:to>
      <xdr:col>7</xdr:col>
      <xdr:colOff>1016549</xdr:colOff>
      <xdr:row>1</xdr:row>
      <xdr:rowOff>553466</xdr:rowOff>
    </xdr:to>
    <xdr:sp macro="" textlink="">
      <xdr:nvSpPr>
        <xdr:cNvPr id="231" name="B IHSS PROG PAGE">
          <a:hlinkClick xmlns:r="http://schemas.openxmlformats.org/officeDocument/2006/relationships" r:id="rId10" tooltip="Back to Program Equity Page"/>
          <a:extLst>
            <a:ext uri="{FF2B5EF4-FFF2-40B4-BE49-F238E27FC236}">
              <a16:creationId xmlns:a16="http://schemas.microsoft.com/office/drawing/2014/main" id="{F75BE1BE-5FC7-4DCC-A9ED-9B53611CE465}"/>
            </a:ext>
          </a:extLst>
        </xdr:cNvPr>
        <xdr:cNvSpPr/>
      </xdr:nvSpPr>
      <xdr:spPr>
        <a:xfrm>
          <a:off x="8862101" y="58420"/>
          <a:ext cx="106095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9</xdr:col>
      <xdr:colOff>365494</xdr:colOff>
      <xdr:row>1</xdr:row>
      <xdr:rowOff>59690</xdr:rowOff>
    </xdr:from>
    <xdr:to>
      <xdr:col>9</xdr:col>
      <xdr:colOff>1434616</xdr:colOff>
      <xdr:row>1</xdr:row>
      <xdr:rowOff>553466</xdr:rowOff>
    </xdr:to>
    <xdr:sp macro="" textlink="">
      <xdr:nvSpPr>
        <xdr:cNvPr id="232" name="B ETHNICITY PAGE">
          <a:hlinkClick xmlns:r="http://schemas.openxmlformats.org/officeDocument/2006/relationships" r:id="rId11" tooltip="Back to Ethnicity &amp; Language Page"/>
          <a:extLst>
            <a:ext uri="{FF2B5EF4-FFF2-40B4-BE49-F238E27FC236}">
              <a16:creationId xmlns:a16="http://schemas.microsoft.com/office/drawing/2014/main" id="{EAC0819E-491A-4BBC-AFDD-7311CA13EFD4}"/>
            </a:ext>
          </a:extLst>
        </xdr:cNvPr>
        <xdr:cNvSpPr/>
      </xdr:nvSpPr>
      <xdr:spPr>
        <a:xfrm>
          <a:off x="12289947" y="58420"/>
          <a:ext cx="108055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xdr:col>
      <xdr:colOff>405517</xdr:colOff>
      <xdr:row>1</xdr:row>
      <xdr:rowOff>59690</xdr:rowOff>
    </xdr:from>
    <xdr:to>
      <xdr:col>6</xdr:col>
      <xdr:colOff>289184</xdr:colOff>
      <xdr:row>1</xdr:row>
      <xdr:rowOff>553466</xdr:rowOff>
    </xdr:to>
    <xdr:sp macro="" textlink="">
      <xdr:nvSpPr>
        <xdr:cNvPr id="233" name="B GEN DATA PAGE">
          <a:hlinkClick xmlns:r="http://schemas.openxmlformats.org/officeDocument/2006/relationships" r:id="rId12" tooltip="IHSS Applicants Page (Current)"/>
          <a:extLst>
            <a:ext uri="{FF2B5EF4-FFF2-40B4-BE49-F238E27FC236}">
              <a16:creationId xmlns:a16="http://schemas.microsoft.com/office/drawing/2014/main" id="{B4E6DE03-84CC-4138-99F3-A4778A06C2E1}"/>
            </a:ext>
          </a:extLst>
        </xdr:cNvPr>
        <xdr:cNvSpPr/>
      </xdr:nvSpPr>
      <xdr:spPr>
        <a:xfrm>
          <a:off x="6563747" y="58420"/>
          <a:ext cx="1077467"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7</xdr:col>
      <xdr:colOff>1090163</xdr:colOff>
      <xdr:row>1</xdr:row>
      <xdr:rowOff>59690</xdr:rowOff>
    </xdr:from>
    <xdr:to>
      <xdr:col>8</xdr:col>
      <xdr:colOff>669454</xdr:colOff>
      <xdr:row>1</xdr:row>
      <xdr:rowOff>553466</xdr:rowOff>
    </xdr:to>
    <xdr:sp macro="" textlink="">
      <xdr:nvSpPr>
        <xdr:cNvPr id="234" name="B IHSS SERV PAGE">
          <a:hlinkClick xmlns:r="http://schemas.openxmlformats.org/officeDocument/2006/relationships" r:id="rId13" tooltip="IHSS Services Page (Current)"/>
          <a:extLst>
            <a:ext uri="{FF2B5EF4-FFF2-40B4-BE49-F238E27FC236}">
              <a16:creationId xmlns:a16="http://schemas.microsoft.com/office/drawing/2014/main" id="{0AAF8EF4-7552-402B-8E71-3565736FB48F}"/>
            </a:ext>
          </a:extLst>
        </xdr:cNvPr>
        <xdr:cNvSpPr/>
      </xdr:nvSpPr>
      <xdr:spPr>
        <a:xfrm>
          <a:off x="9992863" y="58420"/>
          <a:ext cx="10914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22</xdr:col>
      <xdr:colOff>213962</xdr:colOff>
      <xdr:row>1</xdr:row>
      <xdr:rowOff>59690</xdr:rowOff>
    </xdr:from>
    <xdr:to>
      <xdr:col>23</xdr:col>
      <xdr:colOff>59530</xdr:colOff>
      <xdr:row>1</xdr:row>
      <xdr:rowOff>553466</xdr:rowOff>
    </xdr:to>
    <xdr:sp macro="" textlink="">
      <xdr:nvSpPr>
        <xdr:cNvPr id="390" name="B AGE PAGE">
          <a:hlinkClick xmlns:r="http://schemas.openxmlformats.org/officeDocument/2006/relationships" r:id="rId2" tooltip="Age &amp; Gender Page (Current)"/>
          <a:extLst>
            <a:ext uri="{FF2B5EF4-FFF2-40B4-BE49-F238E27FC236}">
              <a16:creationId xmlns:a16="http://schemas.microsoft.com/office/drawing/2014/main" id="{27C73945-CA8E-44A7-A8C7-28B455CDBEFB}"/>
            </a:ext>
          </a:extLst>
        </xdr:cNvPr>
        <xdr:cNvSpPr/>
      </xdr:nvSpPr>
      <xdr:spPr>
        <a:xfrm>
          <a:off x="28143802" y="58420"/>
          <a:ext cx="105206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16</xdr:col>
      <xdr:colOff>555360</xdr:colOff>
      <xdr:row>1</xdr:row>
      <xdr:rowOff>59690</xdr:rowOff>
    </xdr:from>
    <xdr:to>
      <xdr:col>17</xdr:col>
      <xdr:colOff>444108</xdr:colOff>
      <xdr:row>1</xdr:row>
      <xdr:rowOff>553466</xdr:rowOff>
    </xdr:to>
    <xdr:sp macro="" textlink="">
      <xdr:nvSpPr>
        <xdr:cNvPr id="391" name="B HOME PAGE">
          <a:hlinkClick xmlns:r="http://schemas.openxmlformats.org/officeDocument/2006/relationships" r:id="rId3" tooltip="Back to Dashboard Page"/>
          <a:extLst>
            <a:ext uri="{FF2B5EF4-FFF2-40B4-BE49-F238E27FC236}">
              <a16:creationId xmlns:a16="http://schemas.microsoft.com/office/drawing/2014/main" id="{E0F25D9D-9B8B-49E9-BDA5-9D8F522EE8EE}"/>
            </a:ext>
          </a:extLst>
        </xdr:cNvPr>
        <xdr:cNvSpPr/>
      </xdr:nvSpPr>
      <xdr:spPr>
        <a:xfrm>
          <a:off x="21247470" y="58420"/>
          <a:ext cx="1082548" cy="49377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17</xdr:col>
      <xdr:colOff>520262</xdr:colOff>
      <xdr:row>1</xdr:row>
      <xdr:rowOff>59690</xdr:rowOff>
    </xdr:from>
    <xdr:to>
      <xdr:col>18</xdr:col>
      <xdr:colOff>365830</xdr:colOff>
      <xdr:row>1</xdr:row>
      <xdr:rowOff>553466</xdr:rowOff>
    </xdr:to>
    <xdr:sp macro="" textlink="">
      <xdr:nvSpPr>
        <xdr:cNvPr id="392" name="B GEN DATA PAGE">
          <a:hlinkClick xmlns:r="http://schemas.openxmlformats.org/officeDocument/2006/relationships" r:id="rId4" tooltip="Back to General Data Page"/>
          <a:extLst>
            <a:ext uri="{FF2B5EF4-FFF2-40B4-BE49-F238E27FC236}">
              <a16:creationId xmlns:a16="http://schemas.microsoft.com/office/drawing/2014/main" id="{B7415C42-E5D2-403D-ADA8-41DB5665C075}"/>
            </a:ext>
          </a:extLst>
        </xdr:cNvPr>
        <xdr:cNvSpPr/>
      </xdr:nvSpPr>
      <xdr:spPr>
        <a:xfrm>
          <a:off x="22388392" y="58420"/>
          <a:ext cx="10787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19</xdr:col>
      <xdr:colOff>366245</xdr:colOff>
      <xdr:row>1</xdr:row>
      <xdr:rowOff>59690</xdr:rowOff>
    </xdr:from>
    <xdr:to>
      <xdr:col>20</xdr:col>
      <xdr:colOff>252454</xdr:colOff>
      <xdr:row>1</xdr:row>
      <xdr:rowOff>553466</xdr:rowOff>
    </xdr:to>
    <xdr:sp macro="" textlink="">
      <xdr:nvSpPr>
        <xdr:cNvPr id="393" name="B ABD PAGE">
          <a:hlinkClick xmlns:r="http://schemas.openxmlformats.org/officeDocument/2006/relationships" r:id="rId5" tooltip="Aged, Blind, or Disabled Page (Current)"/>
          <a:extLst>
            <a:ext uri="{FF2B5EF4-FFF2-40B4-BE49-F238E27FC236}">
              <a16:creationId xmlns:a16="http://schemas.microsoft.com/office/drawing/2014/main" id="{510D5C50-2EE7-4E96-9E79-D56513DBD80B}"/>
            </a:ext>
          </a:extLst>
        </xdr:cNvPr>
        <xdr:cNvSpPr/>
      </xdr:nvSpPr>
      <xdr:spPr>
        <a:xfrm>
          <a:off x="24671505" y="58420"/>
          <a:ext cx="1097789"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15</xdr:col>
      <xdr:colOff>632368</xdr:colOff>
      <xdr:row>1</xdr:row>
      <xdr:rowOff>59690</xdr:rowOff>
    </xdr:from>
    <xdr:to>
      <xdr:col>16</xdr:col>
      <xdr:colOff>480476</xdr:colOff>
      <xdr:row>1</xdr:row>
      <xdr:rowOff>553466</xdr:rowOff>
    </xdr:to>
    <xdr:sp macro="" textlink="">
      <xdr:nvSpPr>
        <xdr:cNvPr id="394" name="B GEN DATA PAGE">
          <a:hlinkClick xmlns:r="http://schemas.openxmlformats.org/officeDocument/2006/relationships" r:id="rId6" tooltip="Back to Navigation Page"/>
          <a:extLst>
            <a:ext uri="{FF2B5EF4-FFF2-40B4-BE49-F238E27FC236}">
              <a16:creationId xmlns:a16="http://schemas.microsoft.com/office/drawing/2014/main" id="{D90E5B2A-43EE-4128-875E-C79C0F677676}"/>
            </a:ext>
          </a:extLst>
        </xdr:cNvPr>
        <xdr:cNvSpPr/>
      </xdr:nvSpPr>
      <xdr:spPr>
        <a:xfrm>
          <a:off x="20101468" y="58420"/>
          <a:ext cx="106730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25</xdr:col>
      <xdr:colOff>1164626</xdr:colOff>
      <xdr:row>1</xdr:row>
      <xdr:rowOff>59690</xdr:rowOff>
    </xdr:from>
    <xdr:to>
      <xdr:col>26</xdr:col>
      <xdr:colOff>1050712</xdr:colOff>
      <xdr:row>1</xdr:row>
      <xdr:rowOff>553466</xdr:rowOff>
    </xdr:to>
    <xdr:sp macro="" textlink="">
      <xdr:nvSpPr>
        <xdr:cNvPr id="395" name="B ALL DATA PAGE">
          <a:hlinkClick xmlns:r="http://schemas.openxmlformats.org/officeDocument/2006/relationships" r:id="rId7" tooltip="Back to All Data Page"/>
          <a:extLst>
            <a:ext uri="{FF2B5EF4-FFF2-40B4-BE49-F238E27FC236}">
              <a16:creationId xmlns:a16="http://schemas.microsoft.com/office/drawing/2014/main" id="{BB576C1A-E6AE-4E29-9DD0-4465057D411F}"/>
            </a:ext>
          </a:extLst>
        </xdr:cNvPr>
        <xdr:cNvSpPr/>
      </xdr:nvSpPr>
      <xdr:spPr>
        <a:xfrm>
          <a:off x="32719469" y="58420"/>
          <a:ext cx="1088353" cy="50012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25</xdr:col>
      <xdr:colOff>61375</xdr:colOff>
      <xdr:row>1</xdr:row>
      <xdr:rowOff>59690</xdr:rowOff>
    </xdr:from>
    <xdr:to>
      <xdr:col>25</xdr:col>
      <xdr:colOff>1087620</xdr:colOff>
      <xdr:row>1</xdr:row>
      <xdr:rowOff>553466</xdr:rowOff>
    </xdr:to>
    <xdr:sp macro="" textlink="">
      <xdr:nvSpPr>
        <xdr:cNvPr id="396" name="B TERMS PAGE">
          <a:hlinkClick xmlns:r="http://schemas.openxmlformats.org/officeDocument/2006/relationships" r:id="rId8" tooltip="Back to Appendix &amp; Terms Page"/>
          <a:extLst>
            <a:ext uri="{FF2B5EF4-FFF2-40B4-BE49-F238E27FC236}">
              <a16:creationId xmlns:a16="http://schemas.microsoft.com/office/drawing/2014/main" id="{F6FE22D9-C230-418D-B2E0-947C602FE6BF}"/>
            </a:ext>
          </a:extLst>
        </xdr:cNvPr>
        <xdr:cNvSpPr/>
      </xdr:nvSpPr>
      <xdr:spPr>
        <a:xfrm>
          <a:off x="31586585" y="58420"/>
          <a:ext cx="1055455"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24</xdr:col>
      <xdr:colOff>100586</xdr:colOff>
      <xdr:row>1</xdr:row>
      <xdr:rowOff>59690</xdr:rowOff>
    </xdr:from>
    <xdr:to>
      <xdr:col>24</xdr:col>
      <xdr:colOff>1168014</xdr:colOff>
      <xdr:row>1</xdr:row>
      <xdr:rowOff>553466</xdr:rowOff>
    </xdr:to>
    <xdr:sp macro="" textlink="">
      <xdr:nvSpPr>
        <xdr:cNvPr id="397" name="B PROV DET PAGE">
          <a:hlinkClick xmlns:r="http://schemas.openxmlformats.org/officeDocument/2006/relationships" r:id="rId9" tooltip="Back to Provider Page"/>
          <a:extLst>
            <a:ext uri="{FF2B5EF4-FFF2-40B4-BE49-F238E27FC236}">
              <a16:creationId xmlns:a16="http://schemas.microsoft.com/office/drawing/2014/main" id="{4864E4FE-B825-41B9-AB81-589E62F3F51B}"/>
            </a:ext>
          </a:extLst>
        </xdr:cNvPr>
        <xdr:cNvSpPr/>
      </xdr:nvSpPr>
      <xdr:spPr>
        <a:xfrm>
          <a:off x="30443426" y="58420"/>
          <a:ext cx="106404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20</xdr:col>
      <xdr:colOff>328608</xdr:colOff>
      <xdr:row>1</xdr:row>
      <xdr:rowOff>59690</xdr:rowOff>
    </xdr:from>
    <xdr:to>
      <xdr:col>21</xdr:col>
      <xdr:colOff>193226</xdr:colOff>
      <xdr:row>1</xdr:row>
      <xdr:rowOff>553466</xdr:rowOff>
    </xdr:to>
    <xdr:sp macro="" textlink="">
      <xdr:nvSpPr>
        <xdr:cNvPr id="398" name="B IHSS PROG PAGE">
          <a:hlinkClick xmlns:r="http://schemas.openxmlformats.org/officeDocument/2006/relationships" r:id="rId10" tooltip="Back to Program Equity Page"/>
          <a:extLst>
            <a:ext uri="{FF2B5EF4-FFF2-40B4-BE49-F238E27FC236}">
              <a16:creationId xmlns:a16="http://schemas.microsoft.com/office/drawing/2014/main" id="{A994B898-1639-4598-95F8-502FB3265889}"/>
            </a:ext>
          </a:extLst>
        </xdr:cNvPr>
        <xdr:cNvSpPr/>
      </xdr:nvSpPr>
      <xdr:spPr>
        <a:xfrm>
          <a:off x="25842908" y="58420"/>
          <a:ext cx="106095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23</xdr:col>
      <xdr:colOff>134414</xdr:colOff>
      <xdr:row>1</xdr:row>
      <xdr:rowOff>59690</xdr:rowOff>
    </xdr:from>
    <xdr:to>
      <xdr:col>24</xdr:col>
      <xdr:colOff>24976</xdr:colOff>
      <xdr:row>1</xdr:row>
      <xdr:rowOff>553466</xdr:rowOff>
    </xdr:to>
    <xdr:sp macro="" textlink="">
      <xdr:nvSpPr>
        <xdr:cNvPr id="399" name="B ETHNICITY PAGE">
          <a:hlinkClick xmlns:r="http://schemas.openxmlformats.org/officeDocument/2006/relationships" r:id="rId11" tooltip="Back to Ethnicity &amp; Language Page"/>
          <a:extLst>
            <a:ext uri="{FF2B5EF4-FFF2-40B4-BE49-F238E27FC236}">
              <a16:creationId xmlns:a16="http://schemas.microsoft.com/office/drawing/2014/main" id="{9ACAAFCE-A218-449B-81D5-DD0FDDFEAB89}"/>
            </a:ext>
          </a:extLst>
        </xdr:cNvPr>
        <xdr:cNvSpPr/>
      </xdr:nvSpPr>
      <xdr:spPr>
        <a:xfrm>
          <a:off x="29270754" y="58420"/>
          <a:ext cx="108055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18</xdr:col>
      <xdr:colOff>443254</xdr:colOff>
      <xdr:row>1</xdr:row>
      <xdr:rowOff>59690</xdr:rowOff>
    </xdr:from>
    <xdr:to>
      <xdr:col>19</xdr:col>
      <xdr:colOff>330731</xdr:colOff>
      <xdr:row>1</xdr:row>
      <xdr:rowOff>553466</xdr:rowOff>
    </xdr:to>
    <xdr:sp macro="" textlink="">
      <xdr:nvSpPr>
        <xdr:cNvPr id="400" name="B GEN DATA PAGE">
          <a:hlinkClick xmlns:r="http://schemas.openxmlformats.org/officeDocument/2006/relationships" r:id="rId12" tooltip="IHSS Applicants Page (Current)"/>
          <a:extLst>
            <a:ext uri="{FF2B5EF4-FFF2-40B4-BE49-F238E27FC236}">
              <a16:creationId xmlns:a16="http://schemas.microsoft.com/office/drawing/2014/main" id="{028418B6-79F1-4BDA-AA88-4A4816D0BADE}"/>
            </a:ext>
          </a:extLst>
        </xdr:cNvPr>
        <xdr:cNvSpPr/>
      </xdr:nvSpPr>
      <xdr:spPr>
        <a:xfrm>
          <a:off x="23544554" y="58420"/>
          <a:ext cx="1077467"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21</xdr:col>
      <xdr:colOff>252870</xdr:colOff>
      <xdr:row>1</xdr:row>
      <xdr:rowOff>59690</xdr:rowOff>
    </xdr:from>
    <xdr:to>
      <xdr:col>22</xdr:col>
      <xdr:colOff>135268</xdr:colOff>
      <xdr:row>1</xdr:row>
      <xdr:rowOff>553466</xdr:rowOff>
    </xdr:to>
    <xdr:sp macro="" textlink="">
      <xdr:nvSpPr>
        <xdr:cNvPr id="401" name="B IHSS SERV PAGE">
          <a:hlinkClick xmlns:r="http://schemas.openxmlformats.org/officeDocument/2006/relationships" r:id="rId13" tooltip="IHSS Services Page (Current)"/>
          <a:extLst>
            <a:ext uri="{FF2B5EF4-FFF2-40B4-BE49-F238E27FC236}">
              <a16:creationId xmlns:a16="http://schemas.microsoft.com/office/drawing/2014/main" id="{ED6EE757-A667-4BD5-A84A-1B2ED6BBBFEA}"/>
            </a:ext>
          </a:extLst>
        </xdr:cNvPr>
        <xdr:cNvSpPr/>
      </xdr:nvSpPr>
      <xdr:spPr>
        <a:xfrm>
          <a:off x="26973670" y="58420"/>
          <a:ext cx="10914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35</xdr:col>
      <xdr:colOff>1013427</xdr:colOff>
      <xdr:row>1</xdr:row>
      <xdr:rowOff>59690</xdr:rowOff>
    </xdr:from>
    <xdr:to>
      <xdr:col>36</xdr:col>
      <xdr:colOff>862805</xdr:colOff>
      <xdr:row>1</xdr:row>
      <xdr:rowOff>553466</xdr:rowOff>
    </xdr:to>
    <xdr:sp macro="" textlink="">
      <xdr:nvSpPr>
        <xdr:cNvPr id="402" name="B AGE PAGE">
          <a:hlinkClick xmlns:r="http://schemas.openxmlformats.org/officeDocument/2006/relationships" r:id="rId2" tooltip="Age &amp; Gender Page (Current)"/>
          <a:extLst>
            <a:ext uri="{FF2B5EF4-FFF2-40B4-BE49-F238E27FC236}">
              <a16:creationId xmlns:a16="http://schemas.microsoft.com/office/drawing/2014/main" id="{B2178504-245D-49AF-B376-2EF3B74B0230}"/>
            </a:ext>
          </a:extLst>
        </xdr:cNvPr>
        <xdr:cNvSpPr/>
      </xdr:nvSpPr>
      <xdr:spPr>
        <a:xfrm>
          <a:off x="44631577" y="58420"/>
          <a:ext cx="105206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30</xdr:col>
      <xdr:colOff>173725</xdr:colOff>
      <xdr:row>1</xdr:row>
      <xdr:rowOff>59690</xdr:rowOff>
    </xdr:from>
    <xdr:to>
      <xdr:col>31</xdr:col>
      <xdr:colOff>58663</xdr:colOff>
      <xdr:row>1</xdr:row>
      <xdr:rowOff>553466</xdr:rowOff>
    </xdr:to>
    <xdr:sp macro="" textlink="">
      <xdr:nvSpPr>
        <xdr:cNvPr id="403" name="B HOME PAGE">
          <a:hlinkClick xmlns:r="http://schemas.openxmlformats.org/officeDocument/2006/relationships" r:id="rId3" tooltip="Back to Dashboard Page"/>
          <a:extLst>
            <a:ext uri="{FF2B5EF4-FFF2-40B4-BE49-F238E27FC236}">
              <a16:creationId xmlns:a16="http://schemas.microsoft.com/office/drawing/2014/main" id="{0ED6F068-B8D0-4187-9F68-33C6B679A25B}"/>
            </a:ext>
          </a:extLst>
        </xdr:cNvPr>
        <xdr:cNvSpPr/>
      </xdr:nvSpPr>
      <xdr:spPr>
        <a:xfrm>
          <a:off x="37735245" y="58420"/>
          <a:ext cx="1082548" cy="49377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31</xdr:col>
      <xdr:colOff>101797</xdr:colOff>
      <xdr:row>1</xdr:row>
      <xdr:rowOff>59690</xdr:rowOff>
    </xdr:from>
    <xdr:to>
      <xdr:col>31</xdr:col>
      <xdr:colOff>1167412</xdr:colOff>
      <xdr:row>1</xdr:row>
      <xdr:rowOff>553466</xdr:rowOff>
    </xdr:to>
    <xdr:sp macro="" textlink="">
      <xdr:nvSpPr>
        <xdr:cNvPr id="404" name="B GEN DATA PAGE">
          <a:hlinkClick xmlns:r="http://schemas.openxmlformats.org/officeDocument/2006/relationships" r:id="rId4" tooltip="Back to General Data Page"/>
          <a:extLst>
            <a:ext uri="{FF2B5EF4-FFF2-40B4-BE49-F238E27FC236}">
              <a16:creationId xmlns:a16="http://schemas.microsoft.com/office/drawing/2014/main" id="{C60A50CC-8D78-4896-A135-95C829BB4EB6}"/>
            </a:ext>
          </a:extLst>
        </xdr:cNvPr>
        <xdr:cNvSpPr/>
      </xdr:nvSpPr>
      <xdr:spPr>
        <a:xfrm>
          <a:off x="38876167" y="58420"/>
          <a:ext cx="10787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32</xdr:col>
      <xdr:colOff>1167827</xdr:colOff>
      <xdr:row>1</xdr:row>
      <xdr:rowOff>59690</xdr:rowOff>
    </xdr:from>
    <xdr:to>
      <xdr:col>33</xdr:col>
      <xdr:colOff>1051919</xdr:colOff>
      <xdr:row>1</xdr:row>
      <xdr:rowOff>553466</xdr:rowOff>
    </xdr:to>
    <xdr:sp macro="" textlink="">
      <xdr:nvSpPr>
        <xdr:cNvPr id="405" name="B ABD PAGE">
          <a:hlinkClick xmlns:r="http://schemas.openxmlformats.org/officeDocument/2006/relationships" r:id="rId5" tooltip="Aged, Blind, or Disabled Page (Current)"/>
          <a:extLst>
            <a:ext uri="{FF2B5EF4-FFF2-40B4-BE49-F238E27FC236}">
              <a16:creationId xmlns:a16="http://schemas.microsoft.com/office/drawing/2014/main" id="{0D3DCC53-918A-4650-BE4D-17A0BE72C7E2}"/>
            </a:ext>
          </a:extLst>
        </xdr:cNvPr>
        <xdr:cNvSpPr/>
      </xdr:nvSpPr>
      <xdr:spPr>
        <a:xfrm>
          <a:off x="41159280" y="58420"/>
          <a:ext cx="1097789"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29</xdr:col>
      <xdr:colOff>213903</xdr:colOff>
      <xdr:row>1</xdr:row>
      <xdr:rowOff>59690</xdr:rowOff>
    </xdr:from>
    <xdr:to>
      <xdr:col>30</xdr:col>
      <xdr:colOff>98841</xdr:colOff>
      <xdr:row>1</xdr:row>
      <xdr:rowOff>553466</xdr:rowOff>
    </xdr:to>
    <xdr:sp macro="" textlink="">
      <xdr:nvSpPr>
        <xdr:cNvPr id="406" name="B GEN DATA PAGE">
          <a:hlinkClick xmlns:r="http://schemas.openxmlformats.org/officeDocument/2006/relationships" r:id="rId6" tooltip="Back to Navigation Page"/>
          <a:extLst>
            <a:ext uri="{FF2B5EF4-FFF2-40B4-BE49-F238E27FC236}">
              <a16:creationId xmlns:a16="http://schemas.microsoft.com/office/drawing/2014/main" id="{4CAB627D-DF70-47A7-9E20-DE7D49319950}"/>
            </a:ext>
          </a:extLst>
        </xdr:cNvPr>
        <xdr:cNvSpPr/>
      </xdr:nvSpPr>
      <xdr:spPr>
        <a:xfrm>
          <a:off x="36589243" y="58420"/>
          <a:ext cx="106730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39</xdr:col>
      <xdr:colOff>783414</xdr:colOff>
      <xdr:row>1</xdr:row>
      <xdr:rowOff>59690</xdr:rowOff>
    </xdr:from>
    <xdr:to>
      <xdr:col>40</xdr:col>
      <xdr:colOff>670347</xdr:colOff>
      <xdr:row>1</xdr:row>
      <xdr:rowOff>553466</xdr:rowOff>
    </xdr:to>
    <xdr:sp macro="" textlink="">
      <xdr:nvSpPr>
        <xdr:cNvPr id="407" name="B ALL DATA PAGE">
          <a:hlinkClick xmlns:r="http://schemas.openxmlformats.org/officeDocument/2006/relationships" r:id="rId7" tooltip="Back to All Data Page"/>
          <a:extLst>
            <a:ext uri="{FF2B5EF4-FFF2-40B4-BE49-F238E27FC236}">
              <a16:creationId xmlns:a16="http://schemas.microsoft.com/office/drawing/2014/main" id="{E856ABA2-15A0-4280-8A03-3ED5C348742D}"/>
            </a:ext>
          </a:extLst>
        </xdr:cNvPr>
        <xdr:cNvSpPr/>
      </xdr:nvSpPr>
      <xdr:spPr>
        <a:xfrm>
          <a:off x="49207244" y="58420"/>
          <a:ext cx="1088353" cy="50012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38</xdr:col>
      <xdr:colOff>863380</xdr:colOff>
      <xdr:row>1</xdr:row>
      <xdr:rowOff>59690</xdr:rowOff>
    </xdr:from>
    <xdr:to>
      <xdr:col>39</xdr:col>
      <xdr:colOff>708525</xdr:colOff>
      <xdr:row>1</xdr:row>
      <xdr:rowOff>553466</xdr:rowOff>
    </xdr:to>
    <xdr:sp macro="" textlink="">
      <xdr:nvSpPr>
        <xdr:cNvPr id="408" name="B TERMS PAGE">
          <a:hlinkClick xmlns:r="http://schemas.openxmlformats.org/officeDocument/2006/relationships" r:id="rId8" tooltip="Back to Appendix &amp; Terms Page"/>
          <a:extLst>
            <a:ext uri="{FF2B5EF4-FFF2-40B4-BE49-F238E27FC236}">
              <a16:creationId xmlns:a16="http://schemas.microsoft.com/office/drawing/2014/main" id="{BBDA480F-F99D-40EC-8340-FE5D611A3A2A}"/>
            </a:ext>
          </a:extLst>
        </xdr:cNvPr>
        <xdr:cNvSpPr/>
      </xdr:nvSpPr>
      <xdr:spPr>
        <a:xfrm>
          <a:off x="48074360" y="58420"/>
          <a:ext cx="1055455"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37</xdr:col>
      <xdr:colOff>912751</xdr:colOff>
      <xdr:row>1</xdr:row>
      <xdr:rowOff>59690</xdr:rowOff>
    </xdr:from>
    <xdr:to>
      <xdr:col>38</xdr:col>
      <xdr:colOff>782993</xdr:colOff>
      <xdr:row>1</xdr:row>
      <xdr:rowOff>553466</xdr:rowOff>
    </xdr:to>
    <xdr:sp macro="" textlink="">
      <xdr:nvSpPr>
        <xdr:cNvPr id="409" name="B PROV DET PAGE">
          <a:hlinkClick xmlns:r="http://schemas.openxmlformats.org/officeDocument/2006/relationships" r:id="rId9" tooltip="Back to Provider Page"/>
          <a:extLst>
            <a:ext uri="{FF2B5EF4-FFF2-40B4-BE49-F238E27FC236}">
              <a16:creationId xmlns:a16="http://schemas.microsoft.com/office/drawing/2014/main" id="{667BF4D2-BFFC-4BB1-B17C-893279EF9B40}"/>
            </a:ext>
          </a:extLst>
        </xdr:cNvPr>
        <xdr:cNvSpPr/>
      </xdr:nvSpPr>
      <xdr:spPr>
        <a:xfrm>
          <a:off x="46931201" y="58420"/>
          <a:ext cx="106404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33</xdr:col>
      <xdr:colOff>1129343</xdr:colOff>
      <xdr:row>1</xdr:row>
      <xdr:rowOff>59690</xdr:rowOff>
    </xdr:from>
    <xdr:to>
      <xdr:col>34</xdr:col>
      <xdr:colOff>1015551</xdr:colOff>
      <xdr:row>1</xdr:row>
      <xdr:rowOff>553466</xdr:rowOff>
    </xdr:to>
    <xdr:sp macro="" textlink="">
      <xdr:nvSpPr>
        <xdr:cNvPr id="410" name="B IHSS PROG PAGE">
          <a:hlinkClick xmlns:r="http://schemas.openxmlformats.org/officeDocument/2006/relationships" r:id="rId10" tooltip="Back to Program Equity Page"/>
          <a:extLst>
            <a:ext uri="{FF2B5EF4-FFF2-40B4-BE49-F238E27FC236}">
              <a16:creationId xmlns:a16="http://schemas.microsoft.com/office/drawing/2014/main" id="{21743A6A-3EF7-4A4E-A8BE-FB31BF2EAAD5}"/>
            </a:ext>
          </a:extLst>
        </xdr:cNvPr>
        <xdr:cNvSpPr/>
      </xdr:nvSpPr>
      <xdr:spPr>
        <a:xfrm>
          <a:off x="42330683" y="58420"/>
          <a:ext cx="106095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36</xdr:col>
      <xdr:colOff>936419</xdr:colOff>
      <xdr:row>1</xdr:row>
      <xdr:rowOff>59690</xdr:rowOff>
    </xdr:from>
    <xdr:to>
      <xdr:col>37</xdr:col>
      <xdr:colOff>821901</xdr:colOff>
      <xdr:row>1</xdr:row>
      <xdr:rowOff>553466</xdr:rowOff>
    </xdr:to>
    <xdr:sp macro="" textlink="">
      <xdr:nvSpPr>
        <xdr:cNvPr id="411" name="B ETHNICITY PAGE">
          <a:hlinkClick xmlns:r="http://schemas.openxmlformats.org/officeDocument/2006/relationships" r:id="rId11" tooltip="Back to Ethnicity &amp; Language Page"/>
          <a:extLst>
            <a:ext uri="{FF2B5EF4-FFF2-40B4-BE49-F238E27FC236}">
              <a16:creationId xmlns:a16="http://schemas.microsoft.com/office/drawing/2014/main" id="{66C6D33A-81B5-4F9B-BEFB-392445283842}"/>
            </a:ext>
          </a:extLst>
        </xdr:cNvPr>
        <xdr:cNvSpPr/>
      </xdr:nvSpPr>
      <xdr:spPr>
        <a:xfrm>
          <a:off x="45758529" y="58420"/>
          <a:ext cx="108055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32</xdr:col>
      <xdr:colOff>62889</xdr:colOff>
      <xdr:row>1</xdr:row>
      <xdr:rowOff>59690</xdr:rowOff>
    </xdr:from>
    <xdr:to>
      <xdr:col>32</xdr:col>
      <xdr:colOff>1127656</xdr:colOff>
      <xdr:row>1</xdr:row>
      <xdr:rowOff>553466</xdr:rowOff>
    </xdr:to>
    <xdr:sp macro="" textlink="">
      <xdr:nvSpPr>
        <xdr:cNvPr id="412" name="B GEN DATA PAGE">
          <a:hlinkClick xmlns:r="http://schemas.openxmlformats.org/officeDocument/2006/relationships" r:id="rId12" tooltip="IHSS Applicants Page (Current)"/>
          <a:extLst>
            <a:ext uri="{FF2B5EF4-FFF2-40B4-BE49-F238E27FC236}">
              <a16:creationId xmlns:a16="http://schemas.microsoft.com/office/drawing/2014/main" id="{67AF86B2-FB9C-4F1E-88C3-FD602BA62A7B}"/>
            </a:ext>
          </a:extLst>
        </xdr:cNvPr>
        <xdr:cNvSpPr/>
      </xdr:nvSpPr>
      <xdr:spPr>
        <a:xfrm>
          <a:off x="40032329" y="58420"/>
          <a:ext cx="1077467"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34</xdr:col>
      <xdr:colOff>1048525</xdr:colOff>
      <xdr:row>1</xdr:row>
      <xdr:rowOff>59690</xdr:rowOff>
    </xdr:from>
    <xdr:to>
      <xdr:col>35</xdr:col>
      <xdr:colOff>938543</xdr:colOff>
      <xdr:row>1</xdr:row>
      <xdr:rowOff>553466</xdr:rowOff>
    </xdr:to>
    <xdr:sp macro="" textlink="">
      <xdr:nvSpPr>
        <xdr:cNvPr id="413" name="B IHSS SERV PAGE">
          <a:hlinkClick xmlns:r="http://schemas.openxmlformats.org/officeDocument/2006/relationships" r:id="rId13" tooltip="IHSS Services Page (Current)"/>
          <a:extLst>
            <a:ext uri="{FF2B5EF4-FFF2-40B4-BE49-F238E27FC236}">
              <a16:creationId xmlns:a16="http://schemas.microsoft.com/office/drawing/2014/main" id="{F3872914-471E-4948-AB0D-6107641F02FB}"/>
            </a:ext>
          </a:extLst>
        </xdr:cNvPr>
        <xdr:cNvSpPr/>
      </xdr:nvSpPr>
      <xdr:spPr>
        <a:xfrm>
          <a:off x="43461445" y="58420"/>
          <a:ext cx="10914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48</xdr:col>
      <xdr:colOff>937829</xdr:colOff>
      <xdr:row>1</xdr:row>
      <xdr:rowOff>59690</xdr:rowOff>
    </xdr:from>
    <xdr:to>
      <xdr:col>49</xdr:col>
      <xdr:colOff>784667</xdr:colOff>
      <xdr:row>1</xdr:row>
      <xdr:rowOff>553466</xdr:rowOff>
    </xdr:to>
    <xdr:sp macro="" textlink="">
      <xdr:nvSpPr>
        <xdr:cNvPr id="414" name="B AGE PAGE">
          <a:hlinkClick xmlns:r="http://schemas.openxmlformats.org/officeDocument/2006/relationships" r:id="rId2" tooltip="Age &amp; Gender Page (Current)"/>
          <a:extLst>
            <a:ext uri="{FF2B5EF4-FFF2-40B4-BE49-F238E27FC236}">
              <a16:creationId xmlns:a16="http://schemas.microsoft.com/office/drawing/2014/main" id="{E2725869-FE59-4267-AE7A-12AF648CEE7E}"/>
            </a:ext>
          </a:extLst>
        </xdr:cNvPr>
        <xdr:cNvSpPr/>
      </xdr:nvSpPr>
      <xdr:spPr>
        <a:xfrm>
          <a:off x="60231589" y="58420"/>
          <a:ext cx="105206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43</xdr:col>
      <xdr:colOff>101937</xdr:colOff>
      <xdr:row>1</xdr:row>
      <xdr:rowOff>59690</xdr:rowOff>
    </xdr:from>
    <xdr:to>
      <xdr:col>43</xdr:col>
      <xdr:colOff>1164165</xdr:colOff>
      <xdr:row>1</xdr:row>
      <xdr:rowOff>553466</xdr:rowOff>
    </xdr:to>
    <xdr:sp macro="" textlink="">
      <xdr:nvSpPr>
        <xdr:cNvPr id="415" name="B HOME PAGE">
          <a:hlinkClick xmlns:r="http://schemas.openxmlformats.org/officeDocument/2006/relationships" r:id="rId3" tooltip="Back to Dashboard Page"/>
          <a:extLst>
            <a:ext uri="{FF2B5EF4-FFF2-40B4-BE49-F238E27FC236}">
              <a16:creationId xmlns:a16="http://schemas.microsoft.com/office/drawing/2014/main" id="{23363CEE-B206-49C2-AE02-20336F419451}"/>
            </a:ext>
          </a:extLst>
        </xdr:cNvPr>
        <xdr:cNvSpPr/>
      </xdr:nvSpPr>
      <xdr:spPr>
        <a:xfrm>
          <a:off x="53335257" y="58420"/>
          <a:ext cx="1082548" cy="49377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44</xdr:col>
      <xdr:colOff>22389</xdr:colOff>
      <xdr:row>1</xdr:row>
      <xdr:rowOff>59690</xdr:rowOff>
    </xdr:from>
    <xdr:to>
      <xdr:col>44</xdr:col>
      <xdr:colOff>1088427</xdr:colOff>
      <xdr:row>1</xdr:row>
      <xdr:rowOff>553466</xdr:rowOff>
    </xdr:to>
    <xdr:sp macro="" textlink="">
      <xdr:nvSpPr>
        <xdr:cNvPr id="416" name="B GEN DATA PAGE">
          <a:hlinkClick xmlns:r="http://schemas.openxmlformats.org/officeDocument/2006/relationships" r:id="rId4" tooltip="Back to General Data Page"/>
          <a:extLst>
            <a:ext uri="{FF2B5EF4-FFF2-40B4-BE49-F238E27FC236}">
              <a16:creationId xmlns:a16="http://schemas.microsoft.com/office/drawing/2014/main" id="{3E1A6643-090E-4267-8262-4D51D17C4919}"/>
            </a:ext>
          </a:extLst>
        </xdr:cNvPr>
        <xdr:cNvSpPr/>
      </xdr:nvSpPr>
      <xdr:spPr>
        <a:xfrm>
          <a:off x="54476179" y="58420"/>
          <a:ext cx="10787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45</xdr:col>
      <xdr:colOff>1092652</xdr:colOff>
      <xdr:row>1</xdr:row>
      <xdr:rowOff>59690</xdr:rowOff>
    </xdr:from>
    <xdr:to>
      <xdr:col>46</xdr:col>
      <xdr:colOff>972511</xdr:colOff>
      <xdr:row>1</xdr:row>
      <xdr:rowOff>553466</xdr:rowOff>
    </xdr:to>
    <xdr:sp macro="" textlink="">
      <xdr:nvSpPr>
        <xdr:cNvPr id="417" name="B ABD PAGE">
          <a:hlinkClick xmlns:r="http://schemas.openxmlformats.org/officeDocument/2006/relationships" r:id="rId5" tooltip="Aged, Blind, or Disabled Page (Current)"/>
          <a:extLst>
            <a:ext uri="{FF2B5EF4-FFF2-40B4-BE49-F238E27FC236}">
              <a16:creationId xmlns:a16="http://schemas.microsoft.com/office/drawing/2014/main" id="{28245CA4-83AB-4F16-933C-C2F1EC2E40BD}"/>
            </a:ext>
          </a:extLst>
        </xdr:cNvPr>
        <xdr:cNvSpPr/>
      </xdr:nvSpPr>
      <xdr:spPr>
        <a:xfrm>
          <a:off x="56759292" y="58420"/>
          <a:ext cx="1097789"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42</xdr:col>
      <xdr:colOff>139575</xdr:colOff>
      <xdr:row>1</xdr:row>
      <xdr:rowOff>59690</xdr:rowOff>
    </xdr:from>
    <xdr:to>
      <xdr:col>43</xdr:col>
      <xdr:colOff>2923</xdr:colOff>
      <xdr:row>1</xdr:row>
      <xdr:rowOff>553466</xdr:rowOff>
    </xdr:to>
    <xdr:sp macro="" textlink="">
      <xdr:nvSpPr>
        <xdr:cNvPr id="418" name="B GEN DATA PAGE">
          <a:hlinkClick xmlns:r="http://schemas.openxmlformats.org/officeDocument/2006/relationships" r:id="rId6" tooltip="Back to Navigation Page"/>
          <a:extLst>
            <a:ext uri="{FF2B5EF4-FFF2-40B4-BE49-F238E27FC236}">
              <a16:creationId xmlns:a16="http://schemas.microsoft.com/office/drawing/2014/main" id="{4E5189CD-B471-4336-8A78-84E594A5C968}"/>
            </a:ext>
          </a:extLst>
        </xdr:cNvPr>
        <xdr:cNvSpPr/>
      </xdr:nvSpPr>
      <xdr:spPr>
        <a:xfrm>
          <a:off x="52189255" y="58420"/>
          <a:ext cx="106730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52</xdr:col>
      <xdr:colOff>711626</xdr:colOff>
      <xdr:row>1</xdr:row>
      <xdr:rowOff>59690</xdr:rowOff>
    </xdr:from>
    <xdr:to>
      <xdr:col>53</xdr:col>
      <xdr:colOff>592209</xdr:colOff>
      <xdr:row>1</xdr:row>
      <xdr:rowOff>553466</xdr:rowOff>
    </xdr:to>
    <xdr:sp macro="" textlink="">
      <xdr:nvSpPr>
        <xdr:cNvPr id="419" name="B ALL DATA PAGE">
          <a:hlinkClick xmlns:r="http://schemas.openxmlformats.org/officeDocument/2006/relationships" r:id="rId7" tooltip="Back to All Data Page"/>
          <a:extLst>
            <a:ext uri="{FF2B5EF4-FFF2-40B4-BE49-F238E27FC236}">
              <a16:creationId xmlns:a16="http://schemas.microsoft.com/office/drawing/2014/main" id="{883AF263-C286-4521-9FB5-E2196427BEF1}"/>
            </a:ext>
          </a:extLst>
        </xdr:cNvPr>
        <xdr:cNvSpPr/>
      </xdr:nvSpPr>
      <xdr:spPr>
        <a:xfrm>
          <a:off x="64807256" y="58420"/>
          <a:ext cx="1088353" cy="50012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51</xdr:col>
      <xdr:colOff>787782</xdr:colOff>
      <xdr:row>1</xdr:row>
      <xdr:rowOff>59690</xdr:rowOff>
    </xdr:from>
    <xdr:to>
      <xdr:col>52</xdr:col>
      <xdr:colOff>632927</xdr:colOff>
      <xdr:row>1</xdr:row>
      <xdr:rowOff>553466</xdr:rowOff>
    </xdr:to>
    <xdr:sp macro="" textlink="">
      <xdr:nvSpPr>
        <xdr:cNvPr id="420" name="B TERMS PAGE">
          <a:hlinkClick xmlns:r="http://schemas.openxmlformats.org/officeDocument/2006/relationships" r:id="rId8" tooltip="Back to Appendix &amp; Terms Page"/>
          <a:extLst>
            <a:ext uri="{FF2B5EF4-FFF2-40B4-BE49-F238E27FC236}">
              <a16:creationId xmlns:a16="http://schemas.microsoft.com/office/drawing/2014/main" id="{C31032FC-BA52-47A7-8A12-DF2F2165217B}"/>
            </a:ext>
          </a:extLst>
        </xdr:cNvPr>
        <xdr:cNvSpPr/>
      </xdr:nvSpPr>
      <xdr:spPr>
        <a:xfrm>
          <a:off x="63674372" y="58420"/>
          <a:ext cx="1055455"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50</xdr:col>
      <xdr:colOff>820643</xdr:colOff>
      <xdr:row>1</xdr:row>
      <xdr:rowOff>59690</xdr:rowOff>
    </xdr:from>
    <xdr:to>
      <xdr:col>51</xdr:col>
      <xdr:colOff>687075</xdr:colOff>
      <xdr:row>1</xdr:row>
      <xdr:rowOff>553466</xdr:rowOff>
    </xdr:to>
    <xdr:sp macro="" textlink="">
      <xdr:nvSpPr>
        <xdr:cNvPr id="421" name="B PROV DET PAGE">
          <a:hlinkClick xmlns:r="http://schemas.openxmlformats.org/officeDocument/2006/relationships" r:id="rId9" tooltip="Back to Provider Page"/>
          <a:extLst>
            <a:ext uri="{FF2B5EF4-FFF2-40B4-BE49-F238E27FC236}">
              <a16:creationId xmlns:a16="http://schemas.microsoft.com/office/drawing/2014/main" id="{D7B7192A-E7E1-45DE-A0AD-D388BE9FAE67}"/>
            </a:ext>
          </a:extLst>
        </xdr:cNvPr>
        <xdr:cNvSpPr/>
      </xdr:nvSpPr>
      <xdr:spPr>
        <a:xfrm>
          <a:off x="62531213" y="58420"/>
          <a:ext cx="106404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46</xdr:col>
      <xdr:colOff>1051205</xdr:colOff>
      <xdr:row>1</xdr:row>
      <xdr:rowOff>59690</xdr:rowOff>
    </xdr:from>
    <xdr:to>
      <xdr:col>47</xdr:col>
      <xdr:colOff>898043</xdr:colOff>
      <xdr:row>1</xdr:row>
      <xdr:rowOff>553466</xdr:rowOff>
    </xdr:to>
    <xdr:sp macro="" textlink="">
      <xdr:nvSpPr>
        <xdr:cNvPr id="422" name="B IHSS PROG PAGE">
          <a:hlinkClick xmlns:r="http://schemas.openxmlformats.org/officeDocument/2006/relationships" r:id="rId10" tooltip="Back to Program Equity Page"/>
          <a:extLst>
            <a:ext uri="{FF2B5EF4-FFF2-40B4-BE49-F238E27FC236}">
              <a16:creationId xmlns:a16="http://schemas.microsoft.com/office/drawing/2014/main" id="{BC994B30-E01D-44C6-AF2B-D4D2CE8BAB02}"/>
            </a:ext>
          </a:extLst>
        </xdr:cNvPr>
        <xdr:cNvSpPr/>
      </xdr:nvSpPr>
      <xdr:spPr>
        <a:xfrm>
          <a:off x="57930695" y="58420"/>
          <a:ext cx="106095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49</xdr:col>
      <xdr:colOff>859551</xdr:colOff>
      <xdr:row>1</xdr:row>
      <xdr:rowOff>59690</xdr:rowOff>
    </xdr:from>
    <xdr:to>
      <xdr:col>50</xdr:col>
      <xdr:colOff>746303</xdr:colOff>
      <xdr:row>1</xdr:row>
      <xdr:rowOff>553466</xdr:rowOff>
    </xdr:to>
    <xdr:sp macro="" textlink="">
      <xdr:nvSpPr>
        <xdr:cNvPr id="423" name="B ETHNICITY PAGE">
          <a:hlinkClick xmlns:r="http://schemas.openxmlformats.org/officeDocument/2006/relationships" r:id="rId11" tooltip="Back to Ethnicity &amp; Language Page"/>
          <a:extLst>
            <a:ext uri="{FF2B5EF4-FFF2-40B4-BE49-F238E27FC236}">
              <a16:creationId xmlns:a16="http://schemas.microsoft.com/office/drawing/2014/main" id="{102CBF66-7D44-45E0-8808-B6BF6C8414C5}"/>
            </a:ext>
          </a:extLst>
        </xdr:cNvPr>
        <xdr:cNvSpPr/>
      </xdr:nvSpPr>
      <xdr:spPr>
        <a:xfrm>
          <a:off x="61358541" y="58420"/>
          <a:ext cx="108055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44</xdr:col>
      <xdr:colOff>1166698</xdr:colOff>
      <xdr:row>1</xdr:row>
      <xdr:rowOff>59690</xdr:rowOff>
    </xdr:from>
    <xdr:to>
      <xdr:col>45</xdr:col>
      <xdr:colOff>1052058</xdr:colOff>
      <xdr:row>1</xdr:row>
      <xdr:rowOff>553466</xdr:rowOff>
    </xdr:to>
    <xdr:sp macro="" textlink="">
      <xdr:nvSpPr>
        <xdr:cNvPr id="424" name="B GEN DATA PAGE">
          <a:hlinkClick xmlns:r="http://schemas.openxmlformats.org/officeDocument/2006/relationships" r:id="rId12" tooltip="IHSS Applicants Page (Current)"/>
          <a:extLst>
            <a:ext uri="{FF2B5EF4-FFF2-40B4-BE49-F238E27FC236}">
              <a16:creationId xmlns:a16="http://schemas.microsoft.com/office/drawing/2014/main" id="{375A7E84-C9FE-46FC-8270-7A1AABEEB42A}"/>
            </a:ext>
          </a:extLst>
        </xdr:cNvPr>
        <xdr:cNvSpPr/>
      </xdr:nvSpPr>
      <xdr:spPr>
        <a:xfrm>
          <a:off x="55632341" y="58420"/>
          <a:ext cx="1077467"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47</xdr:col>
      <xdr:colOff>975467</xdr:colOff>
      <xdr:row>1</xdr:row>
      <xdr:rowOff>59690</xdr:rowOff>
    </xdr:from>
    <xdr:to>
      <xdr:col>48</xdr:col>
      <xdr:colOff>860405</xdr:colOff>
      <xdr:row>1</xdr:row>
      <xdr:rowOff>553466</xdr:rowOff>
    </xdr:to>
    <xdr:sp macro="" textlink="">
      <xdr:nvSpPr>
        <xdr:cNvPr id="425" name="B IHSS SERV PAGE">
          <a:hlinkClick xmlns:r="http://schemas.openxmlformats.org/officeDocument/2006/relationships" r:id="rId13" tooltip="IHSS Services Page (Current)"/>
          <a:extLst>
            <a:ext uri="{FF2B5EF4-FFF2-40B4-BE49-F238E27FC236}">
              <a16:creationId xmlns:a16="http://schemas.microsoft.com/office/drawing/2014/main" id="{55F27665-49BD-41C7-8B48-04E8ACB34C61}"/>
            </a:ext>
          </a:extLst>
        </xdr:cNvPr>
        <xdr:cNvSpPr/>
      </xdr:nvSpPr>
      <xdr:spPr>
        <a:xfrm>
          <a:off x="59061457" y="58420"/>
          <a:ext cx="10914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62</xdr:col>
      <xdr:colOff>1054306</xdr:colOff>
      <xdr:row>1</xdr:row>
      <xdr:rowOff>59690</xdr:rowOff>
    </xdr:from>
    <xdr:to>
      <xdr:col>63</xdr:col>
      <xdr:colOff>898604</xdr:colOff>
      <xdr:row>1</xdr:row>
      <xdr:rowOff>553466</xdr:rowOff>
    </xdr:to>
    <xdr:sp macro="" textlink="">
      <xdr:nvSpPr>
        <xdr:cNvPr id="426" name="B AGE PAGE">
          <a:hlinkClick xmlns:r="http://schemas.openxmlformats.org/officeDocument/2006/relationships" r:id="rId2" tooltip="Age &amp; Gender Page (Current)"/>
          <a:extLst>
            <a:ext uri="{FF2B5EF4-FFF2-40B4-BE49-F238E27FC236}">
              <a16:creationId xmlns:a16="http://schemas.microsoft.com/office/drawing/2014/main" id="{1BE11043-5093-4BFA-B8E9-2EF108EA8152}"/>
            </a:ext>
          </a:extLst>
        </xdr:cNvPr>
        <xdr:cNvSpPr/>
      </xdr:nvSpPr>
      <xdr:spPr>
        <a:xfrm>
          <a:off x="77212396" y="58420"/>
          <a:ext cx="105206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57</xdr:col>
      <xdr:colOff>172694</xdr:colOff>
      <xdr:row>1</xdr:row>
      <xdr:rowOff>59690</xdr:rowOff>
    </xdr:from>
    <xdr:to>
      <xdr:col>58</xdr:col>
      <xdr:colOff>58902</xdr:colOff>
      <xdr:row>1</xdr:row>
      <xdr:rowOff>553466</xdr:rowOff>
    </xdr:to>
    <xdr:sp macro="" textlink="">
      <xdr:nvSpPr>
        <xdr:cNvPr id="427" name="B HOME PAGE">
          <a:hlinkClick xmlns:r="http://schemas.openxmlformats.org/officeDocument/2006/relationships" r:id="rId3" tooltip="Back to Dashboard Page"/>
          <a:extLst>
            <a:ext uri="{FF2B5EF4-FFF2-40B4-BE49-F238E27FC236}">
              <a16:creationId xmlns:a16="http://schemas.microsoft.com/office/drawing/2014/main" id="{98725371-A303-41F1-919F-E79E46FE385A}"/>
            </a:ext>
          </a:extLst>
        </xdr:cNvPr>
        <xdr:cNvSpPr/>
      </xdr:nvSpPr>
      <xdr:spPr>
        <a:xfrm>
          <a:off x="70316064" y="58420"/>
          <a:ext cx="1082548" cy="49377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58</xdr:col>
      <xdr:colOff>98226</xdr:colOff>
      <xdr:row>1</xdr:row>
      <xdr:rowOff>59690</xdr:rowOff>
    </xdr:from>
    <xdr:to>
      <xdr:col>58</xdr:col>
      <xdr:colOff>1167651</xdr:colOff>
      <xdr:row>1</xdr:row>
      <xdr:rowOff>553466</xdr:rowOff>
    </xdr:to>
    <xdr:sp macro="" textlink="">
      <xdr:nvSpPr>
        <xdr:cNvPr id="428" name="B GEN DATA PAGE">
          <a:hlinkClick xmlns:r="http://schemas.openxmlformats.org/officeDocument/2006/relationships" r:id="rId4" tooltip="Back to General Data Page"/>
          <a:extLst>
            <a:ext uri="{FF2B5EF4-FFF2-40B4-BE49-F238E27FC236}">
              <a16:creationId xmlns:a16="http://schemas.microsoft.com/office/drawing/2014/main" id="{6226AA6A-FF99-49DF-9760-F532044B47DF}"/>
            </a:ext>
          </a:extLst>
        </xdr:cNvPr>
        <xdr:cNvSpPr/>
      </xdr:nvSpPr>
      <xdr:spPr>
        <a:xfrm>
          <a:off x="71456986" y="58420"/>
          <a:ext cx="10787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59</xdr:col>
      <xdr:colOff>1164256</xdr:colOff>
      <xdr:row>1</xdr:row>
      <xdr:rowOff>59690</xdr:rowOff>
    </xdr:from>
    <xdr:to>
      <xdr:col>60</xdr:col>
      <xdr:colOff>1092798</xdr:colOff>
      <xdr:row>1</xdr:row>
      <xdr:rowOff>553466</xdr:rowOff>
    </xdr:to>
    <xdr:sp macro="" textlink="">
      <xdr:nvSpPr>
        <xdr:cNvPr id="429" name="B ABD PAGE">
          <a:hlinkClick xmlns:r="http://schemas.openxmlformats.org/officeDocument/2006/relationships" r:id="rId5" tooltip="Aged, Blind, or Disabled Page (Current)"/>
          <a:extLst>
            <a:ext uri="{FF2B5EF4-FFF2-40B4-BE49-F238E27FC236}">
              <a16:creationId xmlns:a16="http://schemas.microsoft.com/office/drawing/2014/main" id="{0C0F6037-BBB9-4D3C-BC5A-BE78DB2C8CAF}"/>
            </a:ext>
          </a:extLst>
        </xdr:cNvPr>
        <xdr:cNvSpPr/>
      </xdr:nvSpPr>
      <xdr:spPr>
        <a:xfrm>
          <a:off x="73740099" y="58420"/>
          <a:ext cx="1097789"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56</xdr:col>
      <xdr:colOff>248432</xdr:colOff>
      <xdr:row>1</xdr:row>
      <xdr:rowOff>59690</xdr:rowOff>
    </xdr:from>
    <xdr:to>
      <xdr:col>57</xdr:col>
      <xdr:colOff>99080</xdr:colOff>
      <xdr:row>1</xdr:row>
      <xdr:rowOff>553466</xdr:rowOff>
    </xdr:to>
    <xdr:sp macro="" textlink="">
      <xdr:nvSpPr>
        <xdr:cNvPr id="430" name="B GEN DATA PAGE">
          <a:hlinkClick xmlns:r="http://schemas.openxmlformats.org/officeDocument/2006/relationships" r:id="rId6" tooltip="Back to Navigation Page"/>
          <a:extLst>
            <a:ext uri="{FF2B5EF4-FFF2-40B4-BE49-F238E27FC236}">
              <a16:creationId xmlns:a16="http://schemas.microsoft.com/office/drawing/2014/main" id="{5F2B3439-741D-4CAD-8C74-84A9B535B982}"/>
            </a:ext>
          </a:extLst>
        </xdr:cNvPr>
        <xdr:cNvSpPr/>
      </xdr:nvSpPr>
      <xdr:spPr>
        <a:xfrm>
          <a:off x="69170062" y="58420"/>
          <a:ext cx="106730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66</xdr:col>
      <xdr:colOff>784923</xdr:colOff>
      <xdr:row>1</xdr:row>
      <xdr:rowOff>59690</xdr:rowOff>
    </xdr:from>
    <xdr:to>
      <xdr:col>67</xdr:col>
      <xdr:colOff>673126</xdr:colOff>
      <xdr:row>1</xdr:row>
      <xdr:rowOff>553466</xdr:rowOff>
    </xdr:to>
    <xdr:sp macro="" textlink="">
      <xdr:nvSpPr>
        <xdr:cNvPr id="431" name="B ALL DATA PAGE">
          <a:hlinkClick xmlns:r="http://schemas.openxmlformats.org/officeDocument/2006/relationships" r:id="rId7" tooltip="Back to All Data Page"/>
          <a:extLst>
            <a:ext uri="{FF2B5EF4-FFF2-40B4-BE49-F238E27FC236}">
              <a16:creationId xmlns:a16="http://schemas.microsoft.com/office/drawing/2014/main" id="{60962EFD-4F0C-47DA-BD1C-8683F5199976}"/>
            </a:ext>
          </a:extLst>
        </xdr:cNvPr>
        <xdr:cNvSpPr/>
      </xdr:nvSpPr>
      <xdr:spPr>
        <a:xfrm>
          <a:off x="81788063" y="58420"/>
          <a:ext cx="1088353" cy="50012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65</xdr:col>
      <xdr:colOff>861079</xdr:colOff>
      <xdr:row>1</xdr:row>
      <xdr:rowOff>59690</xdr:rowOff>
    </xdr:from>
    <xdr:to>
      <xdr:col>66</xdr:col>
      <xdr:colOff>711304</xdr:colOff>
      <xdr:row>1</xdr:row>
      <xdr:rowOff>553466</xdr:rowOff>
    </xdr:to>
    <xdr:sp macro="" textlink="">
      <xdr:nvSpPr>
        <xdr:cNvPr id="432" name="B TERMS PAGE">
          <a:hlinkClick xmlns:r="http://schemas.openxmlformats.org/officeDocument/2006/relationships" r:id="rId8" tooltip="Back to Appendix &amp; Terms Page"/>
          <a:extLst>
            <a:ext uri="{FF2B5EF4-FFF2-40B4-BE49-F238E27FC236}">
              <a16:creationId xmlns:a16="http://schemas.microsoft.com/office/drawing/2014/main" id="{FEC6325F-EF0E-4F86-BD2A-73154C3F1747}"/>
            </a:ext>
          </a:extLst>
        </xdr:cNvPr>
        <xdr:cNvSpPr/>
      </xdr:nvSpPr>
      <xdr:spPr>
        <a:xfrm>
          <a:off x="80655179" y="58420"/>
          <a:ext cx="1055455"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64</xdr:col>
      <xdr:colOff>937120</xdr:colOff>
      <xdr:row>1</xdr:row>
      <xdr:rowOff>59690</xdr:rowOff>
    </xdr:from>
    <xdr:to>
      <xdr:col>65</xdr:col>
      <xdr:colOff>783232</xdr:colOff>
      <xdr:row>1</xdr:row>
      <xdr:rowOff>553466</xdr:rowOff>
    </xdr:to>
    <xdr:sp macro="" textlink="">
      <xdr:nvSpPr>
        <xdr:cNvPr id="433" name="B PROV DET PAGE">
          <a:hlinkClick xmlns:r="http://schemas.openxmlformats.org/officeDocument/2006/relationships" r:id="rId9" tooltip="Back to Provider Page"/>
          <a:extLst>
            <a:ext uri="{FF2B5EF4-FFF2-40B4-BE49-F238E27FC236}">
              <a16:creationId xmlns:a16="http://schemas.microsoft.com/office/drawing/2014/main" id="{7933B59E-A9A7-4A2B-84B8-BA76D6FAE0D2}"/>
            </a:ext>
          </a:extLst>
        </xdr:cNvPr>
        <xdr:cNvSpPr/>
      </xdr:nvSpPr>
      <xdr:spPr>
        <a:xfrm>
          <a:off x="79512020" y="58420"/>
          <a:ext cx="106404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60</xdr:col>
      <xdr:colOff>1144822</xdr:colOff>
      <xdr:row>1</xdr:row>
      <xdr:rowOff>59690</xdr:rowOff>
    </xdr:from>
    <xdr:to>
      <xdr:col>61</xdr:col>
      <xdr:colOff>1013250</xdr:colOff>
      <xdr:row>1</xdr:row>
      <xdr:rowOff>553466</xdr:rowOff>
    </xdr:to>
    <xdr:sp macro="" textlink="">
      <xdr:nvSpPr>
        <xdr:cNvPr id="434" name="B IHSS PROG PAGE">
          <a:hlinkClick xmlns:r="http://schemas.openxmlformats.org/officeDocument/2006/relationships" r:id="rId10" tooltip="Back to Program Equity Page"/>
          <a:extLst>
            <a:ext uri="{FF2B5EF4-FFF2-40B4-BE49-F238E27FC236}">
              <a16:creationId xmlns:a16="http://schemas.microsoft.com/office/drawing/2014/main" id="{37AE0789-6C5B-476E-94E1-20E188861CAE}"/>
            </a:ext>
          </a:extLst>
        </xdr:cNvPr>
        <xdr:cNvSpPr/>
      </xdr:nvSpPr>
      <xdr:spPr>
        <a:xfrm>
          <a:off x="74911502" y="58420"/>
          <a:ext cx="106095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63</xdr:col>
      <xdr:colOff>953168</xdr:colOff>
      <xdr:row>1</xdr:row>
      <xdr:rowOff>59690</xdr:rowOff>
    </xdr:from>
    <xdr:to>
      <xdr:col>64</xdr:col>
      <xdr:colOff>823410</xdr:colOff>
      <xdr:row>1</xdr:row>
      <xdr:rowOff>553466</xdr:rowOff>
    </xdr:to>
    <xdr:sp macro="" textlink="">
      <xdr:nvSpPr>
        <xdr:cNvPr id="435" name="B ETHNICITY PAGE">
          <a:hlinkClick xmlns:r="http://schemas.openxmlformats.org/officeDocument/2006/relationships" r:id="rId11" tooltip="Back to Ethnicity &amp; Language Page"/>
          <a:extLst>
            <a:ext uri="{FF2B5EF4-FFF2-40B4-BE49-F238E27FC236}">
              <a16:creationId xmlns:a16="http://schemas.microsoft.com/office/drawing/2014/main" id="{C1D75460-007F-4736-8DC8-D1B8E625A84F}"/>
            </a:ext>
          </a:extLst>
        </xdr:cNvPr>
        <xdr:cNvSpPr/>
      </xdr:nvSpPr>
      <xdr:spPr>
        <a:xfrm>
          <a:off x="78339348" y="58420"/>
          <a:ext cx="108055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59</xdr:col>
      <xdr:colOff>63128</xdr:colOff>
      <xdr:row>1</xdr:row>
      <xdr:rowOff>59690</xdr:rowOff>
    </xdr:from>
    <xdr:to>
      <xdr:col>59</xdr:col>
      <xdr:colOff>1126625</xdr:colOff>
      <xdr:row>1</xdr:row>
      <xdr:rowOff>553466</xdr:rowOff>
    </xdr:to>
    <xdr:sp macro="" textlink="">
      <xdr:nvSpPr>
        <xdr:cNvPr id="436" name="B GEN DATA PAGE">
          <a:hlinkClick xmlns:r="http://schemas.openxmlformats.org/officeDocument/2006/relationships" r:id="rId12" tooltip="IHSS Applicants Page (Current)"/>
          <a:extLst>
            <a:ext uri="{FF2B5EF4-FFF2-40B4-BE49-F238E27FC236}">
              <a16:creationId xmlns:a16="http://schemas.microsoft.com/office/drawing/2014/main" id="{95AEE108-A817-48A0-AE64-18A3C6FA1823}"/>
            </a:ext>
          </a:extLst>
        </xdr:cNvPr>
        <xdr:cNvSpPr/>
      </xdr:nvSpPr>
      <xdr:spPr>
        <a:xfrm>
          <a:off x="72613148" y="58420"/>
          <a:ext cx="1077467"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61</xdr:col>
      <xdr:colOff>1089404</xdr:colOff>
      <xdr:row>1</xdr:row>
      <xdr:rowOff>59690</xdr:rowOff>
    </xdr:from>
    <xdr:to>
      <xdr:col>62</xdr:col>
      <xdr:colOff>954022</xdr:colOff>
      <xdr:row>1</xdr:row>
      <xdr:rowOff>553466</xdr:rowOff>
    </xdr:to>
    <xdr:sp macro="" textlink="">
      <xdr:nvSpPr>
        <xdr:cNvPr id="437" name="B IHSS SERV PAGE">
          <a:hlinkClick xmlns:r="http://schemas.openxmlformats.org/officeDocument/2006/relationships" r:id="rId13" tooltip="IHSS Services Page (Current)"/>
          <a:extLst>
            <a:ext uri="{FF2B5EF4-FFF2-40B4-BE49-F238E27FC236}">
              <a16:creationId xmlns:a16="http://schemas.microsoft.com/office/drawing/2014/main" id="{FAC7DEDF-7DDB-4A64-85F9-0CFE3B6AB52B}"/>
            </a:ext>
          </a:extLst>
        </xdr:cNvPr>
        <xdr:cNvSpPr/>
      </xdr:nvSpPr>
      <xdr:spPr>
        <a:xfrm>
          <a:off x="76042264" y="58420"/>
          <a:ext cx="10914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76</xdr:col>
      <xdr:colOff>632031</xdr:colOff>
      <xdr:row>1</xdr:row>
      <xdr:rowOff>59690</xdr:rowOff>
    </xdr:from>
    <xdr:to>
      <xdr:col>77</xdr:col>
      <xdr:colOff>480139</xdr:colOff>
      <xdr:row>1</xdr:row>
      <xdr:rowOff>553466</xdr:rowOff>
    </xdr:to>
    <xdr:sp macro="" textlink="">
      <xdr:nvSpPr>
        <xdr:cNvPr id="438" name="B AGE PAGE">
          <a:hlinkClick xmlns:r="http://schemas.openxmlformats.org/officeDocument/2006/relationships" r:id="rId2" tooltip="Age &amp; Gender Page (Current)"/>
          <a:extLst>
            <a:ext uri="{FF2B5EF4-FFF2-40B4-BE49-F238E27FC236}">
              <a16:creationId xmlns:a16="http://schemas.microsoft.com/office/drawing/2014/main" id="{13656B62-FA63-4402-A988-C5CD033307AF}"/>
            </a:ext>
          </a:extLst>
        </xdr:cNvPr>
        <xdr:cNvSpPr/>
      </xdr:nvSpPr>
      <xdr:spPr>
        <a:xfrm>
          <a:off x="93700171" y="58420"/>
          <a:ext cx="105206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70</xdr:col>
      <xdr:colOff>973429</xdr:colOff>
      <xdr:row>1</xdr:row>
      <xdr:rowOff>59690</xdr:rowOff>
    </xdr:from>
    <xdr:to>
      <xdr:col>71</xdr:col>
      <xdr:colOff>859637</xdr:colOff>
      <xdr:row>1</xdr:row>
      <xdr:rowOff>553466</xdr:rowOff>
    </xdr:to>
    <xdr:sp macro="" textlink="">
      <xdr:nvSpPr>
        <xdr:cNvPr id="439" name="B HOME PAGE">
          <a:hlinkClick xmlns:r="http://schemas.openxmlformats.org/officeDocument/2006/relationships" r:id="rId3" tooltip="Back to Dashboard Page"/>
          <a:extLst>
            <a:ext uri="{FF2B5EF4-FFF2-40B4-BE49-F238E27FC236}">
              <a16:creationId xmlns:a16="http://schemas.microsoft.com/office/drawing/2014/main" id="{9F635345-FC28-4A48-8E31-D8CCF7CD0A81}"/>
            </a:ext>
          </a:extLst>
        </xdr:cNvPr>
        <xdr:cNvSpPr/>
      </xdr:nvSpPr>
      <xdr:spPr>
        <a:xfrm>
          <a:off x="86803839" y="58420"/>
          <a:ext cx="1082548" cy="49377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71</xdr:col>
      <xdr:colOff>898961</xdr:colOff>
      <xdr:row>1</xdr:row>
      <xdr:rowOff>59690</xdr:rowOff>
    </xdr:from>
    <xdr:to>
      <xdr:col>72</xdr:col>
      <xdr:colOff>787709</xdr:colOff>
      <xdr:row>1</xdr:row>
      <xdr:rowOff>553466</xdr:rowOff>
    </xdr:to>
    <xdr:sp macro="" textlink="">
      <xdr:nvSpPr>
        <xdr:cNvPr id="440" name="B GEN DATA PAGE">
          <a:hlinkClick xmlns:r="http://schemas.openxmlformats.org/officeDocument/2006/relationships" r:id="rId4" tooltip="Back to General Data Page"/>
          <a:extLst>
            <a:ext uri="{FF2B5EF4-FFF2-40B4-BE49-F238E27FC236}">
              <a16:creationId xmlns:a16="http://schemas.microsoft.com/office/drawing/2014/main" id="{ED9BC0C3-E4D8-4D25-9AC6-95BFA00D8271}"/>
            </a:ext>
          </a:extLst>
        </xdr:cNvPr>
        <xdr:cNvSpPr/>
      </xdr:nvSpPr>
      <xdr:spPr>
        <a:xfrm>
          <a:off x="87944761" y="58420"/>
          <a:ext cx="10787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73</xdr:col>
      <xdr:colOff>783044</xdr:colOff>
      <xdr:row>1</xdr:row>
      <xdr:rowOff>59690</xdr:rowOff>
    </xdr:from>
    <xdr:to>
      <xdr:col>74</xdr:col>
      <xdr:colOff>670523</xdr:colOff>
      <xdr:row>1</xdr:row>
      <xdr:rowOff>553466</xdr:rowOff>
    </xdr:to>
    <xdr:sp macro="" textlink="">
      <xdr:nvSpPr>
        <xdr:cNvPr id="441" name="B ABD PAGE">
          <a:hlinkClick xmlns:r="http://schemas.openxmlformats.org/officeDocument/2006/relationships" r:id="rId5" tooltip="Aged, Blind, or Disabled Page (Current)"/>
          <a:extLst>
            <a:ext uri="{FF2B5EF4-FFF2-40B4-BE49-F238E27FC236}">
              <a16:creationId xmlns:a16="http://schemas.microsoft.com/office/drawing/2014/main" id="{336E527A-1960-4E56-A224-5776F94915D2}"/>
            </a:ext>
          </a:extLst>
        </xdr:cNvPr>
        <xdr:cNvSpPr/>
      </xdr:nvSpPr>
      <xdr:spPr>
        <a:xfrm>
          <a:off x="90227874" y="58420"/>
          <a:ext cx="1097789"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69</xdr:col>
      <xdr:colOff>1054247</xdr:colOff>
      <xdr:row>1</xdr:row>
      <xdr:rowOff>59690</xdr:rowOff>
    </xdr:from>
    <xdr:to>
      <xdr:col>70</xdr:col>
      <xdr:colOff>898545</xdr:colOff>
      <xdr:row>1</xdr:row>
      <xdr:rowOff>553466</xdr:rowOff>
    </xdr:to>
    <xdr:sp macro="" textlink="">
      <xdr:nvSpPr>
        <xdr:cNvPr id="442" name="B GEN DATA PAGE">
          <a:hlinkClick xmlns:r="http://schemas.openxmlformats.org/officeDocument/2006/relationships" r:id="rId6" tooltip="Back to Navigation Page"/>
          <a:extLst>
            <a:ext uri="{FF2B5EF4-FFF2-40B4-BE49-F238E27FC236}">
              <a16:creationId xmlns:a16="http://schemas.microsoft.com/office/drawing/2014/main" id="{01755FE6-9BAA-4E6E-BA30-5C28CC685F85}"/>
            </a:ext>
          </a:extLst>
        </xdr:cNvPr>
        <xdr:cNvSpPr/>
      </xdr:nvSpPr>
      <xdr:spPr>
        <a:xfrm>
          <a:off x="85657837" y="58420"/>
          <a:ext cx="106730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80</xdr:col>
      <xdr:colOff>365188</xdr:colOff>
      <xdr:row>1</xdr:row>
      <xdr:rowOff>59690</xdr:rowOff>
    </xdr:from>
    <xdr:to>
      <xdr:col>81</xdr:col>
      <xdr:colOff>249581</xdr:colOff>
      <xdr:row>1</xdr:row>
      <xdr:rowOff>553466</xdr:rowOff>
    </xdr:to>
    <xdr:sp macro="" textlink="">
      <xdr:nvSpPr>
        <xdr:cNvPr id="443" name="B ALL DATA PAGE">
          <a:hlinkClick xmlns:r="http://schemas.openxmlformats.org/officeDocument/2006/relationships" r:id="rId7" tooltip="Back to All Data Page"/>
          <a:extLst>
            <a:ext uri="{FF2B5EF4-FFF2-40B4-BE49-F238E27FC236}">
              <a16:creationId xmlns:a16="http://schemas.microsoft.com/office/drawing/2014/main" id="{52D66A9D-5012-4DF3-AD94-0F7D3689934C}"/>
            </a:ext>
          </a:extLst>
        </xdr:cNvPr>
        <xdr:cNvSpPr/>
      </xdr:nvSpPr>
      <xdr:spPr>
        <a:xfrm>
          <a:off x="98275838" y="58420"/>
          <a:ext cx="1088353" cy="50012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79</xdr:col>
      <xdr:colOff>442614</xdr:colOff>
      <xdr:row>1</xdr:row>
      <xdr:rowOff>59690</xdr:rowOff>
    </xdr:from>
    <xdr:to>
      <xdr:col>80</xdr:col>
      <xdr:colOff>286489</xdr:colOff>
      <xdr:row>1</xdr:row>
      <xdr:rowOff>553466</xdr:rowOff>
    </xdr:to>
    <xdr:sp macro="" textlink="">
      <xdr:nvSpPr>
        <xdr:cNvPr id="444" name="B TERMS PAGE">
          <a:hlinkClick xmlns:r="http://schemas.openxmlformats.org/officeDocument/2006/relationships" r:id="rId8" tooltip="Back to Appendix &amp; Terms Page"/>
          <a:extLst>
            <a:ext uri="{FF2B5EF4-FFF2-40B4-BE49-F238E27FC236}">
              <a16:creationId xmlns:a16="http://schemas.microsoft.com/office/drawing/2014/main" id="{A5CE6A6F-8C1C-476C-B8EA-F096437FB430}"/>
            </a:ext>
          </a:extLst>
        </xdr:cNvPr>
        <xdr:cNvSpPr/>
      </xdr:nvSpPr>
      <xdr:spPr>
        <a:xfrm>
          <a:off x="97142954" y="58420"/>
          <a:ext cx="1055455"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78</xdr:col>
      <xdr:colOff>518655</xdr:colOff>
      <xdr:row>1</xdr:row>
      <xdr:rowOff>59690</xdr:rowOff>
    </xdr:from>
    <xdr:to>
      <xdr:col>79</xdr:col>
      <xdr:colOff>366037</xdr:colOff>
      <xdr:row>1</xdr:row>
      <xdr:rowOff>553466</xdr:rowOff>
    </xdr:to>
    <xdr:sp macro="" textlink="">
      <xdr:nvSpPr>
        <xdr:cNvPr id="445" name="B PROV DET PAGE">
          <a:hlinkClick xmlns:r="http://schemas.openxmlformats.org/officeDocument/2006/relationships" r:id="rId9" tooltip="Back to Provider Page"/>
          <a:extLst>
            <a:ext uri="{FF2B5EF4-FFF2-40B4-BE49-F238E27FC236}">
              <a16:creationId xmlns:a16="http://schemas.microsoft.com/office/drawing/2014/main" id="{89722403-593E-4BD9-85A4-C2AD254EDB81}"/>
            </a:ext>
          </a:extLst>
        </xdr:cNvPr>
        <xdr:cNvSpPr/>
      </xdr:nvSpPr>
      <xdr:spPr>
        <a:xfrm>
          <a:off x="95999795" y="58420"/>
          <a:ext cx="106404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74</xdr:col>
      <xdr:colOff>746677</xdr:colOff>
      <xdr:row>1</xdr:row>
      <xdr:rowOff>59690</xdr:rowOff>
    </xdr:from>
    <xdr:to>
      <xdr:col>75</xdr:col>
      <xdr:colOff>592245</xdr:colOff>
      <xdr:row>1</xdr:row>
      <xdr:rowOff>553466</xdr:rowOff>
    </xdr:to>
    <xdr:sp macro="" textlink="">
      <xdr:nvSpPr>
        <xdr:cNvPr id="446" name="B IHSS PROG PAGE">
          <a:hlinkClick xmlns:r="http://schemas.openxmlformats.org/officeDocument/2006/relationships" r:id="rId10" tooltip="Back to Program Equity Page"/>
          <a:extLst>
            <a:ext uri="{FF2B5EF4-FFF2-40B4-BE49-F238E27FC236}">
              <a16:creationId xmlns:a16="http://schemas.microsoft.com/office/drawing/2014/main" id="{37E3648B-48FB-429C-98EA-F78EE2C8283F}"/>
            </a:ext>
          </a:extLst>
        </xdr:cNvPr>
        <xdr:cNvSpPr/>
      </xdr:nvSpPr>
      <xdr:spPr>
        <a:xfrm>
          <a:off x="91399277" y="58420"/>
          <a:ext cx="106095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77</xdr:col>
      <xdr:colOff>558833</xdr:colOff>
      <xdr:row>1</xdr:row>
      <xdr:rowOff>59690</xdr:rowOff>
    </xdr:from>
    <xdr:to>
      <xdr:col>78</xdr:col>
      <xdr:colOff>441775</xdr:colOff>
      <xdr:row>1</xdr:row>
      <xdr:rowOff>553466</xdr:rowOff>
    </xdr:to>
    <xdr:sp macro="" textlink="">
      <xdr:nvSpPr>
        <xdr:cNvPr id="447" name="B ETHNICITY PAGE">
          <a:hlinkClick xmlns:r="http://schemas.openxmlformats.org/officeDocument/2006/relationships" r:id="rId11" tooltip="Back to Ethnicity &amp; Language Page"/>
          <a:extLst>
            <a:ext uri="{FF2B5EF4-FFF2-40B4-BE49-F238E27FC236}">
              <a16:creationId xmlns:a16="http://schemas.microsoft.com/office/drawing/2014/main" id="{7C66BF6D-CC20-4AC6-8A83-5ED3B472560D}"/>
            </a:ext>
          </a:extLst>
        </xdr:cNvPr>
        <xdr:cNvSpPr/>
      </xdr:nvSpPr>
      <xdr:spPr>
        <a:xfrm>
          <a:off x="94827123" y="58420"/>
          <a:ext cx="1080552"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72</xdr:col>
      <xdr:colOff>861323</xdr:colOff>
      <xdr:row>1</xdr:row>
      <xdr:rowOff>59690</xdr:rowOff>
    </xdr:from>
    <xdr:to>
      <xdr:col>73</xdr:col>
      <xdr:colOff>748800</xdr:colOff>
      <xdr:row>1</xdr:row>
      <xdr:rowOff>553466</xdr:rowOff>
    </xdr:to>
    <xdr:sp macro="" textlink="">
      <xdr:nvSpPr>
        <xdr:cNvPr id="448" name="B GEN DATA PAGE">
          <a:hlinkClick xmlns:r="http://schemas.openxmlformats.org/officeDocument/2006/relationships" r:id="rId12" tooltip="IHSS Applicants Page (Current)"/>
          <a:extLst>
            <a:ext uri="{FF2B5EF4-FFF2-40B4-BE49-F238E27FC236}">
              <a16:creationId xmlns:a16="http://schemas.microsoft.com/office/drawing/2014/main" id="{AA401389-D9B7-49B3-B10E-96EC8225FA86}"/>
            </a:ext>
          </a:extLst>
        </xdr:cNvPr>
        <xdr:cNvSpPr/>
      </xdr:nvSpPr>
      <xdr:spPr>
        <a:xfrm>
          <a:off x="89100923" y="58420"/>
          <a:ext cx="1077467"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75</xdr:col>
      <xdr:colOff>670939</xdr:colOff>
      <xdr:row>1</xdr:row>
      <xdr:rowOff>59690</xdr:rowOff>
    </xdr:from>
    <xdr:to>
      <xdr:col>76</xdr:col>
      <xdr:colOff>555877</xdr:colOff>
      <xdr:row>1</xdr:row>
      <xdr:rowOff>553466</xdr:rowOff>
    </xdr:to>
    <xdr:sp macro="" textlink="">
      <xdr:nvSpPr>
        <xdr:cNvPr id="449" name="B IHSS SERV PAGE">
          <a:hlinkClick xmlns:r="http://schemas.openxmlformats.org/officeDocument/2006/relationships" r:id="rId13" tooltip="IHSS Services Page (Current)"/>
          <a:extLst>
            <a:ext uri="{FF2B5EF4-FFF2-40B4-BE49-F238E27FC236}">
              <a16:creationId xmlns:a16="http://schemas.microsoft.com/office/drawing/2014/main" id="{DF6A6126-9346-4771-BAE8-BAAA2E981D5B}"/>
            </a:ext>
          </a:extLst>
        </xdr:cNvPr>
        <xdr:cNvSpPr/>
      </xdr:nvSpPr>
      <xdr:spPr>
        <a:xfrm>
          <a:off x="92530039" y="58420"/>
          <a:ext cx="1091438" cy="49377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89</xdr:col>
      <xdr:colOff>822259</xdr:colOff>
      <xdr:row>1</xdr:row>
      <xdr:rowOff>59690</xdr:rowOff>
    </xdr:from>
    <xdr:to>
      <xdr:col>90</xdr:col>
      <xdr:colOff>670367</xdr:colOff>
      <xdr:row>1</xdr:row>
      <xdr:rowOff>553466</xdr:rowOff>
    </xdr:to>
    <xdr:sp macro="" textlink="">
      <xdr:nvSpPr>
        <xdr:cNvPr id="486" name="B AGE PAGE">
          <a:hlinkClick xmlns:r="http://schemas.openxmlformats.org/officeDocument/2006/relationships" r:id="rId2" tooltip="Age &amp; Gender Page (Current)"/>
          <a:extLst>
            <a:ext uri="{FF2B5EF4-FFF2-40B4-BE49-F238E27FC236}">
              <a16:creationId xmlns:a16="http://schemas.microsoft.com/office/drawing/2014/main" id="{3EE8C9B1-AB83-4AC5-8C79-3DFBB7AD5278}"/>
            </a:ext>
          </a:extLst>
        </xdr:cNvPr>
        <xdr:cNvSpPr/>
      </xdr:nvSpPr>
      <xdr:spPr>
        <a:xfrm>
          <a:off x="109577439"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83</xdr:col>
      <xdr:colOff>1165774</xdr:colOff>
      <xdr:row>1</xdr:row>
      <xdr:rowOff>59690</xdr:rowOff>
    </xdr:from>
    <xdr:to>
      <xdr:col>84</xdr:col>
      <xdr:colOff>1053675</xdr:colOff>
      <xdr:row>1</xdr:row>
      <xdr:rowOff>553466</xdr:rowOff>
    </xdr:to>
    <xdr:sp macro="" textlink="">
      <xdr:nvSpPr>
        <xdr:cNvPr id="487" name="B HOME PAGE">
          <a:hlinkClick xmlns:r="http://schemas.openxmlformats.org/officeDocument/2006/relationships" r:id="rId3" tooltip="Back to Dashboard Page"/>
          <a:extLst>
            <a:ext uri="{FF2B5EF4-FFF2-40B4-BE49-F238E27FC236}">
              <a16:creationId xmlns:a16="http://schemas.microsoft.com/office/drawing/2014/main" id="{E6F0FDEB-E969-4EBC-9BE9-E53EA0772CE0}"/>
            </a:ext>
          </a:extLst>
        </xdr:cNvPr>
        <xdr:cNvSpPr/>
      </xdr:nvSpPr>
      <xdr:spPr>
        <a:xfrm>
          <a:off x="102681107"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84</xdr:col>
      <xdr:colOff>1087919</xdr:colOff>
      <xdr:row>1</xdr:row>
      <xdr:rowOff>59690</xdr:rowOff>
    </xdr:from>
    <xdr:to>
      <xdr:col>85</xdr:col>
      <xdr:colOff>977937</xdr:colOff>
      <xdr:row>1</xdr:row>
      <xdr:rowOff>553466</xdr:rowOff>
    </xdr:to>
    <xdr:sp macro="" textlink="">
      <xdr:nvSpPr>
        <xdr:cNvPr id="488" name="B GEN DATA PAGE">
          <a:hlinkClick xmlns:r="http://schemas.openxmlformats.org/officeDocument/2006/relationships" r:id="rId4" tooltip="Back to General Data Page"/>
          <a:extLst>
            <a:ext uri="{FF2B5EF4-FFF2-40B4-BE49-F238E27FC236}">
              <a16:creationId xmlns:a16="http://schemas.microsoft.com/office/drawing/2014/main" id="{C98D61E0-0567-4F3D-AEF3-61A6E03D6D52}"/>
            </a:ext>
          </a:extLst>
        </xdr:cNvPr>
        <xdr:cNvSpPr/>
      </xdr:nvSpPr>
      <xdr:spPr>
        <a:xfrm>
          <a:off x="103822029"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86</xdr:col>
      <xdr:colOff>978352</xdr:colOff>
      <xdr:row>1</xdr:row>
      <xdr:rowOff>59690</xdr:rowOff>
    </xdr:from>
    <xdr:to>
      <xdr:col>87</xdr:col>
      <xdr:colOff>863291</xdr:colOff>
      <xdr:row>1</xdr:row>
      <xdr:rowOff>553466</xdr:rowOff>
    </xdr:to>
    <xdr:sp macro="" textlink="">
      <xdr:nvSpPr>
        <xdr:cNvPr id="489" name="B ABD PAGE">
          <a:hlinkClick xmlns:r="http://schemas.openxmlformats.org/officeDocument/2006/relationships" r:id="rId5" tooltip="Aged, Blind, or Disabled Page (Current)"/>
          <a:extLst>
            <a:ext uri="{FF2B5EF4-FFF2-40B4-BE49-F238E27FC236}">
              <a16:creationId xmlns:a16="http://schemas.microsoft.com/office/drawing/2014/main" id="{9899F8FB-B2CE-4210-8E71-94AC9D0AC1DB}"/>
            </a:ext>
          </a:extLst>
        </xdr:cNvPr>
        <xdr:cNvSpPr/>
      </xdr:nvSpPr>
      <xdr:spPr>
        <a:xfrm>
          <a:off x="106105142"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83</xdr:col>
      <xdr:colOff>25275</xdr:colOff>
      <xdr:row>1</xdr:row>
      <xdr:rowOff>59690</xdr:rowOff>
    </xdr:from>
    <xdr:to>
      <xdr:col>83</xdr:col>
      <xdr:colOff>1087503</xdr:colOff>
      <xdr:row>1</xdr:row>
      <xdr:rowOff>553466</xdr:rowOff>
    </xdr:to>
    <xdr:sp macro="" textlink="">
      <xdr:nvSpPr>
        <xdr:cNvPr id="490" name="B GEN DATA PAGE">
          <a:hlinkClick xmlns:r="http://schemas.openxmlformats.org/officeDocument/2006/relationships" r:id="rId6" tooltip="Back to Navigation Page"/>
          <a:extLst>
            <a:ext uri="{FF2B5EF4-FFF2-40B4-BE49-F238E27FC236}">
              <a16:creationId xmlns:a16="http://schemas.microsoft.com/office/drawing/2014/main" id="{BF383F73-268A-4F4C-9D08-5F57A6F0E09F}"/>
            </a:ext>
          </a:extLst>
        </xdr:cNvPr>
        <xdr:cNvSpPr/>
      </xdr:nvSpPr>
      <xdr:spPr>
        <a:xfrm>
          <a:off x="101535105"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93</xdr:col>
      <xdr:colOff>570656</xdr:colOff>
      <xdr:row>1</xdr:row>
      <xdr:rowOff>59690</xdr:rowOff>
    </xdr:from>
    <xdr:to>
      <xdr:col>94</xdr:col>
      <xdr:colOff>443619</xdr:colOff>
      <xdr:row>1</xdr:row>
      <xdr:rowOff>557276</xdr:rowOff>
    </xdr:to>
    <xdr:sp macro="" textlink="">
      <xdr:nvSpPr>
        <xdr:cNvPr id="491" name="B ALL DATA PAGE">
          <a:hlinkClick xmlns:r="http://schemas.openxmlformats.org/officeDocument/2006/relationships" r:id="rId7" tooltip="Back to All Data Page"/>
          <a:extLst>
            <a:ext uri="{FF2B5EF4-FFF2-40B4-BE49-F238E27FC236}">
              <a16:creationId xmlns:a16="http://schemas.microsoft.com/office/drawing/2014/main" id="{AE3F0803-DF20-46C2-BBCA-C83582045D3E}"/>
            </a:ext>
          </a:extLst>
        </xdr:cNvPr>
        <xdr:cNvSpPr/>
      </xdr:nvSpPr>
      <xdr:spPr>
        <a:xfrm>
          <a:off x="114153106"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92</xdr:col>
      <xdr:colOff>630302</xdr:colOff>
      <xdr:row>1</xdr:row>
      <xdr:rowOff>59690</xdr:rowOff>
    </xdr:from>
    <xdr:to>
      <xdr:col>93</xdr:col>
      <xdr:colOff>480527</xdr:colOff>
      <xdr:row>1</xdr:row>
      <xdr:rowOff>553466</xdr:rowOff>
    </xdr:to>
    <xdr:sp macro="" textlink="">
      <xdr:nvSpPr>
        <xdr:cNvPr id="492" name="B TERMS PAGE">
          <a:hlinkClick xmlns:r="http://schemas.openxmlformats.org/officeDocument/2006/relationships" r:id="rId8" tooltip="Back to Appendix &amp; Terms Page"/>
          <a:extLst>
            <a:ext uri="{FF2B5EF4-FFF2-40B4-BE49-F238E27FC236}">
              <a16:creationId xmlns:a16="http://schemas.microsoft.com/office/drawing/2014/main" id="{B8269787-F238-4CE5-943F-B9C22518467B}"/>
            </a:ext>
          </a:extLst>
        </xdr:cNvPr>
        <xdr:cNvSpPr/>
      </xdr:nvSpPr>
      <xdr:spPr>
        <a:xfrm>
          <a:off x="113020222"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91</xdr:col>
      <xdr:colOff>711423</xdr:colOff>
      <xdr:row>1</xdr:row>
      <xdr:rowOff>59690</xdr:rowOff>
    </xdr:from>
    <xdr:to>
      <xdr:col>92</xdr:col>
      <xdr:colOff>554995</xdr:colOff>
      <xdr:row>1</xdr:row>
      <xdr:rowOff>553466</xdr:rowOff>
    </xdr:to>
    <xdr:sp macro="" textlink="">
      <xdr:nvSpPr>
        <xdr:cNvPr id="493" name="B PROV DET PAGE">
          <a:hlinkClick xmlns:r="http://schemas.openxmlformats.org/officeDocument/2006/relationships" r:id="rId9" tooltip="Back to Provider Page"/>
          <a:extLst>
            <a:ext uri="{FF2B5EF4-FFF2-40B4-BE49-F238E27FC236}">
              <a16:creationId xmlns:a16="http://schemas.microsoft.com/office/drawing/2014/main" id="{EFA37EC0-FD0E-4D00-90FA-43E550F0A938}"/>
            </a:ext>
          </a:extLst>
        </xdr:cNvPr>
        <xdr:cNvSpPr/>
      </xdr:nvSpPr>
      <xdr:spPr>
        <a:xfrm>
          <a:off x="111877063"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87</xdr:col>
      <xdr:colOff>936905</xdr:colOff>
      <xdr:row>1</xdr:row>
      <xdr:rowOff>59690</xdr:rowOff>
    </xdr:from>
    <xdr:to>
      <xdr:col>88</xdr:col>
      <xdr:colOff>785013</xdr:colOff>
      <xdr:row>1</xdr:row>
      <xdr:rowOff>553466</xdr:rowOff>
    </xdr:to>
    <xdr:sp macro="" textlink="">
      <xdr:nvSpPr>
        <xdr:cNvPr id="494" name="B IHSS PROG PAGE">
          <a:hlinkClick xmlns:r="http://schemas.openxmlformats.org/officeDocument/2006/relationships" r:id="rId10" tooltip="Back to Program Equity Page"/>
          <a:extLst>
            <a:ext uri="{FF2B5EF4-FFF2-40B4-BE49-F238E27FC236}">
              <a16:creationId xmlns:a16="http://schemas.microsoft.com/office/drawing/2014/main" id="{3D4A3625-E3EA-4A8F-A0D1-087FD5B7B2F5}"/>
            </a:ext>
          </a:extLst>
        </xdr:cNvPr>
        <xdr:cNvSpPr/>
      </xdr:nvSpPr>
      <xdr:spPr>
        <a:xfrm>
          <a:off x="107276545"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90</xdr:col>
      <xdr:colOff>749061</xdr:colOff>
      <xdr:row>1</xdr:row>
      <xdr:rowOff>59690</xdr:rowOff>
    </xdr:from>
    <xdr:to>
      <xdr:col>91</xdr:col>
      <xdr:colOff>632003</xdr:colOff>
      <xdr:row>1</xdr:row>
      <xdr:rowOff>553466</xdr:rowOff>
    </xdr:to>
    <xdr:sp macro="" textlink="">
      <xdr:nvSpPr>
        <xdr:cNvPr id="495" name="B ETHNICITY PAGE">
          <a:hlinkClick xmlns:r="http://schemas.openxmlformats.org/officeDocument/2006/relationships" r:id="rId11" tooltip="Back to Ethnicity &amp; Language Page"/>
          <a:extLst>
            <a:ext uri="{FF2B5EF4-FFF2-40B4-BE49-F238E27FC236}">
              <a16:creationId xmlns:a16="http://schemas.microsoft.com/office/drawing/2014/main" id="{2E7E6115-B133-4F96-9F78-50A2C933427F}"/>
            </a:ext>
          </a:extLst>
        </xdr:cNvPr>
        <xdr:cNvSpPr/>
      </xdr:nvSpPr>
      <xdr:spPr>
        <a:xfrm>
          <a:off x="110704391"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85</xdr:col>
      <xdr:colOff>1051551</xdr:colOff>
      <xdr:row>1</xdr:row>
      <xdr:rowOff>59690</xdr:rowOff>
    </xdr:from>
    <xdr:to>
      <xdr:col>86</xdr:col>
      <xdr:colOff>937758</xdr:colOff>
      <xdr:row>1</xdr:row>
      <xdr:rowOff>553466</xdr:rowOff>
    </xdr:to>
    <xdr:sp macro="" textlink="">
      <xdr:nvSpPr>
        <xdr:cNvPr id="496" name="B GEN DATA PAGE">
          <a:hlinkClick xmlns:r="http://schemas.openxmlformats.org/officeDocument/2006/relationships" r:id="rId12" tooltip="IHSS Applicants Page (Current)"/>
          <a:extLst>
            <a:ext uri="{FF2B5EF4-FFF2-40B4-BE49-F238E27FC236}">
              <a16:creationId xmlns:a16="http://schemas.microsoft.com/office/drawing/2014/main" id="{795F75E4-3694-436C-A6F2-066FFF381618}"/>
            </a:ext>
          </a:extLst>
        </xdr:cNvPr>
        <xdr:cNvSpPr/>
      </xdr:nvSpPr>
      <xdr:spPr>
        <a:xfrm>
          <a:off x="104978191"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88</xdr:col>
      <xdr:colOff>861167</xdr:colOff>
      <xdr:row>1</xdr:row>
      <xdr:rowOff>59690</xdr:rowOff>
    </xdr:from>
    <xdr:to>
      <xdr:col>89</xdr:col>
      <xdr:colOff>744835</xdr:colOff>
      <xdr:row>1</xdr:row>
      <xdr:rowOff>553466</xdr:rowOff>
    </xdr:to>
    <xdr:sp macro="" textlink="">
      <xdr:nvSpPr>
        <xdr:cNvPr id="497" name="B IHSS SERV PAGE">
          <a:hlinkClick xmlns:r="http://schemas.openxmlformats.org/officeDocument/2006/relationships" r:id="rId13" tooltip="IHSS Services Page (Current)"/>
          <a:extLst>
            <a:ext uri="{FF2B5EF4-FFF2-40B4-BE49-F238E27FC236}">
              <a16:creationId xmlns:a16="http://schemas.microsoft.com/office/drawing/2014/main" id="{03C9B1C9-998A-4AA4-9498-B9EDB77593FD}"/>
            </a:ext>
          </a:extLst>
        </xdr:cNvPr>
        <xdr:cNvSpPr/>
      </xdr:nvSpPr>
      <xdr:spPr>
        <a:xfrm>
          <a:off x="108407307"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103</xdr:col>
      <xdr:colOff>896826</xdr:colOff>
      <xdr:row>1</xdr:row>
      <xdr:rowOff>59690</xdr:rowOff>
    </xdr:from>
    <xdr:to>
      <xdr:col>104</xdr:col>
      <xdr:colOff>747474</xdr:colOff>
      <xdr:row>1</xdr:row>
      <xdr:rowOff>553466</xdr:rowOff>
    </xdr:to>
    <xdr:sp macro="" textlink="">
      <xdr:nvSpPr>
        <xdr:cNvPr id="498" name="B AGE PAGE">
          <a:hlinkClick xmlns:r="http://schemas.openxmlformats.org/officeDocument/2006/relationships" r:id="rId2" tooltip="Age &amp; Gender Page (Current)"/>
          <a:extLst>
            <a:ext uri="{FF2B5EF4-FFF2-40B4-BE49-F238E27FC236}">
              <a16:creationId xmlns:a16="http://schemas.microsoft.com/office/drawing/2014/main" id="{855D0B31-C5C1-4F3B-AA6B-90B7CF8F1544}"/>
            </a:ext>
          </a:extLst>
        </xdr:cNvPr>
        <xdr:cNvSpPr/>
      </xdr:nvSpPr>
      <xdr:spPr>
        <a:xfrm>
          <a:off x="126558246"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98</xdr:col>
      <xdr:colOff>63474</xdr:colOff>
      <xdr:row>1</xdr:row>
      <xdr:rowOff>59690</xdr:rowOff>
    </xdr:from>
    <xdr:to>
      <xdr:col>98</xdr:col>
      <xdr:colOff>1126972</xdr:colOff>
      <xdr:row>1</xdr:row>
      <xdr:rowOff>553466</xdr:rowOff>
    </xdr:to>
    <xdr:sp macro="" textlink="">
      <xdr:nvSpPr>
        <xdr:cNvPr id="499" name="B HOME PAGE">
          <a:hlinkClick xmlns:r="http://schemas.openxmlformats.org/officeDocument/2006/relationships" r:id="rId3" tooltip="Back to Dashboard Page"/>
          <a:extLst>
            <a:ext uri="{FF2B5EF4-FFF2-40B4-BE49-F238E27FC236}">
              <a16:creationId xmlns:a16="http://schemas.microsoft.com/office/drawing/2014/main" id="{26D90D46-60D7-4CFD-9F0C-5959C4E933FB}"/>
            </a:ext>
          </a:extLst>
        </xdr:cNvPr>
        <xdr:cNvSpPr/>
      </xdr:nvSpPr>
      <xdr:spPr>
        <a:xfrm>
          <a:off x="119661914"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98</xdr:col>
      <xdr:colOff>1163333</xdr:colOff>
      <xdr:row>1</xdr:row>
      <xdr:rowOff>59690</xdr:rowOff>
    </xdr:from>
    <xdr:to>
      <xdr:col>99</xdr:col>
      <xdr:colOff>1049964</xdr:colOff>
      <xdr:row>1</xdr:row>
      <xdr:rowOff>553466</xdr:rowOff>
    </xdr:to>
    <xdr:sp macro="" textlink="">
      <xdr:nvSpPr>
        <xdr:cNvPr id="500" name="B GEN DATA PAGE">
          <a:hlinkClick xmlns:r="http://schemas.openxmlformats.org/officeDocument/2006/relationships" r:id="rId4" tooltip="Back to General Data Page"/>
          <a:extLst>
            <a:ext uri="{FF2B5EF4-FFF2-40B4-BE49-F238E27FC236}">
              <a16:creationId xmlns:a16="http://schemas.microsoft.com/office/drawing/2014/main" id="{BDAD192E-9382-4E7F-90EE-BC4B9D35A6B6}"/>
            </a:ext>
          </a:extLst>
        </xdr:cNvPr>
        <xdr:cNvSpPr/>
      </xdr:nvSpPr>
      <xdr:spPr>
        <a:xfrm>
          <a:off x="120802836"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100</xdr:col>
      <xdr:colOff>1051649</xdr:colOff>
      <xdr:row>1</xdr:row>
      <xdr:rowOff>59690</xdr:rowOff>
    </xdr:from>
    <xdr:to>
      <xdr:col>101</xdr:col>
      <xdr:colOff>935318</xdr:colOff>
      <xdr:row>1</xdr:row>
      <xdr:rowOff>553466</xdr:rowOff>
    </xdr:to>
    <xdr:sp macro="" textlink="">
      <xdr:nvSpPr>
        <xdr:cNvPr id="501" name="B ABD PAGE">
          <a:hlinkClick xmlns:r="http://schemas.openxmlformats.org/officeDocument/2006/relationships" r:id="rId5" tooltip="Aged, Blind, or Disabled Page (Current)"/>
          <a:extLst>
            <a:ext uri="{FF2B5EF4-FFF2-40B4-BE49-F238E27FC236}">
              <a16:creationId xmlns:a16="http://schemas.microsoft.com/office/drawing/2014/main" id="{C63B35CD-A8EF-46AE-B91E-E43D89994726}"/>
            </a:ext>
          </a:extLst>
        </xdr:cNvPr>
        <xdr:cNvSpPr/>
      </xdr:nvSpPr>
      <xdr:spPr>
        <a:xfrm>
          <a:off x="123085949"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97</xdr:col>
      <xdr:colOff>98572</xdr:colOff>
      <xdr:row>1</xdr:row>
      <xdr:rowOff>59690</xdr:rowOff>
    </xdr:from>
    <xdr:to>
      <xdr:col>97</xdr:col>
      <xdr:colOff>1164187</xdr:colOff>
      <xdr:row>1</xdr:row>
      <xdr:rowOff>553466</xdr:rowOff>
    </xdr:to>
    <xdr:sp macro="" textlink="">
      <xdr:nvSpPr>
        <xdr:cNvPr id="502" name="B GEN DATA PAGE">
          <a:hlinkClick xmlns:r="http://schemas.openxmlformats.org/officeDocument/2006/relationships" r:id="rId6" tooltip="Back to Navigation Page"/>
          <a:extLst>
            <a:ext uri="{FF2B5EF4-FFF2-40B4-BE49-F238E27FC236}">
              <a16:creationId xmlns:a16="http://schemas.microsoft.com/office/drawing/2014/main" id="{BACDC9B0-FC5E-4564-B62D-F7B3CF219708}"/>
            </a:ext>
          </a:extLst>
        </xdr:cNvPr>
        <xdr:cNvSpPr/>
      </xdr:nvSpPr>
      <xdr:spPr>
        <a:xfrm>
          <a:off x="118515912"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107</xdr:col>
      <xdr:colOff>670623</xdr:colOff>
      <xdr:row>1</xdr:row>
      <xdr:rowOff>59690</xdr:rowOff>
    </xdr:from>
    <xdr:to>
      <xdr:col>108</xdr:col>
      <xdr:colOff>555016</xdr:colOff>
      <xdr:row>1</xdr:row>
      <xdr:rowOff>557276</xdr:rowOff>
    </xdr:to>
    <xdr:sp macro="" textlink="">
      <xdr:nvSpPr>
        <xdr:cNvPr id="503" name="B ALL DATA PAGE">
          <a:hlinkClick xmlns:r="http://schemas.openxmlformats.org/officeDocument/2006/relationships" r:id="rId7" tooltip="Back to All Data Page"/>
          <a:extLst>
            <a:ext uri="{FF2B5EF4-FFF2-40B4-BE49-F238E27FC236}">
              <a16:creationId xmlns:a16="http://schemas.microsoft.com/office/drawing/2014/main" id="{E3FAA2AE-0138-4134-AD3D-23463F07833F}"/>
            </a:ext>
          </a:extLst>
        </xdr:cNvPr>
        <xdr:cNvSpPr/>
      </xdr:nvSpPr>
      <xdr:spPr>
        <a:xfrm>
          <a:off x="131133913"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106</xdr:col>
      <xdr:colOff>746779</xdr:colOff>
      <xdr:row>1</xdr:row>
      <xdr:rowOff>59690</xdr:rowOff>
    </xdr:from>
    <xdr:to>
      <xdr:col>107</xdr:col>
      <xdr:colOff>597004</xdr:colOff>
      <xdr:row>1</xdr:row>
      <xdr:rowOff>553466</xdr:rowOff>
    </xdr:to>
    <xdr:sp macro="" textlink="">
      <xdr:nvSpPr>
        <xdr:cNvPr id="504" name="B TERMS PAGE">
          <a:hlinkClick xmlns:r="http://schemas.openxmlformats.org/officeDocument/2006/relationships" r:id="rId8" tooltip="Back to Appendix &amp; Terms Page"/>
          <a:extLst>
            <a:ext uri="{FF2B5EF4-FFF2-40B4-BE49-F238E27FC236}">
              <a16:creationId xmlns:a16="http://schemas.microsoft.com/office/drawing/2014/main" id="{3FE9140E-A91A-4759-9E55-C1B7C55B2FDC}"/>
            </a:ext>
          </a:extLst>
        </xdr:cNvPr>
        <xdr:cNvSpPr/>
      </xdr:nvSpPr>
      <xdr:spPr>
        <a:xfrm>
          <a:off x="130001029"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105</xdr:col>
      <xdr:colOff>784720</xdr:colOff>
      <xdr:row>1</xdr:row>
      <xdr:rowOff>59690</xdr:rowOff>
    </xdr:from>
    <xdr:to>
      <xdr:col>106</xdr:col>
      <xdr:colOff>670202</xdr:colOff>
      <xdr:row>1</xdr:row>
      <xdr:rowOff>553466</xdr:rowOff>
    </xdr:to>
    <xdr:sp macro="" textlink="">
      <xdr:nvSpPr>
        <xdr:cNvPr id="505" name="B PROV DET PAGE">
          <a:hlinkClick xmlns:r="http://schemas.openxmlformats.org/officeDocument/2006/relationships" r:id="rId9" tooltip="Back to Provider Page"/>
          <a:extLst>
            <a:ext uri="{FF2B5EF4-FFF2-40B4-BE49-F238E27FC236}">
              <a16:creationId xmlns:a16="http://schemas.microsoft.com/office/drawing/2014/main" id="{8F6AB4DA-6886-4297-9078-B0EFD6926F63}"/>
            </a:ext>
          </a:extLst>
        </xdr:cNvPr>
        <xdr:cNvSpPr/>
      </xdr:nvSpPr>
      <xdr:spPr>
        <a:xfrm>
          <a:off x="128857870"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101</xdr:col>
      <xdr:colOff>1012742</xdr:colOff>
      <xdr:row>1</xdr:row>
      <xdr:rowOff>59690</xdr:rowOff>
    </xdr:from>
    <xdr:to>
      <xdr:col>102</xdr:col>
      <xdr:colOff>898950</xdr:colOff>
      <xdr:row>1</xdr:row>
      <xdr:rowOff>553466</xdr:rowOff>
    </xdr:to>
    <xdr:sp macro="" textlink="">
      <xdr:nvSpPr>
        <xdr:cNvPr id="506" name="B IHSS PROG PAGE">
          <a:hlinkClick xmlns:r="http://schemas.openxmlformats.org/officeDocument/2006/relationships" r:id="rId10" tooltip="Back to Program Equity Page"/>
          <a:extLst>
            <a:ext uri="{FF2B5EF4-FFF2-40B4-BE49-F238E27FC236}">
              <a16:creationId xmlns:a16="http://schemas.microsoft.com/office/drawing/2014/main" id="{C88E74BE-87E6-4E95-866D-97E86D831038}"/>
            </a:ext>
          </a:extLst>
        </xdr:cNvPr>
        <xdr:cNvSpPr/>
      </xdr:nvSpPr>
      <xdr:spPr>
        <a:xfrm>
          <a:off x="124257352"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104</xdr:col>
      <xdr:colOff>821088</xdr:colOff>
      <xdr:row>1</xdr:row>
      <xdr:rowOff>59690</xdr:rowOff>
    </xdr:from>
    <xdr:to>
      <xdr:col>105</xdr:col>
      <xdr:colOff>709110</xdr:colOff>
      <xdr:row>1</xdr:row>
      <xdr:rowOff>553466</xdr:rowOff>
    </xdr:to>
    <xdr:sp macro="" textlink="">
      <xdr:nvSpPr>
        <xdr:cNvPr id="507" name="B ETHNICITY PAGE">
          <a:hlinkClick xmlns:r="http://schemas.openxmlformats.org/officeDocument/2006/relationships" r:id="rId11" tooltip="Back to Ethnicity &amp; Language Page"/>
          <a:extLst>
            <a:ext uri="{FF2B5EF4-FFF2-40B4-BE49-F238E27FC236}">
              <a16:creationId xmlns:a16="http://schemas.microsoft.com/office/drawing/2014/main" id="{8AA49E60-C24F-4561-8692-1D69F514DD75}"/>
            </a:ext>
          </a:extLst>
        </xdr:cNvPr>
        <xdr:cNvSpPr/>
      </xdr:nvSpPr>
      <xdr:spPr>
        <a:xfrm>
          <a:off x="127685198"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99</xdr:col>
      <xdr:colOff>1128658</xdr:colOff>
      <xdr:row>1</xdr:row>
      <xdr:rowOff>59690</xdr:rowOff>
    </xdr:from>
    <xdr:to>
      <xdr:col>100</xdr:col>
      <xdr:colOff>1016135</xdr:colOff>
      <xdr:row>1</xdr:row>
      <xdr:rowOff>553466</xdr:rowOff>
    </xdr:to>
    <xdr:sp macro="" textlink="">
      <xdr:nvSpPr>
        <xdr:cNvPr id="508" name="B GEN DATA PAGE">
          <a:hlinkClick xmlns:r="http://schemas.openxmlformats.org/officeDocument/2006/relationships" r:id="rId12" tooltip="IHSS Applicants Page (Current)"/>
          <a:extLst>
            <a:ext uri="{FF2B5EF4-FFF2-40B4-BE49-F238E27FC236}">
              <a16:creationId xmlns:a16="http://schemas.microsoft.com/office/drawing/2014/main" id="{22CB6FD7-505A-4796-BEB2-06124A2084A8}"/>
            </a:ext>
          </a:extLst>
        </xdr:cNvPr>
        <xdr:cNvSpPr/>
      </xdr:nvSpPr>
      <xdr:spPr>
        <a:xfrm>
          <a:off x="121958998"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102</xdr:col>
      <xdr:colOff>938274</xdr:colOff>
      <xdr:row>1</xdr:row>
      <xdr:rowOff>59690</xdr:rowOff>
    </xdr:from>
    <xdr:to>
      <xdr:col>103</xdr:col>
      <xdr:colOff>821942</xdr:colOff>
      <xdr:row>1</xdr:row>
      <xdr:rowOff>553466</xdr:rowOff>
    </xdr:to>
    <xdr:sp macro="" textlink="">
      <xdr:nvSpPr>
        <xdr:cNvPr id="509" name="B IHSS SERV PAGE">
          <a:hlinkClick xmlns:r="http://schemas.openxmlformats.org/officeDocument/2006/relationships" r:id="rId13" tooltip="IHSS Services Page (Current)"/>
          <a:extLst>
            <a:ext uri="{FF2B5EF4-FFF2-40B4-BE49-F238E27FC236}">
              <a16:creationId xmlns:a16="http://schemas.microsoft.com/office/drawing/2014/main" id="{F6598A6D-04E9-454E-A38D-064ABE51B7BF}"/>
            </a:ext>
          </a:extLst>
        </xdr:cNvPr>
        <xdr:cNvSpPr/>
      </xdr:nvSpPr>
      <xdr:spPr>
        <a:xfrm>
          <a:off x="125388114"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117</xdr:col>
      <xdr:colOff>517731</xdr:colOff>
      <xdr:row>1</xdr:row>
      <xdr:rowOff>59690</xdr:rowOff>
    </xdr:from>
    <xdr:to>
      <xdr:col>118</xdr:col>
      <xdr:colOff>365839</xdr:colOff>
      <xdr:row>1</xdr:row>
      <xdr:rowOff>553466</xdr:rowOff>
    </xdr:to>
    <xdr:sp macro="" textlink="">
      <xdr:nvSpPr>
        <xdr:cNvPr id="510" name="B AGE PAGE">
          <a:hlinkClick xmlns:r="http://schemas.openxmlformats.org/officeDocument/2006/relationships" r:id="rId2" tooltip="Age &amp; Gender Page (Current)"/>
          <a:extLst>
            <a:ext uri="{FF2B5EF4-FFF2-40B4-BE49-F238E27FC236}">
              <a16:creationId xmlns:a16="http://schemas.microsoft.com/office/drawing/2014/main" id="{95D3C80D-8A42-4AC2-B07C-CD4080C6F0DF}"/>
            </a:ext>
          </a:extLst>
        </xdr:cNvPr>
        <xdr:cNvSpPr/>
      </xdr:nvSpPr>
      <xdr:spPr>
        <a:xfrm>
          <a:off x="143046021"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111</xdr:col>
      <xdr:colOff>859129</xdr:colOff>
      <xdr:row>1</xdr:row>
      <xdr:rowOff>59690</xdr:rowOff>
    </xdr:from>
    <xdr:to>
      <xdr:col>112</xdr:col>
      <xdr:colOff>749147</xdr:colOff>
      <xdr:row>1</xdr:row>
      <xdr:rowOff>553466</xdr:rowOff>
    </xdr:to>
    <xdr:sp macro="" textlink="">
      <xdr:nvSpPr>
        <xdr:cNvPr id="511" name="B HOME PAGE">
          <a:hlinkClick xmlns:r="http://schemas.openxmlformats.org/officeDocument/2006/relationships" r:id="rId3" tooltip="Back to Dashboard Page"/>
          <a:extLst>
            <a:ext uri="{FF2B5EF4-FFF2-40B4-BE49-F238E27FC236}">
              <a16:creationId xmlns:a16="http://schemas.microsoft.com/office/drawing/2014/main" id="{D505FFAD-92F8-4213-B029-0A37EC6BE91B}"/>
            </a:ext>
          </a:extLst>
        </xdr:cNvPr>
        <xdr:cNvSpPr/>
      </xdr:nvSpPr>
      <xdr:spPr>
        <a:xfrm>
          <a:off x="136149689"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112</xdr:col>
      <xdr:colOff>787201</xdr:colOff>
      <xdr:row>1</xdr:row>
      <xdr:rowOff>59690</xdr:rowOff>
    </xdr:from>
    <xdr:to>
      <xdr:col>113</xdr:col>
      <xdr:colOff>669599</xdr:colOff>
      <xdr:row>1</xdr:row>
      <xdr:rowOff>553466</xdr:rowOff>
    </xdr:to>
    <xdr:sp macro="" textlink="">
      <xdr:nvSpPr>
        <xdr:cNvPr id="512" name="B GEN DATA PAGE">
          <a:hlinkClick xmlns:r="http://schemas.openxmlformats.org/officeDocument/2006/relationships" r:id="rId4" tooltip="Back to General Data Page"/>
          <a:extLst>
            <a:ext uri="{FF2B5EF4-FFF2-40B4-BE49-F238E27FC236}">
              <a16:creationId xmlns:a16="http://schemas.microsoft.com/office/drawing/2014/main" id="{EA63FB25-F85C-4B32-B6F1-CBBB2D7B46AF}"/>
            </a:ext>
          </a:extLst>
        </xdr:cNvPr>
        <xdr:cNvSpPr/>
      </xdr:nvSpPr>
      <xdr:spPr>
        <a:xfrm>
          <a:off x="137290611"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114</xdr:col>
      <xdr:colOff>670014</xdr:colOff>
      <xdr:row>1</xdr:row>
      <xdr:rowOff>59690</xdr:rowOff>
    </xdr:from>
    <xdr:to>
      <xdr:col>115</xdr:col>
      <xdr:colOff>556223</xdr:colOff>
      <xdr:row>1</xdr:row>
      <xdr:rowOff>553466</xdr:rowOff>
    </xdr:to>
    <xdr:sp macro="" textlink="">
      <xdr:nvSpPr>
        <xdr:cNvPr id="513" name="B ABD PAGE">
          <a:hlinkClick xmlns:r="http://schemas.openxmlformats.org/officeDocument/2006/relationships" r:id="rId5" tooltip="Aged, Blind, or Disabled Page (Current)"/>
          <a:extLst>
            <a:ext uri="{FF2B5EF4-FFF2-40B4-BE49-F238E27FC236}">
              <a16:creationId xmlns:a16="http://schemas.microsoft.com/office/drawing/2014/main" id="{D30B9F18-1C00-416C-AB9D-BEE4722AC1E7}"/>
            </a:ext>
          </a:extLst>
        </xdr:cNvPr>
        <xdr:cNvSpPr/>
      </xdr:nvSpPr>
      <xdr:spPr>
        <a:xfrm>
          <a:off x="139573724"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110</xdr:col>
      <xdr:colOff>896767</xdr:colOff>
      <xdr:row>1</xdr:row>
      <xdr:rowOff>59690</xdr:rowOff>
    </xdr:from>
    <xdr:to>
      <xdr:col>111</xdr:col>
      <xdr:colOff>784245</xdr:colOff>
      <xdr:row>1</xdr:row>
      <xdr:rowOff>553466</xdr:rowOff>
    </xdr:to>
    <xdr:sp macro="" textlink="">
      <xdr:nvSpPr>
        <xdr:cNvPr id="514" name="B GEN DATA PAGE">
          <a:hlinkClick xmlns:r="http://schemas.openxmlformats.org/officeDocument/2006/relationships" r:id="rId6" tooltip="Back to Navigation Page"/>
          <a:extLst>
            <a:ext uri="{FF2B5EF4-FFF2-40B4-BE49-F238E27FC236}">
              <a16:creationId xmlns:a16="http://schemas.microsoft.com/office/drawing/2014/main" id="{86220176-F1E6-4C20-A373-9A5001C8727B}"/>
            </a:ext>
          </a:extLst>
        </xdr:cNvPr>
        <xdr:cNvSpPr/>
      </xdr:nvSpPr>
      <xdr:spPr>
        <a:xfrm>
          <a:off x="135003687"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121</xdr:col>
      <xdr:colOff>250888</xdr:colOff>
      <xdr:row>1</xdr:row>
      <xdr:rowOff>59690</xdr:rowOff>
    </xdr:from>
    <xdr:to>
      <xdr:col>122</xdr:col>
      <xdr:colOff>135281</xdr:colOff>
      <xdr:row>1</xdr:row>
      <xdr:rowOff>557276</xdr:rowOff>
    </xdr:to>
    <xdr:sp macro="" textlink="">
      <xdr:nvSpPr>
        <xdr:cNvPr id="515" name="B ALL DATA PAGE">
          <a:hlinkClick xmlns:r="http://schemas.openxmlformats.org/officeDocument/2006/relationships" r:id="rId7" tooltip="Back to All Data Page"/>
          <a:extLst>
            <a:ext uri="{FF2B5EF4-FFF2-40B4-BE49-F238E27FC236}">
              <a16:creationId xmlns:a16="http://schemas.microsoft.com/office/drawing/2014/main" id="{6504B904-1748-4F28-A60F-F27222D41F56}"/>
            </a:ext>
          </a:extLst>
        </xdr:cNvPr>
        <xdr:cNvSpPr/>
      </xdr:nvSpPr>
      <xdr:spPr>
        <a:xfrm>
          <a:off x="147605813"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120</xdr:col>
      <xdr:colOff>327044</xdr:colOff>
      <xdr:row>1</xdr:row>
      <xdr:rowOff>59690</xdr:rowOff>
    </xdr:from>
    <xdr:to>
      <xdr:col>121</xdr:col>
      <xdr:colOff>172189</xdr:colOff>
      <xdr:row>1</xdr:row>
      <xdr:rowOff>553466</xdr:rowOff>
    </xdr:to>
    <xdr:sp macro="" textlink="">
      <xdr:nvSpPr>
        <xdr:cNvPr id="516" name="B TERMS PAGE">
          <a:hlinkClick xmlns:r="http://schemas.openxmlformats.org/officeDocument/2006/relationships" r:id="rId8" tooltip="Back to Appendix &amp; Terms Page"/>
          <a:extLst>
            <a:ext uri="{FF2B5EF4-FFF2-40B4-BE49-F238E27FC236}">
              <a16:creationId xmlns:a16="http://schemas.microsoft.com/office/drawing/2014/main" id="{95C20479-E9CB-44B7-A4E2-562100760DAA}"/>
            </a:ext>
          </a:extLst>
        </xdr:cNvPr>
        <xdr:cNvSpPr/>
      </xdr:nvSpPr>
      <xdr:spPr>
        <a:xfrm>
          <a:off x="146488804"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119</xdr:col>
      <xdr:colOff>404355</xdr:colOff>
      <xdr:row>1</xdr:row>
      <xdr:rowOff>59690</xdr:rowOff>
    </xdr:from>
    <xdr:to>
      <xdr:col>120</xdr:col>
      <xdr:colOff>249197</xdr:colOff>
      <xdr:row>1</xdr:row>
      <xdr:rowOff>553466</xdr:rowOff>
    </xdr:to>
    <xdr:sp macro="" textlink="">
      <xdr:nvSpPr>
        <xdr:cNvPr id="517" name="B PROV DET PAGE">
          <a:hlinkClick xmlns:r="http://schemas.openxmlformats.org/officeDocument/2006/relationships" r:id="rId9" tooltip="Back to Provider Page"/>
          <a:extLst>
            <a:ext uri="{FF2B5EF4-FFF2-40B4-BE49-F238E27FC236}">
              <a16:creationId xmlns:a16="http://schemas.microsoft.com/office/drawing/2014/main" id="{775BE064-9C83-465A-B974-BE511BBE7151}"/>
            </a:ext>
          </a:extLst>
        </xdr:cNvPr>
        <xdr:cNvSpPr/>
      </xdr:nvSpPr>
      <xdr:spPr>
        <a:xfrm>
          <a:off x="145345645"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115</xdr:col>
      <xdr:colOff>632377</xdr:colOff>
      <xdr:row>1</xdr:row>
      <xdr:rowOff>59690</xdr:rowOff>
    </xdr:from>
    <xdr:to>
      <xdr:col>116</xdr:col>
      <xdr:colOff>480485</xdr:colOff>
      <xdr:row>1</xdr:row>
      <xdr:rowOff>553466</xdr:rowOff>
    </xdr:to>
    <xdr:sp macro="" textlink="">
      <xdr:nvSpPr>
        <xdr:cNvPr id="518" name="B IHSS PROG PAGE">
          <a:hlinkClick xmlns:r="http://schemas.openxmlformats.org/officeDocument/2006/relationships" r:id="rId10" tooltip="Back to Program Equity Page"/>
          <a:extLst>
            <a:ext uri="{FF2B5EF4-FFF2-40B4-BE49-F238E27FC236}">
              <a16:creationId xmlns:a16="http://schemas.microsoft.com/office/drawing/2014/main" id="{CC3DC40A-4478-499C-A825-6BBAB2925F1F}"/>
            </a:ext>
          </a:extLst>
        </xdr:cNvPr>
        <xdr:cNvSpPr/>
      </xdr:nvSpPr>
      <xdr:spPr>
        <a:xfrm>
          <a:off x="140745127"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118</xdr:col>
      <xdr:colOff>440723</xdr:colOff>
      <xdr:row>1</xdr:row>
      <xdr:rowOff>59690</xdr:rowOff>
    </xdr:from>
    <xdr:to>
      <xdr:col>119</xdr:col>
      <xdr:colOff>289375</xdr:colOff>
      <xdr:row>1</xdr:row>
      <xdr:rowOff>553466</xdr:rowOff>
    </xdr:to>
    <xdr:sp macro="" textlink="">
      <xdr:nvSpPr>
        <xdr:cNvPr id="519" name="B ETHNICITY PAGE">
          <a:hlinkClick xmlns:r="http://schemas.openxmlformats.org/officeDocument/2006/relationships" r:id="rId11" tooltip="Back to Ethnicity &amp; Language Page"/>
          <a:extLst>
            <a:ext uri="{FF2B5EF4-FFF2-40B4-BE49-F238E27FC236}">
              <a16:creationId xmlns:a16="http://schemas.microsoft.com/office/drawing/2014/main" id="{28FE803A-9385-46E8-AC30-2389ACC4E5EB}"/>
            </a:ext>
          </a:extLst>
        </xdr:cNvPr>
        <xdr:cNvSpPr/>
      </xdr:nvSpPr>
      <xdr:spPr>
        <a:xfrm>
          <a:off x="144172973"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113</xdr:col>
      <xdr:colOff>747023</xdr:colOff>
      <xdr:row>1</xdr:row>
      <xdr:rowOff>59690</xdr:rowOff>
    </xdr:from>
    <xdr:to>
      <xdr:col>114</xdr:col>
      <xdr:colOff>591320</xdr:colOff>
      <xdr:row>1</xdr:row>
      <xdr:rowOff>553466</xdr:rowOff>
    </xdr:to>
    <xdr:sp macro="" textlink="">
      <xdr:nvSpPr>
        <xdr:cNvPr id="637" name="B GEN DATA PAGE">
          <a:hlinkClick xmlns:r="http://schemas.openxmlformats.org/officeDocument/2006/relationships" r:id="rId12" tooltip="IHSS Applicants Page (Current)"/>
          <a:extLst>
            <a:ext uri="{FF2B5EF4-FFF2-40B4-BE49-F238E27FC236}">
              <a16:creationId xmlns:a16="http://schemas.microsoft.com/office/drawing/2014/main" id="{F28847D6-6A32-4608-9662-A4E4D96B4DE7}"/>
            </a:ext>
          </a:extLst>
        </xdr:cNvPr>
        <xdr:cNvSpPr/>
      </xdr:nvSpPr>
      <xdr:spPr>
        <a:xfrm>
          <a:off x="138446773"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116</xdr:col>
      <xdr:colOff>556639</xdr:colOff>
      <xdr:row>1</xdr:row>
      <xdr:rowOff>59690</xdr:rowOff>
    </xdr:from>
    <xdr:to>
      <xdr:col>117</xdr:col>
      <xdr:colOff>441577</xdr:colOff>
      <xdr:row>1</xdr:row>
      <xdr:rowOff>553466</xdr:rowOff>
    </xdr:to>
    <xdr:sp macro="" textlink="">
      <xdr:nvSpPr>
        <xdr:cNvPr id="638" name="B IHSS SERV PAGE">
          <a:hlinkClick xmlns:r="http://schemas.openxmlformats.org/officeDocument/2006/relationships" r:id="rId13" tooltip="IHSS Services Page (Current)"/>
          <a:extLst>
            <a:ext uri="{FF2B5EF4-FFF2-40B4-BE49-F238E27FC236}">
              <a16:creationId xmlns:a16="http://schemas.microsoft.com/office/drawing/2014/main" id="{791C9315-9784-4C81-B8FC-6252A120F918}"/>
            </a:ext>
          </a:extLst>
        </xdr:cNvPr>
        <xdr:cNvSpPr/>
      </xdr:nvSpPr>
      <xdr:spPr>
        <a:xfrm>
          <a:off x="141875889"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130</xdr:col>
      <xdr:colOff>1091499</xdr:colOff>
      <xdr:row>1</xdr:row>
      <xdr:rowOff>59690</xdr:rowOff>
    </xdr:from>
    <xdr:to>
      <xdr:col>131</xdr:col>
      <xdr:colOff>935797</xdr:colOff>
      <xdr:row>1</xdr:row>
      <xdr:rowOff>553466</xdr:rowOff>
    </xdr:to>
    <xdr:sp macro="" textlink="">
      <xdr:nvSpPr>
        <xdr:cNvPr id="639" name="B AGE PAGE">
          <a:hlinkClick xmlns:r="http://schemas.openxmlformats.org/officeDocument/2006/relationships" r:id="rId2" tooltip="Age &amp; Gender Page (Current)"/>
          <a:extLst>
            <a:ext uri="{FF2B5EF4-FFF2-40B4-BE49-F238E27FC236}">
              <a16:creationId xmlns:a16="http://schemas.microsoft.com/office/drawing/2014/main" id="{8B3E9E36-AA73-4BFE-8399-AF09D70EDA82}"/>
            </a:ext>
          </a:extLst>
        </xdr:cNvPr>
        <xdr:cNvSpPr/>
      </xdr:nvSpPr>
      <xdr:spPr>
        <a:xfrm>
          <a:off x="159307464"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125</xdr:col>
      <xdr:colOff>251797</xdr:colOff>
      <xdr:row>1</xdr:row>
      <xdr:rowOff>59690</xdr:rowOff>
    </xdr:from>
    <xdr:to>
      <xdr:col>126</xdr:col>
      <xdr:colOff>116415</xdr:colOff>
      <xdr:row>1</xdr:row>
      <xdr:rowOff>553466</xdr:rowOff>
    </xdr:to>
    <xdr:sp macro="" textlink="">
      <xdr:nvSpPr>
        <xdr:cNvPr id="640" name="B HOME PAGE">
          <a:hlinkClick xmlns:r="http://schemas.openxmlformats.org/officeDocument/2006/relationships" r:id="rId3" tooltip="Back to Dashboard Page"/>
          <a:extLst>
            <a:ext uri="{FF2B5EF4-FFF2-40B4-BE49-F238E27FC236}">
              <a16:creationId xmlns:a16="http://schemas.microsoft.com/office/drawing/2014/main" id="{72B70DC6-F923-4524-86D9-1361931F78EB}"/>
            </a:ext>
          </a:extLst>
        </xdr:cNvPr>
        <xdr:cNvSpPr/>
      </xdr:nvSpPr>
      <xdr:spPr>
        <a:xfrm>
          <a:off x="152411132"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126</xdr:col>
      <xdr:colOff>174789</xdr:colOff>
      <xdr:row>1</xdr:row>
      <xdr:rowOff>59690</xdr:rowOff>
    </xdr:from>
    <xdr:to>
      <xdr:col>127</xdr:col>
      <xdr:colOff>58457</xdr:colOff>
      <xdr:row>1</xdr:row>
      <xdr:rowOff>553466</xdr:rowOff>
    </xdr:to>
    <xdr:sp macro="" textlink="">
      <xdr:nvSpPr>
        <xdr:cNvPr id="641" name="B GEN DATA PAGE">
          <a:hlinkClick xmlns:r="http://schemas.openxmlformats.org/officeDocument/2006/relationships" r:id="rId4" tooltip="Back to General Data Page"/>
          <a:extLst>
            <a:ext uri="{FF2B5EF4-FFF2-40B4-BE49-F238E27FC236}">
              <a16:creationId xmlns:a16="http://schemas.microsoft.com/office/drawing/2014/main" id="{6939EE2A-0A06-40C9-95DD-BAE2D38F52AF}"/>
            </a:ext>
          </a:extLst>
        </xdr:cNvPr>
        <xdr:cNvSpPr/>
      </xdr:nvSpPr>
      <xdr:spPr>
        <a:xfrm>
          <a:off x="153552054"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128</xdr:col>
      <xdr:colOff>58872</xdr:colOff>
      <xdr:row>1</xdr:row>
      <xdr:rowOff>59690</xdr:rowOff>
    </xdr:from>
    <xdr:to>
      <xdr:col>128</xdr:col>
      <xdr:colOff>1124911</xdr:colOff>
      <xdr:row>1</xdr:row>
      <xdr:rowOff>553466</xdr:rowOff>
    </xdr:to>
    <xdr:sp macro="" textlink="">
      <xdr:nvSpPr>
        <xdr:cNvPr id="642" name="B ABD PAGE">
          <a:hlinkClick xmlns:r="http://schemas.openxmlformats.org/officeDocument/2006/relationships" r:id="rId5" tooltip="Aged, Blind, or Disabled Page (Current)"/>
          <a:extLst>
            <a:ext uri="{FF2B5EF4-FFF2-40B4-BE49-F238E27FC236}">
              <a16:creationId xmlns:a16="http://schemas.microsoft.com/office/drawing/2014/main" id="{D5C82746-8F73-4DA9-85DA-8860D7553EA0}"/>
            </a:ext>
          </a:extLst>
        </xdr:cNvPr>
        <xdr:cNvSpPr/>
      </xdr:nvSpPr>
      <xdr:spPr>
        <a:xfrm>
          <a:off x="155835167"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124</xdr:col>
      <xdr:colOff>290705</xdr:colOff>
      <xdr:row>1</xdr:row>
      <xdr:rowOff>59690</xdr:rowOff>
    </xdr:from>
    <xdr:to>
      <xdr:col>125</xdr:col>
      <xdr:colOff>173103</xdr:colOff>
      <xdr:row>1</xdr:row>
      <xdr:rowOff>553466</xdr:rowOff>
    </xdr:to>
    <xdr:sp macro="" textlink="">
      <xdr:nvSpPr>
        <xdr:cNvPr id="643" name="B GEN DATA PAGE">
          <a:hlinkClick xmlns:r="http://schemas.openxmlformats.org/officeDocument/2006/relationships" r:id="rId6" tooltip="Back to Navigation Page"/>
          <a:extLst>
            <a:ext uri="{FF2B5EF4-FFF2-40B4-BE49-F238E27FC236}">
              <a16:creationId xmlns:a16="http://schemas.microsoft.com/office/drawing/2014/main" id="{27E7A067-F3A9-4E8A-BD6C-08FC0932939D}"/>
            </a:ext>
          </a:extLst>
        </xdr:cNvPr>
        <xdr:cNvSpPr/>
      </xdr:nvSpPr>
      <xdr:spPr>
        <a:xfrm>
          <a:off x="151265130"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134</xdr:col>
      <xdr:colOff>858946</xdr:colOff>
      <xdr:row>1</xdr:row>
      <xdr:rowOff>59690</xdr:rowOff>
    </xdr:from>
    <xdr:to>
      <xdr:col>135</xdr:col>
      <xdr:colOff>747149</xdr:colOff>
      <xdr:row>1</xdr:row>
      <xdr:rowOff>557276</xdr:rowOff>
    </xdr:to>
    <xdr:sp macro="" textlink="">
      <xdr:nvSpPr>
        <xdr:cNvPr id="644" name="B ALL DATA PAGE">
          <a:hlinkClick xmlns:r="http://schemas.openxmlformats.org/officeDocument/2006/relationships" r:id="rId7" tooltip="Back to All Data Page"/>
          <a:extLst>
            <a:ext uri="{FF2B5EF4-FFF2-40B4-BE49-F238E27FC236}">
              <a16:creationId xmlns:a16="http://schemas.microsoft.com/office/drawing/2014/main" id="{C1CB21F6-0239-4C54-BA2B-48C6637BE547}"/>
            </a:ext>
          </a:extLst>
        </xdr:cNvPr>
        <xdr:cNvSpPr/>
      </xdr:nvSpPr>
      <xdr:spPr>
        <a:xfrm>
          <a:off x="163883131"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133</xdr:col>
      <xdr:colOff>936372</xdr:colOff>
      <xdr:row>1</xdr:row>
      <xdr:rowOff>59690</xdr:rowOff>
    </xdr:from>
    <xdr:to>
      <xdr:col>134</xdr:col>
      <xdr:colOff>785327</xdr:colOff>
      <xdr:row>1</xdr:row>
      <xdr:rowOff>553466</xdr:rowOff>
    </xdr:to>
    <xdr:sp macro="" textlink="">
      <xdr:nvSpPr>
        <xdr:cNvPr id="645" name="B TERMS PAGE">
          <a:hlinkClick xmlns:r="http://schemas.openxmlformats.org/officeDocument/2006/relationships" r:id="rId8" tooltip="Back to Appendix &amp; Terms Page"/>
          <a:extLst>
            <a:ext uri="{FF2B5EF4-FFF2-40B4-BE49-F238E27FC236}">
              <a16:creationId xmlns:a16="http://schemas.microsoft.com/office/drawing/2014/main" id="{D15E1CEE-226C-48DB-926C-57D119EF952C}"/>
            </a:ext>
          </a:extLst>
        </xdr:cNvPr>
        <xdr:cNvSpPr/>
      </xdr:nvSpPr>
      <xdr:spPr>
        <a:xfrm>
          <a:off x="162750247"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132</xdr:col>
      <xdr:colOff>973043</xdr:colOff>
      <xdr:row>1</xdr:row>
      <xdr:rowOff>59690</xdr:rowOff>
    </xdr:from>
    <xdr:to>
      <xdr:col>133</xdr:col>
      <xdr:colOff>861065</xdr:colOff>
      <xdr:row>1</xdr:row>
      <xdr:rowOff>553466</xdr:rowOff>
    </xdr:to>
    <xdr:sp macro="" textlink="">
      <xdr:nvSpPr>
        <xdr:cNvPr id="646" name="B PROV DET PAGE">
          <a:hlinkClick xmlns:r="http://schemas.openxmlformats.org/officeDocument/2006/relationships" r:id="rId9" tooltip="Back to Provider Page"/>
          <a:extLst>
            <a:ext uri="{FF2B5EF4-FFF2-40B4-BE49-F238E27FC236}">
              <a16:creationId xmlns:a16="http://schemas.microsoft.com/office/drawing/2014/main" id="{8BAB9D4A-4AFF-4B88-A008-E86FCC4AC5D7}"/>
            </a:ext>
          </a:extLst>
        </xdr:cNvPr>
        <xdr:cNvSpPr/>
      </xdr:nvSpPr>
      <xdr:spPr>
        <a:xfrm>
          <a:off x="161607088"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129</xdr:col>
      <xdr:colOff>21235</xdr:colOff>
      <xdr:row>1</xdr:row>
      <xdr:rowOff>59690</xdr:rowOff>
    </xdr:from>
    <xdr:to>
      <xdr:col>129</xdr:col>
      <xdr:colOff>1068223</xdr:colOff>
      <xdr:row>1</xdr:row>
      <xdr:rowOff>553466</xdr:rowOff>
    </xdr:to>
    <xdr:sp macro="" textlink="">
      <xdr:nvSpPr>
        <xdr:cNvPr id="647" name="B IHSS PROG PAGE">
          <a:hlinkClick xmlns:r="http://schemas.openxmlformats.org/officeDocument/2006/relationships" r:id="rId10" tooltip="Back to Program Equity Page"/>
          <a:extLst>
            <a:ext uri="{FF2B5EF4-FFF2-40B4-BE49-F238E27FC236}">
              <a16:creationId xmlns:a16="http://schemas.microsoft.com/office/drawing/2014/main" id="{8E3257D8-B346-4C29-9B85-83F9C753C21E}"/>
            </a:ext>
          </a:extLst>
        </xdr:cNvPr>
        <xdr:cNvSpPr/>
      </xdr:nvSpPr>
      <xdr:spPr>
        <a:xfrm>
          <a:off x="157006570"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131</xdr:col>
      <xdr:colOff>1014491</xdr:colOff>
      <xdr:row>1</xdr:row>
      <xdr:rowOff>59690</xdr:rowOff>
    </xdr:from>
    <xdr:to>
      <xdr:col>132</xdr:col>
      <xdr:colOff>898703</xdr:colOff>
      <xdr:row>1</xdr:row>
      <xdr:rowOff>553466</xdr:rowOff>
    </xdr:to>
    <xdr:sp macro="" textlink="">
      <xdr:nvSpPr>
        <xdr:cNvPr id="648" name="B ETHNICITY PAGE">
          <a:hlinkClick xmlns:r="http://schemas.openxmlformats.org/officeDocument/2006/relationships" r:id="rId11" tooltip="Back to Ethnicity &amp; Language Page"/>
          <a:extLst>
            <a:ext uri="{FF2B5EF4-FFF2-40B4-BE49-F238E27FC236}">
              <a16:creationId xmlns:a16="http://schemas.microsoft.com/office/drawing/2014/main" id="{AB64C628-F755-4F34-ACBE-C2C726B41E30}"/>
            </a:ext>
          </a:extLst>
        </xdr:cNvPr>
        <xdr:cNvSpPr/>
      </xdr:nvSpPr>
      <xdr:spPr>
        <a:xfrm>
          <a:off x="160434416"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127</xdr:col>
      <xdr:colOff>135881</xdr:colOff>
      <xdr:row>1</xdr:row>
      <xdr:rowOff>59690</xdr:rowOff>
    </xdr:from>
    <xdr:to>
      <xdr:col>128</xdr:col>
      <xdr:colOff>498</xdr:colOff>
      <xdr:row>1</xdr:row>
      <xdr:rowOff>553466</xdr:rowOff>
    </xdr:to>
    <xdr:sp macro="" textlink="">
      <xdr:nvSpPr>
        <xdr:cNvPr id="649" name="B GEN DATA PAGE">
          <a:hlinkClick xmlns:r="http://schemas.openxmlformats.org/officeDocument/2006/relationships" r:id="rId12" tooltip="IHSS Applicants Page (Current)"/>
          <a:extLst>
            <a:ext uri="{FF2B5EF4-FFF2-40B4-BE49-F238E27FC236}">
              <a16:creationId xmlns:a16="http://schemas.microsoft.com/office/drawing/2014/main" id="{2277C8F1-BC43-4B79-B953-E7C83D0DEEFA}"/>
            </a:ext>
          </a:extLst>
        </xdr:cNvPr>
        <xdr:cNvSpPr/>
      </xdr:nvSpPr>
      <xdr:spPr>
        <a:xfrm>
          <a:off x="154708216"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129</xdr:col>
      <xdr:colOff>1126597</xdr:colOff>
      <xdr:row>1</xdr:row>
      <xdr:rowOff>59690</xdr:rowOff>
    </xdr:from>
    <xdr:to>
      <xdr:col>130</xdr:col>
      <xdr:colOff>1016615</xdr:colOff>
      <xdr:row>1</xdr:row>
      <xdr:rowOff>553466</xdr:rowOff>
    </xdr:to>
    <xdr:sp macro="" textlink="">
      <xdr:nvSpPr>
        <xdr:cNvPr id="650" name="B IHSS SERV PAGE">
          <a:hlinkClick xmlns:r="http://schemas.openxmlformats.org/officeDocument/2006/relationships" r:id="rId13" tooltip="IHSS Services Page (Current)"/>
          <a:extLst>
            <a:ext uri="{FF2B5EF4-FFF2-40B4-BE49-F238E27FC236}">
              <a16:creationId xmlns:a16="http://schemas.microsoft.com/office/drawing/2014/main" id="{44BFEE99-9ED2-4AF0-A029-9D6300EF2ABE}"/>
            </a:ext>
          </a:extLst>
        </xdr:cNvPr>
        <xdr:cNvSpPr/>
      </xdr:nvSpPr>
      <xdr:spPr>
        <a:xfrm>
          <a:off x="158137332"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144</xdr:col>
      <xdr:colOff>1168182</xdr:colOff>
      <xdr:row>1</xdr:row>
      <xdr:rowOff>59690</xdr:rowOff>
    </xdr:from>
    <xdr:to>
      <xdr:col>145</xdr:col>
      <xdr:colOff>1051004</xdr:colOff>
      <xdr:row>1</xdr:row>
      <xdr:rowOff>553466</xdr:rowOff>
    </xdr:to>
    <xdr:sp macro="" textlink="">
      <xdr:nvSpPr>
        <xdr:cNvPr id="651" name="B AGE PAGE">
          <a:hlinkClick xmlns:r="http://schemas.openxmlformats.org/officeDocument/2006/relationships" r:id="rId2" tooltip="Age &amp; Gender Page (Current)"/>
          <a:extLst>
            <a:ext uri="{FF2B5EF4-FFF2-40B4-BE49-F238E27FC236}">
              <a16:creationId xmlns:a16="http://schemas.microsoft.com/office/drawing/2014/main" id="{61F40951-66BC-4358-9886-EC78EC72FBE2}"/>
            </a:ext>
          </a:extLst>
        </xdr:cNvPr>
        <xdr:cNvSpPr/>
      </xdr:nvSpPr>
      <xdr:spPr>
        <a:xfrm>
          <a:off x="176288271"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139</xdr:col>
      <xdr:colOff>330174</xdr:colOff>
      <xdr:row>1</xdr:row>
      <xdr:rowOff>59690</xdr:rowOff>
    </xdr:from>
    <xdr:to>
      <xdr:col>140</xdr:col>
      <xdr:colOff>216382</xdr:colOff>
      <xdr:row>1</xdr:row>
      <xdr:rowOff>553466</xdr:rowOff>
    </xdr:to>
    <xdr:sp macro="" textlink="">
      <xdr:nvSpPr>
        <xdr:cNvPr id="652" name="B HOME PAGE">
          <a:hlinkClick xmlns:r="http://schemas.openxmlformats.org/officeDocument/2006/relationships" r:id="rId3" tooltip="Back to Dashboard Page"/>
          <a:extLst>
            <a:ext uri="{FF2B5EF4-FFF2-40B4-BE49-F238E27FC236}">
              <a16:creationId xmlns:a16="http://schemas.microsoft.com/office/drawing/2014/main" id="{5E8A403B-27A9-441B-8A37-CEC42003D07A}"/>
            </a:ext>
          </a:extLst>
        </xdr:cNvPr>
        <xdr:cNvSpPr/>
      </xdr:nvSpPr>
      <xdr:spPr>
        <a:xfrm>
          <a:off x="169391939"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140</xdr:col>
      <xdr:colOff>250626</xdr:colOff>
      <xdr:row>1</xdr:row>
      <xdr:rowOff>59690</xdr:rowOff>
    </xdr:from>
    <xdr:to>
      <xdr:col>141</xdr:col>
      <xdr:colOff>136834</xdr:colOff>
      <xdr:row>1</xdr:row>
      <xdr:rowOff>553466</xdr:rowOff>
    </xdr:to>
    <xdr:sp macro="" textlink="">
      <xdr:nvSpPr>
        <xdr:cNvPr id="653" name="B GEN DATA PAGE">
          <a:hlinkClick xmlns:r="http://schemas.openxmlformats.org/officeDocument/2006/relationships" r:id="rId4" tooltip="Back to General Data Page"/>
          <a:extLst>
            <a:ext uri="{FF2B5EF4-FFF2-40B4-BE49-F238E27FC236}">
              <a16:creationId xmlns:a16="http://schemas.microsoft.com/office/drawing/2014/main" id="{A281F059-373C-4D42-82E5-D6B98AC1DC25}"/>
            </a:ext>
          </a:extLst>
        </xdr:cNvPr>
        <xdr:cNvSpPr/>
      </xdr:nvSpPr>
      <xdr:spPr>
        <a:xfrm>
          <a:off x="170532861"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142</xdr:col>
      <xdr:colOff>135979</xdr:colOff>
      <xdr:row>1</xdr:row>
      <xdr:rowOff>59690</xdr:rowOff>
    </xdr:from>
    <xdr:to>
      <xdr:col>143</xdr:col>
      <xdr:colOff>20918</xdr:colOff>
      <xdr:row>1</xdr:row>
      <xdr:rowOff>553466</xdr:rowOff>
    </xdr:to>
    <xdr:sp macro="" textlink="">
      <xdr:nvSpPr>
        <xdr:cNvPr id="654" name="B ABD PAGE">
          <a:hlinkClick xmlns:r="http://schemas.openxmlformats.org/officeDocument/2006/relationships" r:id="rId5" tooltip="Aged, Blind, or Disabled Page (Current)"/>
          <a:extLst>
            <a:ext uri="{FF2B5EF4-FFF2-40B4-BE49-F238E27FC236}">
              <a16:creationId xmlns:a16="http://schemas.microsoft.com/office/drawing/2014/main" id="{D2820F97-88B6-4678-B9D6-6CEEB6E3FEEC}"/>
            </a:ext>
          </a:extLst>
        </xdr:cNvPr>
        <xdr:cNvSpPr/>
      </xdr:nvSpPr>
      <xdr:spPr>
        <a:xfrm>
          <a:off x="172815974"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138</xdr:col>
      <xdr:colOff>403372</xdr:colOff>
      <xdr:row>1</xdr:row>
      <xdr:rowOff>59690</xdr:rowOff>
    </xdr:from>
    <xdr:to>
      <xdr:col>139</xdr:col>
      <xdr:colOff>251480</xdr:colOff>
      <xdr:row>1</xdr:row>
      <xdr:rowOff>553466</xdr:rowOff>
    </xdr:to>
    <xdr:sp macro="" textlink="">
      <xdr:nvSpPr>
        <xdr:cNvPr id="655" name="B GEN DATA PAGE">
          <a:hlinkClick xmlns:r="http://schemas.openxmlformats.org/officeDocument/2006/relationships" r:id="rId6" tooltip="Back to Navigation Page"/>
          <a:extLst>
            <a:ext uri="{FF2B5EF4-FFF2-40B4-BE49-F238E27FC236}">
              <a16:creationId xmlns:a16="http://schemas.microsoft.com/office/drawing/2014/main" id="{16C3C0CF-9D9C-4F68-B53C-57E86CC9FD6E}"/>
            </a:ext>
          </a:extLst>
        </xdr:cNvPr>
        <xdr:cNvSpPr/>
      </xdr:nvSpPr>
      <xdr:spPr>
        <a:xfrm>
          <a:off x="168245937"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148</xdr:col>
      <xdr:colOff>937323</xdr:colOff>
      <xdr:row>1</xdr:row>
      <xdr:rowOff>59690</xdr:rowOff>
    </xdr:from>
    <xdr:to>
      <xdr:col>149</xdr:col>
      <xdr:colOff>825526</xdr:colOff>
      <xdr:row>1</xdr:row>
      <xdr:rowOff>557276</xdr:rowOff>
    </xdr:to>
    <xdr:sp macro="" textlink="">
      <xdr:nvSpPr>
        <xdr:cNvPr id="656" name="B ALL DATA PAGE">
          <a:hlinkClick xmlns:r="http://schemas.openxmlformats.org/officeDocument/2006/relationships" r:id="rId7" tooltip="Back to All Data Page"/>
          <a:extLst>
            <a:ext uri="{FF2B5EF4-FFF2-40B4-BE49-F238E27FC236}">
              <a16:creationId xmlns:a16="http://schemas.microsoft.com/office/drawing/2014/main" id="{7F5A71BC-D9FC-4C8B-A497-C9E264CD86E3}"/>
            </a:ext>
          </a:extLst>
        </xdr:cNvPr>
        <xdr:cNvSpPr/>
      </xdr:nvSpPr>
      <xdr:spPr>
        <a:xfrm>
          <a:off x="180863938"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147</xdr:col>
      <xdr:colOff>1016019</xdr:colOff>
      <xdr:row>1</xdr:row>
      <xdr:rowOff>59690</xdr:rowOff>
    </xdr:from>
    <xdr:to>
      <xdr:col>148</xdr:col>
      <xdr:colOff>859894</xdr:colOff>
      <xdr:row>1</xdr:row>
      <xdr:rowOff>553466</xdr:rowOff>
    </xdr:to>
    <xdr:sp macro="" textlink="">
      <xdr:nvSpPr>
        <xdr:cNvPr id="657" name="B TERMS PAGE">
          <a:hlinkClick xmlns:r="http://schemas.openxmlformats.org/officeDocument/2006/relationships" r:id="rId8" tooltip="Back to Appendix &amp; Terms Page"/>
          <a:extLst>
            <a:ext uri="{FF2B5EF4-FFF2-40B4-BE49-F238E27FC236}">
              <a16:creationId xmlns:a16="http://schemas.microsoft.com/office/drawing/2014/main" id="{932B6FAD-A908-4440-B0E4-3EC4D6910D7B}"/>
            </a:ext>
          </a:extLst>
        </xdr:cNvPr>
        <xdr:cNvSpPr/>
      </xdr:nvSpPr>
      <xdr:spPr>
        <a:xfrm>
          <a:off x="179731054"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146</xdr:col>
      <xdr:colOff>1089520</xdr:colOff>
      <xdr:row>1</xdr:row>
      <xdr:rowOff>59690</xdr:rowOff>
    </xdr:from>
    <xdr:to>
      <xdr:col>147</xdr:col>
      <xdr:colOff>935632</xdr:colOff>
      <xdr:row>1</xdr:row>
      <xdr:rowOff>553466</xdr:rowOff>
    </xdr:to>
    <xdr:sp macro="" textlink="">
      <xdr:nvSpPr>
        <xdr:cNvPr id="658" name="B PROV DET PAGE">
          <a:hlinkClick xmlns:r="http://schemas.openxmlformats.org/officeDocument/2006/relationships" r:id="rId9" tooltip="Back to Provider Page"/>
          <a:extLst>
            <a:ext uri="{FF2B5EF4-FFF2-40B4-BE49-F238E27FC236}">
              <a16:creationId xmlns:a16="http://schemas.microsoft.com/office/drawing/2014/main" id="{1D3B7DCD-5661-41D0-8376-78D929FACFFB}"/>
            </a:ext>
          </a:extLst>
        </xdr:cNvPr>
        <xdr:cNvSpPr/>
      </xdr:nvSpPr>
      <xdr:spPr>
        <a:xfrm>
          <a:off x="178587895"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143</xdr:col>
      <xdr:colOff>99612</xdr:colOff>
      <xdr:row>1</xdr:row>
      <xdr:rowOff>59690</xdr:rowOff>
    </xdr:from>
    <xdr:to>
      <xdr:col>143</xdr:col>
      <xdr:colOff>1168190</xdr:colOff>
      <xdr:row>1</xdr:row>
      <xdr:rowOff>553466</xdr:rowOff>
    </xdr:to>
    <xdr:sp macro="" textlink="">
      <xdr:nvSpPr>
        <xdr:cNvPr id="659" name="B IHSS PROG PAGE">
          <a:hlinkClick xmlns:r="http://schemas.openxmlformats.org/officeDocument/2006/relationships" r:id="rId10" tooltip="Back to Program Equity Page"/>
          <a:extLst>
            <a:ext uri="{FF2B5EF4-FFF2-40B4-BE49-F238E27FC236}">
              <a16:creationId xmlns:a16="http://schemas.microsoft.com/office/drawing/2014/main" id="{E7D18715-A6B1-47C0-90B3-6E01F710D0C9}"/>
            </a:ext>
          </a:extLst>
        </xdr:cNvPr>
        <xdr:cNvSpPr/>
      </xdr:nvSpPr>
      <xdr:spPr>
        <a:xfrm>
          <a:off x="173987377"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145</xdr:col>
      <xdr:colOff>1127158</xdr:colOff>
      <xdr:row>1</xdr:row>
      <xdr:rowOff>59690</xdr:rowOff>
    </xdr:from>
    <xdr:to>
      <xdr:col>146</xdr:col>
      <xdr:colOff>974540</xdr:colOff>
      <xdr:row>1</xdr:row>
      <xdr:rowOff>553466</xdr:rowOff>
    </xdr:to>
    <xdr:sp macro="" textlink="">
      <xdr:nvSpPr>
        <xdr:cNvPr id="660" name="B ETHNICITY PAGE">
          <a:hlinkClick xmlns:r="http://schemas.openxmlformats.org/officeDocument/2006/relationships" r:id="rId11" tooltip="Back to Ethnicity &amp; Language Page"/>
          <a:extLst>
            <a:ext uri="{FF2B5EF4-FFF2-40B4-BE49-F238E27FC236}">
              <a16:creationId xmlns:a16="http://schemas.microsoft.com/office/drawing/2014/main" id="{E88C6B25-DB0A-4D5E-A609-2A549D1ED7A1}"/>
            </a:ext>
          </a:extLst>
        </xdr:cNvPr>
        <xdr:cNvSpPr/>
      </xdr:nvSpPr>
      <xdr:spPr>
        <a:xfrm>
          <a:off x="177415223"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141</xdr:col>
      <xdr:colOff>215528</xdr:colOff>
      <xdr:row>1</xdr:row>
      <xdr:rowOff>59690</xdr:rowOff>
    </xdr:from>
    <xdr:to>
      <xdr:col>142</xdr:col>
      <xdr:colOff>96655</xdr:colOff>
      <xdr:row>1</xdr:row>
      <xdr:rowOff>553466</xdr:rowOff>
    </xdr:to>
    <xdr:sp macro="" textlink="">
      <xdr:nvSpPr>
        <xdr:cNvPr id="661" name="B GEN DATA PAGE">
          <a:hlinkClick xmlns:r="http://schemas.openxmlformats.org/officeDocument/2006/relationships" r:id="rId12" tooltip="IHSS Applicants Page (Current)"/>
          <a:extLst>
            <a:ext uri="{FF2B5EF4-FFF2-40B4-BE49-F238E27FC236}">
              <a16:creationId xmlns:a16="http://schemas.microsoft.com/office/drawing/2014/main" id="{04EC659E-14CE-4821-B6F5-45C3B0CC839C}"/>
            </a:ext>
          </a:extLst>
        </xdr:cNvPr>
        <xdr:cNvSpPr/>
      </xdr:nvSpPr>
      <xdr:spPr>
        <a:xfrm>
          <a:off x="171689023"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144</xdr:col>
      <xdr:colOff>25144</xdr:colOff>
      <xdr:row>1</xdr:row>
      <xdr:rowOff>59690</xdr:rowOff>
    </xdr:from>
    <xdr:to>
      <xdr:col>144</xdr:col>
      <xdr:colOff>1128012</xdr:colOff>
      <xdr:row>1</xdr:row>
      <xdr:rowOff>553466</xdr:rowOff>
    </xdr:to>
    <xdr:sp macro="" textlink="">
      <xdr:nvSpPr>
        <xdr:cNvPr id="662" name="B IHSS SERV PAGE">
          <a:hlinkClick xmlns:r="http://schemas.openxmlformats.org/officeDocument/2006/relationships" r:id="rId13" tooltip="IHSS Services Page (Current)"/>
          <a:extLst>
            <a:ext uri="{FF2B5EF4-FFF2-40B4-BE49-F238E27FC236}">
              <a16:creationId xmlns:a16="http://schemas.microsoft.com/office/drawing/2014/main" id="{1C7F56D1-E84D-40D1-856E-2F23274331A0}"/>
            </a:ext>
          </a:extLst>
        </xdr:cNvPr>
        <xdr:cNvSpPr/>
      </xdr:nvSpPr>
      <xdr:spPr>
        <a:xfrm>
          <a:off x="175118139"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158</xdr:col>
      <xdr:colOff>784431</xdr:colOff>
      <xdr:row>1</xdr:row>
      <xdr:rowOff>59690</xdr:rowOff>
    </xdr:from>
    <xdr:to>
      <xdr:col>159</xdr:col>
      <xdr:colOff>635079</xdr:colOff>
      <xdr:row>1</xdr:row>
      <xdr:rowOff>553466</xdr:rowOff>
    </xdr:to>
    <xdr:sp macro="" textlink="">
      <xdr:nvSpPr>
        <xdr:cNvPr id="663" name="B AGE PAGE">
          <a:hlinkClick xmlns:r="http://schemas.openxmlformats.org/officeDocument/2006/relationships" r:id="rId2" tooltip="Age &amp; Gender Page (Current)"/>
          <a:extLst>
            <a:ext uri="{FF2B5EF4-FFF2-40B4-BE49-F238E27FC236}">
              <a16:creationId xmlns:a16="http://schemas.microsoft.com/office/drawing/2014/main" id="{A5E5CED1-4D31-485B-A8C3-1CED6C75CEE0}"/>
            </a:ext>
          </a:extLst>
        </xdr:cNvPr>
        <xdr:cNvSpPr/>
      </xdr:nvSpPr>
      <xdr:spPr>
        <a:xfrm>
          <a:off x="192776046"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152</xdr:col>
      <xdr:colOff>1127099</xdr:colOff>
      <xdr:row>1</xdr:row>
      <xdr:rowOff>59690</xdr:rowOff>
    </xdr:from>
    <xdr:to>
      <xdr:col>153</xdr:col>
      <xdr:colOff>1015847</xdr:colOff>
      <xdr:row>1</xdr:row>
      <xdr:rowOff>553466</xdr:rowOff>
    </xdr:to>
    <xdr:sp macro="" textlink="">
      <xdr:nvSpPr>
        <xdr:cNvPr id="664" name="B HOME PAGE">
          <a:hlinkClick xmlns:r="http://schemas.openxmlformats.org/officeDocument/2006/relationships" r:id="rId3" tooltip="Back to Dashboard Page"/>
          <a:extLst>
            <a:ext uri="{FF2B5EF4-FFF2-40B4-BE49-F238E27FC236}">
              <a16:creationId xmlns:a16="http://schemas.microsoft.com/office/drawing/2014/main" id="{E9265F4C-13FE-4055-BFCD-DF4C416C2576}"/>
            </a:ext>
          </a:extLst>
        </xdr:cNvPr>
        <xdr:cNvSpPr/>
      </xdr:nvSpPr>
      <xdr:spPr>
        <a:xfrm>
          <a:off x="185879714"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153</xdr:col>
      <xdr:colOff>1051361</xdr:colOff>
      <xdr:row>1</xdr:row>
      <xdr:rowOff>59690</xdr:rowOff>
    </xdr:from>
    <xdr:to>
      <xdr:col>154</xdr:col>
      <xdr:colOff>940109</xdr:colOff>
      <xdr:row>1</xdr:row>
      <xdr:rowOff>553466</xdr:rowOff>
    </xdr:to>
    <xdr:sp macro="" textlink="">
      <xdr:nvSpPr>
        <xdr:cNvPr id="665" name="B GEN DATA PAGE">
          <a:hlinkClick xmlns:r="http://schemas.openxmlformats.org/officeDocument/2006/relationships" r:id="rId4" tooltip="Back to General Data Page"/>
          <a:extLst>
            <a:ext uri="{FF2B5EF4-FFF2-40B4-BE49-F238E27FC236}">
              <a16:creationId xmlns:a16="http://schemas.microsoft.com/office/drawing/2014/main" id="{B264D2B2-19E1-4C8B-9275-5412026C32EB}"/>
            </a:ext>
          </a:extLst>
        </xdr:cNvPr>
        <xdr:cNvSpPr/>
      </xdr:nvSpPr>
      <xdr:spPr>
        <a:xfrm>
          <a:off x="187020636"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155</xdr:col>
      <xdr:colOff>935444</xdr:colOff>
      <xdr:row>1</xdr:row>
      <xdr:rowOff>59690</xdr:rowOff>
    </xdr:from>
    <xdr:to>
      <xdr:col>156</xdr:col>
      <xdr:colOff>822923</xdr:colOff>
      <xdr:row>1</xdr:row>
      <xdr:rowOff>553466</xdr:rowOff>
    </xdr:to>
    <xdr:sp macro="" textlink="">
      <xdr:nvSpPr>
        <xdr:cNvPr id="666" name="B ABD PAGE">
          <a:hlinkClick xmlns:r="http://schemas.openxmlformats.org/officeDocument/2006/relationships" r:id="rId5" tooltip="Aged, Blind, or Disabled Page (Current)"/>
          <a:extLst>
            <a:ext uri="{FF2B5EF4-FFF2-40B4-BE49-F238E27FC236}">
              <a16:creationId xmlns:a16="http://schemas.microsoft.com/office/drawing/2014/main" id="{3BB04FFC-B41A-45DC-906E-9BD1D4E9A480}"/>
            </a:ext>
          </a:extLst>
        </xdr:cNvPr>
        <xdr:cNvSpPr/>
      </xdr:nvSpPr>
      <xdr:spPr>
        <a:xfrm>
          <a:off x="189303749"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151</xdr:col>
      <xdr:colOff>1168124</xdr:colOff>
      <xdr:row>1</xdr:row>
      <xdr:rowOff>59690</xdr:rowOff>
    </xdr:from>
    <xdr:to>
      <xdr:col>152</xdr:col>
      <xdr:colOff>1053485</xdr:colOff>
      <xdr:row>1</xdr:row>
      <xdr:rowOff>553466</xdr:rowOff>
    </xdr:to>
    <xdr:sp macro="" textlink="">
      <xdr:nvSpPr>
        <xdr:cNvPr id="667" name="B GEN DATA PAGE">
          <a:hlinkClick xmlns:r="http://schemas.openxmlformats.org/officeDocument/2006/relationships" r:id="rId6" tooltip="Back to Navigation Page"/>
          <a:extLst>
            <a:ext uri="{FF2B5EF4-FFF2-40B4-BE49-F238E27FC236}">
              <a16:creationId xmlns:a16="http://schemas.microsoft.com/office/drawing/2014/main" id="{6B3DC473-6CA2-40F8-AB74-9A18E21B2BFF}"/>
            </a:ext>
          </a:extLst>
        </xdr:cNvPr>
        <xdr:cNvSpPr/>
      </xdr:nvSpPr>
      <xdr:spPr>
        <a:xfrm>
          <a:off x="184733712"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162</xdr:col>
      <xdr:colOff>555688</xdr:colOff>
      <xdr:row>1</xdr:row>
      <xdr:rowOff>59690</xdr:rowOff>
    </xdr:from>
    <xdr:to>
      <xdr:col>163</xdr:col>
      <xdr:colOff>419761</xdr:colOff>
      <xdr:row>1</xdr:row>
      <xdr:rowOff>557276</xdr:rowOff>
    </xdr:to>
    <xdr:sp macro="" textlink="">
      <xdr:nvSpPr>
        <xdr:cNvPr id="668" name="B ALL DATA PAGE">
          <a:hlinkClick xmlns:r="http://schemas.openxmlformats.org/officeDocument/2006/relationships" r:id="rId7" tooltip="Back to All Data Page"/>
          <a:extLst>
            <a:ext uri="{FF2B5EF4-FFF2-40B4-BE49-F238E27FC236}">
              <a16:creationId xmlns:a16="http://schemas.microsoft.com/office/drawing/2014/main" id="{E43F33B0-FD4D-4489-9919-246F6575572F}"/>
            </a:ext>
          </a:extLst>
        </xdr:cNvPr>
        <xdr:cNvSpPr/>
      </xdr:nvSpPr>
      <xdr:spPr>
        <a:xfrm>
          <a:off x="197351713"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161</xdr:col>
      <xdr:colOff>631844</xdr:colOff>
      <xdr:row>1</xdr:row>
      <xdr:rowOff>59690</xdr:rowOff>
    </xdr:from>
    <xdr:to>
      <xdr:col>162</xdr:col>
      <xdr:colOff>482069</xdr:colOff>
      <xdr:row>1</xdr:row>
      <xdr:rowOff>553466</xdr:rowOff>
    </xdr:to>
    <xdr:sp macro="" textlink="">
      <xdr:nvSpPr>
        <xdr:cNvPr id="669" name="B TERMS PAGE">
          <a:hlinkClick xmlns:r="http://schemas.openxmlformats.org/officeDocument/2006/relationships" r:id="rId8" tooltip="Back to Appendix &amp; Terms Page"/>
          <a:extLst>
            <a:ext uri="{FF2B5EF4-FFF2-40B4-BE49-F238E27FC236}">
              <a16:creationId xmlns:a16="http://schemas.microsoft.com/office/drawing/2014/main" id="{E66F6B89-F04E-4B45-BF35-A27CC2F15CEC}"/>
            </a:ext>
          </a:extLst>
        </xdr:cNvPr>
        <xdr:cNvSpPr/>
      </xdr:nvSpPr>
      <xdr:spPr>
        <a:xfrm>
          <a:off x="196218829"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160</xdr:col>
      <xdr:colOff>671055</xdr:colOff>
      <xdr:row>1</xdr:row>
      <xdr:rowOff>59690</xdr:rowOff>
    </xdr:from>
    <xdr:to>
      <xdr:col>161</xdr:col>
      <xdr:colOff>518437</xdr:colOff>
      <xdr:row>1</xdr:row>
      <xdr:rowOff>553466</xdr:rowOff>
    </xdr:to>
    <xdr:sp macro="" textlink="">
      <xdr:nvSpPr>
        <xdr:cNvPr id="670" name="B PROV DET PAGE">
          <a:hlinkClick xmlns:r="http://schemas.openxmlformats.org/officeDocument/2006/relationships" r:id="rId9" tooltip="Back to Provider Page"/>
          <a:extLst>
            <a:ext uri="{FF2B5EF4-FFF2-40B4-BE49-F238E27FC236}">
              <a16:creationId xmlns:a16="http://schemas.microsoft.com/office/drawing/2014/main" id="{BE995FE8-4887-4F09-BCC2-34DDB53DFD50}"/>
            </a:ext>
          </a:extLst>
        </xdr:cNvPr>
        <xdr:cNvSpPr/>
      </xdr:nvSpPr>
      <xdr:spPr>
        <a:xfrm>
          <a:off x="195075670"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156</xdr:col>
      <xdr:colOff>901617</xdr:colOff>
      <xdr:row>1</xdr:row>
      <xdr:rowOff>59690</xdr:rowOff>
    </xdr:from>
    <xdr:to>
      <xdr:col>157</xdr:col>
      <xdr:colOff>747185</xdr:colOff>
      <xdr:row>1</xdr:row>
      <xdr:rowOff>553466</xdr:rowOff>
    </xdr:to>
    <xdr:sp macro="" textlink="">
      <xdr:nvSpPr>
        <xdr:cNvPr id="671" name="B IHSS PROG PAGE">
          <a:hlinkClick xmlns:r="http://schemas.openxmlformats.org/officeDocument/2006/relationships" r:id="rId10" tooltip="Back to Program Equity Page"/>
          <a:extLst>
            <a:ext uri="{FF2B5EF4-FFF2-40B4-BE49-F238E27FC236}">
              <a16:creationId xmlns:a16="http://schemas.microsoft.com/office/drawing/2014/main" id="{45082065-294E-4831-B851-698C56DAE72E}"/>
            </a:ext>
          </a:extLst>
        </xdr:cNvPr>
        <xdr:cNvSpPr/>
      </xdr:nvSpPr>
      <xdr:spPr>
        <a:xfrm>
          <a:off x="190475152"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159</xdr:col>
      <xdr:colOff>711233</xdr:colOff>
      <xdr:row>1</xdr:row>
      <xdr:rowOff>59690</xdr:rowOff>
    </xdr:from>
    <xdr:to>
      <xdr:col>160</xdr:col>
      <xdr:colOff>594175</xdr:colOff>
      <xdr:row>1</xdr:row>
      <xdr:rowOff>553466</xdr:rowOff>
    </xdr:to>
    <xdr:sp macro="" textlink="">
      <xdr:nvSpPr>
        <xdr:cNvPr id="672" name="B ETHNICITY PAGE">
          <a:hlinkClick xmlns:r="http://schemas.openxmlformats.org/officeDocument/2006/relationships" r:id="rId11" tooltip="Back to Ethnicity &amp; Language Page"/>
          <a:extLst>
            <a:ext uri="{FF2B5EF4-FFF2-40B4-BE49-F238E27FC236}">
              <a16:creationId xmlns:a16="http://schemas.microsoft.com/office/drawing/2014/main" id="{F0867CAC-8D2C-45B8-A20D-A10B1B5C90CB}"/>
            </a:ext>
          </a:extLst>
        </xdr:cNvPr>
        <xdr:cNvSpPr/>
      </xdr:nvSpPr>
      <xdr:spPr>
        <a:xfrm>
          <a:off x="193902998"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154</xdr:col>
      <xdr:colOff>1011183</xdr:colOff>
      <xdr:row>1</xdr:row>
      <xdr:rowOff>59690</xdr:rowOff>
    </xdr:from>
    <xdr:to>
      <xdr:col>155</xdr:col>
      <xdr:colOff>897390</xdr:colOff>
      <xdr:row>1</xdr:row>
      <xdr:rowOff>553466</xdr:rowOff>
    </xdr:to>
    <xdr:sp macro="" textlink="">
      <xdr:nvSpPr>
        <xdr:cNvPr id="673" name="B GEN DATA PAGE">
          <a:hlinkClick xmlns:r="http://schemas.openxmlformats.org/officeDocument/2006/relationships" r:id="rId12" tooltip="IHSS Applicants Page (Current)"/>
          <a:extLst>
            <a:ext uri="{FF2B5EF4-FFF2-40B4-BE49-F238E27FC236}">
              <a16:creationId xmlns:a16="http://schemas.microsoft.com/office/drawing/2014/main" id="{756E1FEE-6898-41AC-8F5E-CE639A968EC3}"/>
            </a:ext>
          </a:extLst>
        </xdr:cNvPr>
        <xdr:cNvSpPr/>
      </xdr:nvSpPr>
      <xdr:spPr>
        <a:xfrm>
          <a:off x="188176798"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157</xdr:col>
      <xdr:colOff>820799</xdr:colOff>
      <xdr:row>1</xdr:row>
      <xdr:rowOff>59690</xdr:rowOff>
    </xdr:from>
    <xdr:to>
      <xdr:col>158</xdr:col>
      <xdr:colOff>710817</xdr:colOff>
      <xdr:row>1</xdr:row>
      <xdr:rowOff>553466</xdr:rowOff>
    </xdr:to>
    <xdr:sp macro="" textlink="">
      <xdr:nvSpPr>
        <xdr:cNvPr id="674" name="B IHSS SERV PAGE">
          <a:hlinkClick xmlns:r="http://schemas.openxmlformats.org/officeDocument/2006/relationships" r:id="rId13" tooltip="IHSS Services Page (Current)"/>
          <a:extLst>
            <a:ext uri="{FF2B5EF4-FFF2-40B4-BE49-F238E27FC236}">
              <a16:creationId xmlns:a16="http://schemas.microsoft.com/office/drawing/2014/main" id="{FFFC9926-EBC7-4E95-9542-A2C390771A1B}"/>
            </a:ext>
          </a:extLst>
        </xdr:cNvPr>
        <xdr:cNvSpPr/>
      </xdr:nvSpPr>
      <xdr:spPr>
        <a:xfrm>
          <a:off x="191605914"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130</xdr:col>
      <xdr:colOff>1092134</xdr:colOff>
      <xdr:row>1</xdr:row>
      <xdr:rowOff>59690</xdr:rowOff>
    </xdr:from>
    <xdr:to>
      <xdr:col>131</xdr:col>
      <xdr:colOff>940242</xdr:colOff>
      <xdr:row>1</xdr:row>
      <xdr:rowOff>553466</xdr:rowOff>
    </xdr:to>
    <xdr:sp macro="" textlink="">
      <xdr:nvSpPr>
        <xdr:cNvPr id="675" name="B AGE PAGE">
          <a:hlinkClick xmlns:r="http://schemas.openxmlformats.org/officeDocument/2006/relationships" r:id="rId2" tooltip="Age &amp; Gender Page (Current)"/>
          <a:extLst>
            <a:ext uri="{FF2B5EF4-FFF2-40B4-BE49-F238E27FC236}">
              <a16:creationId xmlns:a16="http://schemas.microsoft.com/office/drawing/2014/main" id="{E13988BE-9F4F-4F39-A666-18FF3B12C4AB}"/>
            </a:ext>
          </a:extLst>
        </xdr:cNvPr>
        <xdr:cNvSpPr/>
      </xdr:nvSpPr>
      <xdr:spPr>
        <a:xfrm>
          <a:off x="159307464"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125</xdr:col>
      <xdr:colOff>211792</xdr:colOff>
      <xdr:row>1</xdr:row>
      <xdr:rowOff>59690</xdr:rowOff>
    </xdr:from>
    <xdr:to>
      <xdr:col>126</xdr:col>
      <xdr:colOff>101810</xdr:colOff>
      <xdr:row>1</xdr:row>
      <xdr:rowOff>553466</xdr:rowOff>
    </xdr:to>
    <xdr:sp macro="" textlink="">
      <xdr:nvSpPr>
        <xdr:cNvPr id="676" name="B HOME PAGE">
          <a:hlinkClick xmlns:r="http://schemas.openxmlformats.org/officeDocument/2006/relationships" r:id="rId3" tooltip="Back to Dashboard Page"/>
          <a:extLst>
            <a:ext uri="{FF2B5EF4-FFF2-40B4-BE49-F238E27FC236}">
              <a16:creationId xmlns:a16="http://schemas.microsoft.com/office/drawing/2014/main" id="{5DCE6737-6538-4EB5-9D17-7DEC0AEC97D0}"/>
            </a:ext>
          </a:extLst>
        </xdr:cNvPr>
        <xdr:cNvSpPr/>
      </xdr:nvSpPr>
      <xdr:spPr>
        <a:xfrm>
          <a:off x="152411132"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126</xdr:col>
      <xdr:colOff>172884</xdr:colOff>
      <xdr:row>1</xdr:row>
      <xdr:rowOff>59690</xdr:rowOff>
    </xdr:from>
    <xdr:to>
      <xdr:col>127</xdr:col>
      <xdr:colOff>19722</xdr:colOff>
      <xdr:row>1</xdr:row>
      <xdr:rowOff>553466</xdr:rowOff>
    </xdr:to>
    <xdr:sp macro="" textlink="">
      <xdr:nvSpPr>
        <xdr:cNvPr id="677" name="B GEN DATA PAGE">
          <a:hlinkClick xmlns:r="http://schemas.openxmlformats.org/officeDocument/2006/relationships" r:id="rId4" tooltip="Back to General Data Page"/>
          <a:extLst>
            <a:ext uri="{FF2B5EF4-FFF2-40B4-BE49-F238E27FC236}">
              <a16:creationId xmlns:a16="http://schemas.microsoft.com/office/drawing/2014/main" id="{1EACF9FB-A820-44FF-9591-0D78C3BAE29D}"/>
            </a:ext>
          </a:extLst>
        </xdr:cNvPr>
        <xdr:cNvSpPr/>
      </xdr:nvSpPr>
      <xdr:spPr>
        <a:xfrm>
          <a:off x="153552054"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128</xdr:col>
      <xdr:colOff>21407</xdr:colOff>
      <xdr:row>1</xdr:row>
      <xdr:rowOff>59690</xdr:rowOff>
    </xdr:from>
    <xdr:to>
      <xdr:col>128</xdr:col>
      <xdr:colOff>1125546</xdr:colOff>
      <xdr:row>1</xdr:row>
      <xdr:rowOff>553466</xdr:rowOff>
    </xdr:to>
    <xdr:sp macro="" textlink="">
      <xdr:nvSpPr>
        <xdr:cNvPr id="678" name="B ABD PAGE">
          <a:hlinkClick xmlns:r="http://schemas.openxmlformats.org/officeDocument/2006/relationships" r:id="rId5" tooltip="Aged, Blind, or Disabled Page (Current)"/>
          <a:extLst>
            <a:ext uri="{FF2B5EF4-FFF2-40B4-BE49-F238E27FC236}">
              <a16:creationId xmlns:a16="http://schemas.microsoft.com/office/drawing/2014/main" id="{D36EC961-2422-4025-AFBE-2D5291FB71C4}"/>
            </a:ext>
          </a:extLst>
        </xdr:cNvPr>
        <xdr:cNvSpPr/>
      </xdr:nvSpPr>
      <xdr:spPr>
        <a:xfrm>
          <a:off x="155835167"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124</xdr:col>
      <xdr:colOff>288800</xdr:colOff>
      <xdr:row>1</xdr:row>
      <xdr:rowOff>59690</xdr:rowOff>
    </xdr:from>
    <xdr:to>
      <xdr:col>125</xdr:col>
      <xdr:colOff>134368</xdr:colOff>
      <xdr:row>1</xdr:row>
      <xdr:rowOff>553466</xdr:rowOff>
    </xdr:to>
    <xdr:sp macro="" textlink="">
      <xdr:nvSpPr>
        <xdr:cNvPr id="679" name="B GEN DATA PAGE">
          <a:hlinkClick xmlns:r="http://schemas.openxmlformats.org/officeDocument/2006/relationships" r:id="rId6" tooltip="Back to Navigation Page"/>
          <a:extLst>
            <a:ext uri="{FF2B5EF4-FFF2-40B4-BE49-F238E27FC236}">
              <a16:creationId xmlns:a16="http://schemas.microsoft.com/office/drawing/2014/main" id="{A4DF2E97-E5FF-4EFD-8934-CFAA585FADD4}"/>
            </a:ext>
          </a:extLst>
        </xdr:cNvPr>
        <xdr:cNvSpPr/>
      </xdr:nvSpPr>
      <xdr:spPr>
        <a:xfrm>
          <a:off x="151265130"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134</xdr:col>
      <xdr:colOff>820211</xdr:colOff>
      <xdr:row>1</xdr:row>
      <xdr:rowOff>59690</xdr:rowOff>
    </xdr:from>
    <xdr:to>
      <xdr:col>135</xdr:col>
      <xdr:colOff>709684</xdr:colOff>
      <xdr:row>1</xdr:row>
      <xdr:rowOff>557276</xdr:rowOff>
    </xdr:to>
    <xdr:sp macro="" textlink="">
      <xdr:nvSpPr>
        <xdr:cNvPr id="680" name="B ALL DATA PAGE">
          <a:hlinkClick xmlns:r="http://schemas.openxmlformats.org/officeDocument/2006/relationships" r:id="rId7" tooltip="Back to All Data Page"/>
          <a:extLst>
            <a:ext uri="{FF2B5EF4-FFF2-40B4-BE49-F238E27FC236}">
              <a16:creationId xmlns:a16="http://schemas.microsoft.com/office/drawing/2014/main" id="{75F67518-431F-43FE-AE1A-B8FEB0B4349E}"/>
            </a:ext>
          </a:extLst>
        </xdr:cNvPr>
        <xdr:cNvSpPr/>
      </xdr:nvSpPr>
      <xdr:spPr>
        <a:xfrm>
          <a:off x="163883131"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133</xdr:col>
      <xdr:colOff>897637</xdr:colOff>
      <xdr:row>1</xdr:row>
      <xdr:rowOff>59690</xdr:rowOff>
    </xdr:from>
    <xdr:to>
      <xdr:col>134</xdr:col>
      <xdr:colOff>747862</xdr:colOff>
      <xdr:row>1</xdr:row>
      <xdr:rowOff>553466</xdr:rowOff>
    </xdr:to>
    <xdr:sp macro="" textlink="">
      <xdr:nvSpPr>
        <xdr:cNvPr id="681" name="B TERMS PAGE">
          <a:hlinkClick xmlns:r="http://schemas.openxmlformats.org/officeDocument/2006/relationships" r:id="rId8" tooltip="Back to Appendix &amp; Terms Page"/>
          <a:extLst>
            <a:ext uri="{FF2B5EF4-FFF2-40B4-BE49-F238E27FC236}">
              <a16:creationId xmlns:a16="http://schemas.microsoft.com/office/drawing/2014/main" id="{72FA7893-F4DD-4CD8-874A-D18FD97837BD}"/>
            </a:ext>
          </a:extLst>
        </xdr:cNvPr>
        <xdr:cNvSpPr/>
      </xdr:nvSpPr>
      <xdr:spPr>
        <a:xfrm>
          <a:off x="162750247"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132</xdr:col>
      <xdr:colOff>974948</xdr:colOff>
      <xdr:row>1</xdr:row>
      <xdr:rowOff>59690</xdr:rowOff>
    </xdr:from>
    <xdr:to>
      <xdr:col>133</xdr:col>
      <xdr:colOff>822330</xdr:colOff>
      <xdr:row>1</xdr:row>
      <xdr:rowOff>553466</xdr:rowOff>
    </xdr:to>
    <xdr:sp macro="" textlink="">
      <xdr:nvSpPr>
        <xdr:cNvPr id="682" name="B PROV DET PAGE">
          <a:hlinkClick xmlns:r="http://schemas.openxmlformats.org/officeDocument/2006/relationships" r:id="rId9" tooltip="Back to Provider Page"/>
          <a:extLst>
            <a:ext uri="{FF2B5EF4-FFF2-40B4-BE49-F238E27FC236}">
              <a16:creationId xmlns:a16="http://schemas.microsoft.com/office/drawing/2014/main" id="{D38DB80D-8543-4C3E-BDFB-BB044419236C}"/>
            </a:ext>
          </a:extLst>
        </xdr:cNvPr>
        <xdr:cNvSpPr/>
      </xdr:nvSpPr>
      <xdr:spPr>
        <a:xfrm>
          <a:off x="161607088"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128</xdr:col>
      <xdr:colOff>1168257</xdr:colOff>
      <xdr:row>1</xdr:row>
      <xdr:rowOff>59690</xdr:rowOff>
    </xdr:from>
    <xdr:to>
      <xdr:col>129</xdr:col>
      <xdr:colOff>1053618</xdr:colOff>
      <xdr:row>1</xdr:row>
      <xdr:rowOff>553466</xdr:rowOff>
    </xdr:to>
    <xdr:sp macro="" textlink="">
      <xdr:nvSpPr>
        <xdr:cNvPr id="683" name="B IHSS PROG PAGE">
          <a:hlinkClick xmlns:r="http://schemas.openxmlformats.org/officeDocument/2006/relationships" r:id="rId10" tooltip="Back to Program Equity Page"/>
          <a:extLst>
            <a:ext uri="{FF2B5EF4-FFF2-40B4-BE49-F238E27FC236}">
              <a16:creationId xmlns:a16="http://schemas.microsoft.com/office/drawing/2014/main" id="{48731D00-303D-47F5-9435-746023B316AA}"/>
            </a:ext>
          </a:extLst>
        </xdr:cNvPr>
        <xdr:cNvSpPr/>
      </xdr:nvSpPr>
      <xdr:spPr>
        <a:xfrm>
          <a:off x="157006570"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131</xdr:col>
      <xdr:colOff>1012586</xdr:colOff>
      <xdr:row>1</xdr:row>
      <xdr:rowOff>59690</xdr:rowOff>
    </xdr:from>
    <xdr:to>
      <xdr:col>132</xdr:col>
      <xdr:colOff>901878</xdr:colOff>
      <xdr:row>1</xdr:row>
      <xdr:rowOff>553466</xdr:rowOff>
    </xdr:to>
    <xdr:sp macro="" textlink="">
      <xdr:nvSpPr>
        <xdr:cNvPr id="684" name="B ETHNICITY PAGE">
          <a:hlinkClick xmlns:r="http://schemas.openxmlformats.org/officeDocument/2006/relationships" r:id="rId11" tooltip="Back to Ethnicity &amp; Language Page"/>
          <a:extLst>
            <a:ext uri="{FF2B5EF4-FFF2-40B4-BE49-F238E27FC236}">
              <a16:creationId xmlns:a16="http://schemas.microsoft.com/office/drawing/2014/main" id="{20A761BA-4B1F-4F6E-A8D0-1EB1CDC70B38}"/>
            </a:ext>
          </a:extLst>
        </xdr:cNvPr>
        <xdr:cNvSpPr/>
      </xdr:nvSpPr>
      <xdr:spPr>
        <a:xfrm>
          <a:off x="160434416"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127</xdr:col>
      <xdr:colOff>97146</xdr:colOff>
      <xdr:row>1</xdr:row>
      <xdr:rowOff>59690</xdr:rowOff>
    </xdr:from>
    <xdr:to>
      <xdr:col>127</xdr:col>
      <xdr:colOff>1165300</xdr:colOff>
      <xdr:row>1</xdr:row>
      <xdr:rowOff>553466</xdr:rowOff>
    </xdr:to>
    <xdr:sp macro="" textlink="">
      <xdr:nvSpPr>
        <xdr:cNvPr id="685" name="B GEN DATA PAGE">
          <a:hlinkClick xmlns:r="http://schemas.openxmlformats.org/officeDocument/2006/relationships" r:id="rId12" tooltip="IHSS Applicants Page (Current)"/>
          <a:extLst>
            <a:ext uri="{FF2B5EF4-FFF2-40B4-BE49-F238E27FC236}">
              <a16:creationId xmlns:a16="http://schemas.microsoft.com/office/drawing/2014/main" id="{9EA48C38-98CC-4CE1-9253-F77BE790418B}"/>
            </a:ext>
          </a:extLst>
        </xdr:cNvPr>
        <xdr:cNvSpPr/>
      </xdr:nvSpPr>
      <xdr:spPr>
        <a:xfrm>
          <a:off x="154708216"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129</xdr:col>
      <xdr:colOff>1127232</xdr:colOff>
      <xdr:row>1</xdr:row>
      <xdr:rowOff>59690</xdr:rowOff>
    </xdr:from>
    <xdr:to>
      <xdr:col>130</xdr:col>
      <xdr:colOff>1015980</xdr:colOff>
      <xdr:row>1</xdr:row>
      <xdr:rowOff>553466</xdr:rowOff>
    </xdr:to>
    <xdr:sp macro="" textlink="">
      <xdr:nvSpPr>
        <xdr:cNvPr id="686" name="B IHSS SERV PAGE">
          <a:hlinkClick xmlns:r="http://schemas.openxmlformats.org/officeDocument/2006/relationships" r:id="rId13" tooltip="IHSS Services Page (Current)"/>
          <a:extLst>
            <a:ext uri="{FF2B5EF4-FFF2-40B4-BE49-F238E27FC236}">
              <a16:creationId xmlns:a16="http://schemas.microsoft.com/office/drawing/2014/main" id="{FF5DB1D6-22F5-48C6-8BF8-59FB2F4FC100}"/>
            </a:ext>
          </a:extLst>
        </xdr:cNvPr>
        <xdr:cNvSpPr/>
      </xdr:nvSpPr>
      <xdr:spPr>
        <a:xfrm>
          <a:off x="158137332"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144</xdr:col>
      <xdr:colOff>1168817</xdr:colOff>
      <xdr:row>1</xdr:row>
      <xdr:rowOff>59690</xdr:rowOff>
    </xdr:from>
    <xdr:to>
      <xdr:col>145</xdr:col>
      <xdr:colOff>1013539</xdr:colOff>
      <xdr:row>1</xdr:row>
      <xdr:rowOff>553466</xdr:rowOff>
    </xdr:to>
    <xdr:sp macro="" textlink="">
      <xdr:nvSpPr>
        <xdr:cNvPr id="687" name="B AGE PAGE">
          <a:hlinkClick xmlns:r="http://schemas.openxmlformats.org/officeDocument/2006/relationships" r:id="rId2" tooltip="Age &amp; Gender Page (Current)"/>
          <a:extLst>
            <a:ext uri="{FF2B5EF4-FFF2-40B4-BE49-F238E27FC236}">
              <a16:creationId xmlns:a16="http://schemas.microsoft.com/office/drawing/2014/main" id="{82CE4443-AE94-483A-9D8E-DD18D9C499CA}"/>
            </a:ext>
          </a:extLst>
        </xdr:cNvPr>
        <xdr:cNvSpPr/>
      </xdr:nvSpPr>
      <xdr:spPr>
        <a:xfrm>
          <a:off x="176288271"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139</xdr:col>
      <xdr:colOff>330809</xdr:colOff>
      <xdr:row>1</xdr:row>
      <xdr:rowOff>59690</xdr:rowOff>
    </xdr:from>
    <xdr:to>
      <xdr:col>140</xdr:col>
      <xdr:colOff>177647</xdr:colOff>
      <xdr:row>1</xdr:row>
      <xdr:rowOff>553466</xdr:rowOff>
    </xdr:to>
    <xdr:sp macro="" textlink="">
      <xdr:nvSpPr>
        <xdr:cNvPr id="688" name="B HOME PAGE">
          <a:hlinkClick xmlns:r="http://schemas.openxmlformats.org/officeDocument/2006/relationships" r:id="rId3" tooltip="Back to Dashboard Page"/>
          <a:extLst>
            <a:ext uri="{FF2B5EF4-FFF2-40B4-BE49-F238E27FC236}">
              <a16:creationId xmlns:a16="http://schemas.microsoft.com/office/drawing/2014/main" id="{BF4690DB-8886-4362-AC85-3608A2734B04}"/>
            </a:ext>
          </a:extLst>
        </xdr:cNvPr>
        <xdr:cNvSpPr/>
      </xdr:nvSpPr>
      <xdr:spPr>
        <a:xfrm>
          <a:off x="169391939"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140</xdr:col>
      <xdr:colOff>251261</xdr:colOff>
      <xdr:row>1</xdr:row>
      <xdr:rowOff>59690</xdr:rowOff>
    </xdr:from>
    <xdr:to>
      <xdr:col>141</xdr:col>
      <xdr:colOff>134929</xdr:colOff>
      <xdr:row>1</xdr:row>
      <xdr:rowOff>553466</xdr:rowOff>
    </xdr:to>
    <xdr:sp macro="" textlink="">
      <xdr:nvSpPr>
        <xdr:cNvPr id="689" name="B GEN DATA PAGE">
          <a:hlinkClick xmlns:r="http://schemas.openxmlformats.org/officeDocument/2006/relationships" r:id="rId4" tooltip="Back to General Data Page"/>
          <a:extLst>
            <a:ext uri="{FF2B5EF4-FFF2-40B4-BE49-F238E27FC236}">
              <a16:creationId xmlns:a16="http://schemas.microsoft.com/office/drawing/2014/main" id="{6C0FE6F0-9959-418E-9E9C-4398954C214A}"/>
            </a:ext>
          </a:extLst>
        </xdr:cNvPr>
        <xdr:cNvSpPr/>
      </xdr:nvSpPr>
      <xdr:spPr>
        <a:xfrm>
          <a:off x="170532861"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142</xdr:col>
      <xdr:colOff>139154</xdr:colOff>
      <xdr:row>1</xdr:row>
      <xdr:rowOff>59690</xdr:rowOff>
    </xdr:from>
    <xdr:to>
      <xdr:col>143</xdr:col>
      <xdr:colOff>21553</xdr:colOff>
      <xdr:row>1</xdr:row>
      <xdr:rowOff>553466</xdr:rowOff>
    </xdr:to>
    <xdr:sp macro="" textlink="">
      <xdr:nvSpPr>
        <xdr:cNvPr id="690" name="B ABD PAGE">
          <a:hlinkClick xmlns:r="http://schemas.openxmlformats.org/officeDocument/2006/relationships" r:id="rId5" tooltip="Aged, Blind, or Disabled Page (Current)"/>
          <a:extLst>
            <a:ext uri="{FF2B5EF4-FFF2-40B4-BE49-F238E27FC236}">
              <a16:creationId xmlns:a16="http://schemas.microsoft.com/office/drawing/2014/main" id="{38A0C344-7809-4F84-BDD0-06F9AA958CAE}"/>
            </a:ext>
          </a:extLst>
        </xdr:cNvPr>
        <xdr:cNvSpPr/>
      </xdr:nvSpPr>
      <xdr:spPr>
        <a:xfrm>
          <a:off x="172815974"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138</xdr:col>
      <xdr:colOff>363367</xdr:colOff>
      <xdr:row>1</xdr:row>
      <xdr:rowOff>59690</xdr:rowOff>
    </xdr:from>
    <xdr:to>
      <xdr:col>139</xdr:col>
      <xdr:colOff>250845</xdr:colOff>
      <xdr:row>1</xdr:row>
      <xdr:rowOff>553466</xdr:rowOff>
    </xdr:to>
    <xdr:sp macro="" textlink="">
      <xdr:nvSpPr>
        <xdr:cNvPr id="691" name="B GEN DATA PAGE">
          <a:hlinkClick xmlns:r="http://schemas.openxmlformats.org/officeDocument/2006/relationships" r:id="rId6" tooltip="Back to Navigation Page"/>
          <a:extLst>
            <a:ext uri="{FF2B5EF4-FFF2-40B4-BE49-F238E27FC236}">
              <a16:creationId xmlns:a16="http://schemas.microsoft.com/office/drawing/2014/main" id="{B5D4CE9A-B373-46DD-8C8E-B7B553DB166A}"/>
            </a:ext>
          </a:extLst>
        </xdr:cNvPr>
        <xdr:cNvSpPr/>
      </xdr:nvSpPr>
      <xdr:spPr>
        <a:xfrm>
          <a:off x="168245937"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148</xdr:col>
      <xdr:colOff>936688</xdr:colOff>
      <xdr:row>1</xdr:row>
      <xdr:rowOff>59690</xdr:rowOff>
    </xdr:from>
    <xdr:to>
      <xdr:col>149</xdr:col>
      <xdr:colOff>822351</xdr:colOff>
      <xdr:row>1</xdr:row>
      <xdr:rowOff>557276</xdr:rowOff>
    </xdr:to>
    <xdr:sp macro="" textlink="">
      <xdr:nvSpPr>
        <xdr:cNvPr id="692" name="B ALL DATA PAGE">
          <a:hlinkClick xmlns:r="http://schemas.openxmlformats.org/officeDocument/2006/relationships" r:id="rId7" tooltip="Back to All Data Page"/>
          <a:extLst>
            <a:ext uri="{FF2B5EF4-FFF2-40B4-BE49-F238E27FC236}">
              <a16:creationId xmlns:a16="http://schemas.microsoft.com/office/drawing/2014/main" id="{96C8AFFD-E58A-4337-A61E-329079A21691}"/>
            </a:ext>
          </a:extLst>
        </xdr:cNvPr>
        <xdr:cNvSpPr/>
      </xdr:nvSpPr>
      <xdr:spPr>
        <a:xfrm>
          <a:off x="180863938"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147</xdr:col>
      <xdr:colOff>1012844</xdr:colOff>
      <xdr:row>1</xdr:row>
      <xdr:rowOff>59690</xdr:rowOff>
    </xdr:from>
    <xdr:to>
      <xdr:col>148</xdr:col>
      <xdr:colOff>859259</xdr:colOff>
      <xdr:row>1</xdr:row>
      <xdr:rowOff>553466</xdr:rowOff>
    </xdr:to>
    <xdr:sp macro="" textlink="">
      <xdr:nvSpPr>
        <xdr:cNvPr id="693" name="B TERMS PAGE">
          <a:hlinkClick xmlns:r="http://schemas.openxmlformats.org/officeDocument/2006/relationships" r:id="rId8" tooltip="Back to Appendix &amp; Terms Page"/>
          <a:extLst>
            <a:ext uri="{FF2B5EF4-FFF2-40B4-BE49-F238E27FC236}">
              <a16:creationId xmlns:a16="http://schemas.microsoft.com/office/drawing/2014/main" id="{4D94621E-8EBD-410C-9078-D011FEC3155B}"/>
            </a:ext>
          </a:extLst>
        </xdr:cNvPr>
        <xdr:cNvSpPr/>
      </xdr:nvSpPr>
      <xdr:spPr>
        <a:xfrm>
          <a:off x="179731054"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146</xdr:col>
      <xdr:colOff>1050785</xdr:colOff>
      <xdr:row>1</xdr:row>
      <xdr:rowOff>59690</xdr:rowOff>
    </xdr:from>
    <xdr:to>
      <xdr:col>147</xdr:col>
      <xdr:colOff>937537</xdr:colOff>
      <xdr:row>1</xdr:row>
      <xdr:rowOff>553466</xdr:rowOff>
    </xdr:to>
    <xdr:sp macro="" textlink="">
      <xdr:nvSpPr>
        <xdr:cNvPr id="694" name="B PROV DET PAGE">
          <a:hlinkClick xmlns:r="http://schemas.openxmlformats.org/officeDocument/2006/relationships" r:id="rId9" tooltip="Back to Provider Page"/>
          <a:extLst>
            <a:ext uri="{FF2B5EF4-FFF2-40B4-BE49-F238E27FC236}">
              <a16:creationId xmlns:a16="http://schemas.microsoft.com/office/drawing/2014/main" id="{17A3A984-C3C4-4B94-B363-37A6C95F3A00}"/>
            </a:ext>
          </a:extLst>
        </xdr:cNvPr>
        <xdr:cNvSpPr/>
      </xdr:nvSpPr>
      <xdr:spPr>
        <a:xfrm>
          <a:off x="178587895"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143</xdr:col>
      <xdr:colOff>98977</xdr:colOff>
      <xdr:row>1</xdr:row>
      <xdr:rowOff>59690</xdr:rowOff>
    </xdr:from>
    <xdr:to>
      <xdr:col>143</xdr:col>
      <xdr:colOff>1128185</xdr:colOff>
      <xdr:row>1</xdr:row>
      <xdr:rowOff>553466</xdr:rowOff>
    </xdr:to>
    <xdr:sp macro="" textlink="">
      <xdr:nvSpPr>
        <xdr:cNvPr id="695" name="B IHSS PROG PAGE">
          <a:hlinkClick xmlns:r="http://schemas.openxmlformats.org/officeDocument/2006/relationships" r:id="rId10" tooltip="Back to Program Equity Page"/>
          <a:extLst>
            <a:ext uri="{FF2B5EF4-FFF2-40B4-BE49-F238E27FC236}">
              <a16:creationId xmlns:a16="http://schemas.microsoft.com/office/drawing/2014/main" id="{06533354-37E8-4545-B7E2-E059D157E314}"/>
            </a:ext>
          </a:extLst>
        </xdr:cNvPr>
        <xdr:cNvSpPr/>
      </xdr:nvSpPr>
      <xdr:spPr>
        <a:xfrm>
          <a:off x="173987377"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145</xdr:col>
      <xdr:colOff>1087153</xdr:colOff>
      <xdr:row>1</xdr:row>
      <xdr:rowOff>59690</xdr:rowOff>
    </xdr:from>
    <xdr:to>
      <xdr:col>146</xdr:col>
      <xdr:colOff>975175</xdr:colOff>
      <xdr:row>1</xdr:row>
      <xdr:rowOff>553466</xdr:rowOff>
    </xdr:to>
    <xdr:sp macro="" textlink="">
      <xdr:nvSpPr>
        <xdr:cNvPr id="696" name="B ETHNICITY PAGE">
          <a:hlinkClick xmlns:r="http://schemas.openxmlformats.org/officeDocument/2006/relationships" r:id="rId11" tooltip="Back to Ethnicity &amp; Language Page"/>
          <a:extLst>
            <a:ext uri="{FF2B5EF4-FFF2-40B4-BE49-F238E27FC236}">
              <a16:creationId xmlns:a16="http://schemas.microsoft.com/office/drawing/2014/main" id="{01EAD62F-FEAC-416E-90F2-89B908E8B8C3}"/>
            </a:ext>
          </a:extLst>
        </xdr:cNvPr>
        <xdr:cNvSpPr/>
      </xdr:nvSpPr>
      <xdr:spPr>
        <a:xfrm>
          <a:off x="177415223"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141</xdr:col>
      <xdr:colOff>213623</xdr:colOff>
      <xdr:row>1</xdr:row>
      <xdr:rowOff>59690</xdr:rowOff>
    </xdr:from>
    <xdr:to>
      <xdr:col>142</xdr:col>
      <xdr:colOff>57920</xdr:colOff>
      <xdr:row>1</xdr:row>
      <xdr:rowOff>553466</xdr:rowOff>
    </xdr:to>
    <xdr:sp macro="" textlink="">
      <xdr:nvSpPr>
        <xdr:cNvPr id="697" name="B GEN DATA PAGE">
          <a:hlinkClick xmlns:r="http://schemas.openxmlformats.org/officeDocument/2006/relationships" r:id="rId12" tooltip="IHSS Applicants Page (Current)"/>
          <a:extLst>
            <a:ext uri="{FF2B5EF4-FFF2-40B4-BE49-F238E27FC236}">
              <a16:creationId xmlns:a16="http://schemas.microsoft.com/office/drawing/2014/main" id="{403DE079-CF74-4EF1-8538-262B4DA90A90}"/>
            </a:ext>
          </a:extLst>
        </xdr:cNvPr>
        <xdr:cNvSpPr/>
      </xdr:nvSpPr>
      <xdr:spPr>
        <a:xfrm>
          <a:off x="171689023"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144</xdr:col>
      <xdr:colOff>23239</xdr:colOff>
      <xdr:row>1</xdr:row>
      <xdr:rowOff>59690</xdr:rowOff>
    </xdr:from>
    <xdr:to>
      <xdr:col>144</xdr:col>
      <xdr:colOff>1089277</xdr:colOff>
      <xdr:row>1</xdr:row>
      <xdr:rowOff>553466</xdr:rowOff>
    </xdr:to>
    <xdr:sp macro="" textlink="">
      <xdr:nvSpPr>
        <xdr:cNvPr id="698" name="B IHSS SERV PAGE">
          <a:hlinkClick xmlns:r="http://schemas.openxmlformats.org/officeDocument/2006/relationships" r:id="rId13" tooltip="IHSS Services Page (Current)"/>
          <a:extLst>
            <a:ext uri="{FF2B5EF4-FFF2-40B4-BE49-F238E27FC236}">
              <a16:creationId xmlns:a16="http://schemas.microsoft.com/office/drawing/2014/main" id="{F6FF4AA7-ED64-41E8-BC88-9DE54A7D38E0}"/>
            </a:ext>
          </a:extLst>
        </xdr:cNvPr>
        <xdr:cNvSpPr/>
      </xdr:nvSpPr>
      <xdr:spPr>
        <a:xfrm>
          <a:off x="175118139"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158</xdr:col>
      <xdr:colOff>783796</xdr:colOff>
      <xdr:row>1</xdr:row>
      <xdr:rowOff>59690</xdr:rowOff>
    </xdr:from>
    <xdr:to>
      <xdr:col>159</xdr:col>
      <xdr:colOff>631904</xdr:colOff>
      <xdr:row>1</xdr:row>
      <xdr:rowOff>553466</xdr:rowOff>
    </xdr:to>
    <xdr:sp macro="" textlink="">
      <xdr:nvSpPr>
        <xdr:cNvPr id="699" name="B AGE PAGE">
          <a:hlinkClick xmlns:r="http://schemas.openxmlformats.org/officeDocument/2006/relationships" r:id="rId2" tooltip="Age &amp; Gender Page (Current)"/>
          <a:extLst>
            <a:ext uri="{FF2B5EF4-FFF2-40B4-BE49-F238E27FC236}">
              <a16:creationId xmlns:a16="http://schemas.microsoft.com/office/drawing/2014/main" id="{D0EE1B00-4794-420B-8AC0-1F00CE3D6405}"/>
            </a:ext>
          </a:extLst>
        </xdr:cNvPr>
        <xdr:cNvSpPr/>
      </xdr:nvSpPr>
      <xdr:spPr>
        <a:xfrm>
          <a:off x="192776046"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152</xdr:col>
      <xdr:colOff>1126464</xdr:colOff>
      <xdr:row>1</xdr:row>
      <xdr:rowOff>59690</xdr:rowOff>
    </xdr:from>
    <xdr:to>
      <xdr:col>153</xdr:col>
      <xdr:colOff>989812</xdr:colOff>
      <xdr:row>1</xdr:row>
      <xdr:rowOff>553466</xdr:rowOff>
    </xdr:to>
    <xdr:sp macro="" textlink="">
      <xdr:nvSpPr>
        <xdr:cNvPr id="700" name="B HOME PAGE">
          <a:hlinkClick xmlns:r="http://schemas.openxmlformats.org/officeDocument/2006/relationships" r:id="rId3" tooltip="Back to Dashboard Page"/>
          <a:extLst>
            <a:ext uri="{FF2B5EF4-FFF2-40B4-BE49-F238E27FC236}">
              <a16:creationId xmlns:a16="http://schemas.microsoft.com/office/drawing/2014/main" id="{D3930B0F-3769-4F5F-A899-0812DF6BBD66}"/>
            </a:ext>
          </a:extLst>
        </xdr:cNvPr>
        <xdr:cNvSpPr/>
      </xdr:nvSpPr>
      <xdr:spPr>
        <a:xfrm>
          <a:off x="185879714"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153</xdr:col>
      <xdr:colOff>1051996</xdr:colOff>
      <xdr:row>1</xdr:row>
      <xdr:rowOff>59690</xdr:rowOff>
    </xdr:from>
    <xdr:to>
      <xdr:col>154</xdr:col>
      <xdr:colOff>936934</xdr:colOff>
      <xdr:row>1</xdr:row>
      <xdr:rowOff>553466</xdr:rowOff>
    </xdr:to>
    <xdr:sp macro="" textlink="">
      <xdr:nvSpPr>
        <xdr:cNvPr id="701" name="B GEN DATA PAGE">
          <a:hlinkClick xmlns:r="http://schemas.openxmlformats.org/officeDocument/2006/relationships" r:id="rId4" tooltip="Back to General Data Page"/>
          <a:extLst>
            <a:ext uri="{FF2B5EF4-FFF2-40B4-BE49-F238E27FC236}">
              <a16:creationId xmlns:a16="http://schemas.microsoft.com/office/drawing/2014/main" id="{48478884-08C4-4E9A-A67B-FDCF82A1EB6A}"/>
            </a:ext>
          </a:extLst>
        </xdr:cNvPr>
        <xdr:cNvSpPr/>
      </xdr:nvSpPr>
      <xdr:spPr>
        <a:xfrm>
          <a:off x="187020636"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155</xdr:col>
      <xdr:colOff>937349</xdr:colOff>
      <xdr:row>1</xdr:row>
      <xdr:rowOff>59690</xdr:rowOff>
    </xdr:from>
    <xdr:to>
      <xdr:col>156</xdr:col>
      <xdr:colOff>822288</xdr:colOff>
      <xdr:row>1</xdr:row>
      <xdr:rowOff>553466</xdr:rowOff>
    </xdr:to>
    <xdr:sp macro="" textlink="">
      <xdr:nvSpPr>
        <xdr:cNvPr id="702" name="B ABD PAGE">
          <a:hlinkClick xmlns:r="http://schemas.openxmlformats.org/officeDocument/2006/relationships" r:id="rId5" tooltip="Aged, Blind, or Disabled Page (Current)"/>
          <a:extLst>
            <a:ext uri="{FF2B5EF4-FFF2-40B4-BE49-F238E27FC236}">
              <a16:creationId xmlns:a16="http://schemas.microsoft.com/office/drawing/2014/main" id="{2F772952-9E00-43E6-B375-1B437526F81D}"/>
            </a:ext>
          </a:extLst>
        </xdr:cNvPr>
        <xdr:cNvSpPr/>
      </xdr:nvSpPr>
      <xdr:spPr>
        <a:xfrm>
          <a:off x="189303749"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151</xdr:col>
      <xdr:colOff>1168759</xdr:colOff>
      <xdr:row>1</xdr:row>
      <xdr:rowOff>59690</xdr:rowOff>
    </xdr:from>
    <xdr:to>
      <xdr:col>152</xdr:col>
      <xdr:colOff>1051580</xdr:colOff>
      <xdr:row>1</xdr:row>
      <xdr:rowOff>553466</xdr:rowOff>
    </xdr:to>
    <xdr:sp macro="" textlink="">
      <xdr:nvSpPr>
        <xdr:cNvPr id="703" name="B GEN DATA PAGE">
          <a:hlinkClick xmlns:r="http://schemas.openxmlformats.org/officeDocument/2006/relationships" r:id="rId6" tooltip="Back to Navigation Page"/>
          <a:extLst>
            <a:ext uri="{FF2B5EF4-FFF2-40B4-BE49-F238E27FC236}">
              <a16:creationId xmlns:a16="http://schemas.microsoft.com/office/drawing/2014/main" id="{D0F9E814-B69A-4E83-8BC0-38928BD5ECEA}"/>
            </a:ext>
          </a:extLst>
        </xdr:cNvPr>
        <xdr:cNvSpPr/>
      </xdr:nvSpPr>
      <xdr:spPr>
        <a:xfrm>
          <a:off x="184733712"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162</xdr:col>
      <xdr:colOff>518223</xdr:colOff>
      <xdr:row>1</xdr:row>
      <xdr:rowOff>59690</xdr:rowOff>
    </xdr:from>
    <xdr:to>
      <xdr:col>163</xdr:col>
      <xdr:colOff>406426</xdr:colOff>
      <xdr:row>1</xdr:row>
      <xdr:rowOff>557276</xdr:rowOff>
    </xdr:to>
    <xdr:sp macro="" textlink="">
      <xdr:nvSpPr>
        <xdr:cNvPr id="704" name="B ALL DATA PAGE">
          <a:hlinkClick xmlns:r="http://schemas.openxmlformats.org/officeDocument/2006/relationships" r:id="rId7" tooltip="Back to All Data Page"/>
          <a:extLst>
            <a:ext uri="{FF2B5EF4-FFF2-40B4-BE49-F238E27FC236}">
              <a16:creationId xmlns:a16="http://schemas.microsoft.com/office/drawing/2014/main" id="{EEA9D495-2A5B-462E-B9E2-10AAAC12A6DD}"/>
            </a:ext>
          </a:extLst>
        </xdr:cNvPr>
        <xdr:cNvSpPr/>
      </xdr:nvSpPr>
      <xdr:spPr>
        <a:xfrm>
          <a:off x="197351713"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161</xdr:col>
      <xdr:colOff>596919</xdr:colOff>
      <xdr:row>1</xdr:row>
      <xdr:rowOff>59690</xdr:rowOff>
    </xdr:from>
    <xdr:to>
      <xdr:col>162</xdr:col>
      <xdr:colOff>440794</xdr:colOff>
      <xdr:row>1</xdr:row>
      <xdr:rowOff>553466</xdr:rowOff>
    </xdr:to>
    <xdr:sp macro="" textlink="">
      <xdr:nvSpPr>
        <xdr:cNvPr id="705" name="B TERMS PAGE">
          <a:hlinkClick xmlns:r="http://schemas.openxmlformats.org/officeDocument/2006/relationships" r:id="rId8" tooltip="Back to Appendix &amp; Terms Page"/>
          <a:extLst>
            <a:ext uri="{FF2B5EF4-FFF2-40B4-BE49-F238E27FC236}">
              <a16:creationId xmlns:a16="http://schemas.microsoft.com/office/drawing/2014/main" id="{644E8C34-63C7-4CF8-9E48-809871A90AFF}"/>
            </a:ext>
          </a:extLst>
        </xdr:cNvPr>
        <xdr:cNvSpPr/>
      </xdr:nvSpPr>
      <xdr:spPr>
        <a:xfrm>
          <a:off x="196218829"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160</xdr:col>
      <xdr:colOff>670420</xdr:colOff>
      <xdr:row>1</xdr:row>
      <xdr:rowOff>59690</xdr:rowOff>
    </xdr:from>
    <xdr:to>
      <xdr:col>161</xdr:col>
      <xdr:colOff>516532</xdr:colOff>
      <xdr:row>1</xdr:row>
      <xdr:rowOff>553466</xdr:rowOff>
    </xdr:to>
    <xdr:sp macro="" textlink="">
      <xdr:nvSpPr>
        <xdr:cNvPr id="706" name="B PROV DET PAGE">
          <a:hlinkClick xmlns:r="http://schemas.openxmlformats.org/officeDocument/2006/relationships" r:id="rId9" tooltip="Back to Provider Page"/>
          <a:extLst>
            <a:ext uri="{FF2B5EF4-FFF2-40B4-BE49-F238E27FC236}">
              <a16:creationId xmlns:a16="http://schemas.microsoft.com/office/drawing/2014/main" id="{1F6510B1-BAB5-4FE3-BBA4-548DF7A5861F}"/>
            </a:ext>
          </a:extLst>
        </xdr:cNvPr>
        <xdr:cNvSpPr/>
      </xdr:nvSpPr>
      <xdr:spPr>
        <a:xfrm>
          <a:off x="195075670"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156</xdr:col>
      <xdr:colOff>899712</xdr:colOff>
      <xdr:row>1</xdr:row>
      <xdr:rowOff>59690</xdr:rowOff>
    </xdr:from>
    <xdr:to>
      <xdr:col>157</xdr:col>
      <xdr:colOff>745280</xdr:colOff>
      <xdr:row>1</xdr:row>
      <xdr:rowOff>553466</xdr:rowOff>
    </xdr:to>
    <xdr:sp macro="" textlink="">
      <xdr:nvSpPr>
        <xdr:cNvPr id="707" name="B IHSS PROG PAGE">
          <a:hlinkClick xmlns:r="http://schemas.openxmlformats.org/officeDocument/2006/relationships" r:id="rId10" tooltip="Back to Program Equity Page"/>
          <a:extLst>
            <a:ext uri="{FF2B5EF4-FFF2-40B4-BE49-F238E27FC236}">
              <a16:creationId xmlns:a16="http://schemas.microsoft.com/office/drawing/2014/main" id="{45329F6B-3D8F-4825-BB0E-FEA725452B77}"/>
            </a:ext>
          </a:extLst>
        </xdr:cNvPr>
        <xdr:cNvSpPr/>
      </xdr:nvSpPr>
      <xdr:spPr>
        <a:xfrm>
          <a:off x="190475152"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159</xdr:col>
      <xdr:colOff>708058</xdr:colOff>
      <xdr:row>1</xdr:row>
      <xdr:rowOff>59690</xdr:rowOff>
    </xdr:from>
    <xdr:to>
      <xdr:col>160</xdr:col>
      <xdr:colOff>555440</xdr:colOff>
      <xdr:row>1</xdr:row>
      <xdr:rowOff>553466</xdr:rowOff>
    </xdr:to>
    <xdr:sp macro="" textlink="">
      <xdr:nvSpPr>
        <xdr:cNvPr id="708" name="B ETHNICITY PAGE">
          <a:hlinkClick xmlns:r="http://schemas.openxmlformats.org/officeDocument/2006/relationships" r:id="rId11" tooltip="Back to Ethnicity &amp; Language Page"/>
          <a:extLst>
            <a:ext uri="{FF2B5EF4-FFF2-40B4-BE49-F238E27FC236}">
              <a16:creationId xmlns:a16="http://schemas.microsoft.com/office/drawing/2014/main" id="{EFFB1BDC-FD9D-4B90-9D77-A639DDFC7DF5}"/>
            </a:ext>
          </a:extLst>
        </xdr:cNvPr>
        <xdr:cNvSpPr/>
      </xdr:nvSpPr>
      <xdr:spPr>
        <a:xfrm>
          <a:off x="193902998"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154</xdr:col>
      <xdr:colOff>1013088</xdr:colOff>
      <xdr:row>1</xdr:row>
      <xdr:rowOff>59690</xdr:rowOff>
    </xdr:from>
    <xdr:to>
      <xdr:col>155</xdr:col>
      <xdr:colOff>862465</xdr:colOff>
      <xdr:row>1</xdr:row>
      <xdr:rowOff>553466</xdr:rowOff>
    </xdr:to>
    <xdr:sp macro="" textlink="">
      <xdr:nvSpPr>
        <xdr:cNvPr id="709" name="B GEN DATA PAGE">
          <a:hlinkClick xmlns:r="http://schemas.openxmlformats.org/officeDocument/2006/relationships" r:id="rId12" tooltip="IHSS Applicants Page (Current)"/>
          <a:extLst>
            <a:ext uri="{FF2B5EF4-FFF2-40B4-BE49-F238E27FC236}">
              <a16:creationId xmlns:a16="http://schemas.microsoft.com/office/drawing/2014/main" id="{1E229436-F411-456C-8269-383DA2FA916C}"/>
            </a:ext>
          </a:extLst>
        </xdr:cNvPr>
        <xdr:cNvSpPr/>
      </xdr:nvSpPr>
      <xdr:spPr>
        <a:xfrm>
          <a:off x="188176798"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157</xdr:col>
      <xdr:colOff>822704</xdr:colOff>
      <xdr:row>1</xdr:row>
      <xdr:rowOff>59690</xdr:rowOff>
    </xdr:from>
    <xdr:to>
      <xdr:col>158</xdr:col>
      <xdr:colOff>708912</xdr:colOff>
      <xdr:row>1</xdr:row>
      <xdr:rowOff>553466</xdr:rowOff>
    </xdr:to>
    <xdr:sp macro="" textlink="">
      <xdr:nvSpPr>
        <xdr:cNvPr id="710" name="B IHSS SERV PAGE">
          <a:hlinkClick xmlns:r="http://schemas.openxmlformats.org/officeDocument/2006/relationships" r:id="rId13" tooltip="IHSS Services Page (Current)"/>
          <a:extLst>
            <a:ext uri="{FF2B5EF4-FFF2-40B4-BE49-F238E27FC236}">
              <a16:creationId xmlns:a16="http://schemas.microsoft.com/office/drawing/2014/main" id="{794CBBF9-22B5-4E3D-9475-0783D38764C4}"/>
            </a:ext>
          </a:extLst>
        </xdr:cNvPr>
        <xdr:cNvSpPr/>
      </xdr:nvSpPr>
      <xdr:spPr>
        <a:xfrm>
          <a:off x="191605914"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172</xdr:col>
      <xdr:colOff>173561</xdr:colOff>
      <xdr:row>1</xdr:row>
      <xdr:rowOff>59690</xdr:rowOff>
    </xdr:from>
    <xdr:to>
      <xdr:col>173</xdr:col>
      <xdr:colOff>25479</xdr:colOff>
      <xdr:row>1</xdr:row>
      <xdr:rowOff>553466</xdr:rowOff>
    </xdr:to>
    <xdr:sp macro="" textlink="">
      <xdr:nvSpPr>
        <xdr:cNvPr id="711" name="B AGE PAGE">
          <a:hlinkClick xmlns:r="http://schemas.openxmlformats.org/officeDocument/2006/relationships" r:id="rId2" tooltip="Age &amp; Gender Page (Current)"/>
          <a:extLst>
            <a:ext uri="{FF2B5EF4-FFF2-40B4-BE49-F238E27FC236}">
              <a16:creationId xmlns:a16="http://schemas.microsoft.com/office/drawing/2014/main" id="{40EFCDA3-724F-420E-94CF-BE353E49649C}"/>
            </a:ext>
          </a:extLst>
        </xdr:cNvPr>
        <xdr:cNvSpPr/>
      </xdr:nvSpPr>
      <xdr:spPr>
        <a:xfrm>
          <a:off x="209073321"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166</xdr:col>
      <xdr:colOff>517499</xdr:colOff>
      <xdr:row>1</xdr:row>
      <xdr:rowOff>59690</xdr:rowOff>
    </xdr:from>
    <xdr:to>
      <xdr:col>167</xdr:col>
      <xdr:colOff>406247</xdr:colOff>
      <xdr:row>1</xdr:row>
      <xdr:rowOff>553466</xdr:rowOff>
    </xdr:to>
    <xdr:sp macro="" textlink="">
      <xdr:nvSpPr>
        <xdr:cNvPr id="712" name="B HOME PAGE">
          <a:hlinkClick xmlns:r="http://schemas.openxmlformats.org/officeDocument/2006/relationships" r:id="rId3" tooltip="Back to Dashboard Page"/>
          <a:extLst>
            <a:ext uri="{FF2B5EF4-FFF2-40B4-BE49-F238E27FC236}">
              <a16:creationId xmlns:a16="http://schemas.microsoft.com/office/drawing/2014/main" id="{18F415E6-AE7C-4ACC-9A51-44D370AFEA23}"/>
            </a:ext>
          </a:extLst>
        </xdr:cNvPr>
        <xdr:cNvSpPr/>
      </xdr:nvSpPr>
      <xdr:spPr>
        <a:xfrm>
          <a:off x="202176989"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167</xdr:col>
      <xdr:colOff>441761</xdr:colOff>
      <xdr:row>1</xdr:row>
      <xdr:rowOff>59690</xdr:rowOff>
    </xdr:from>
    <xdr:to>
      <xdr:col>168</xdr:col>
      <xdr:colOff>330509</xdr:colOff>
      <xdr:row>1</xdr:row>
      <xdr:rowOff>553466</xdr:rowOff>
    </xdr:to>
    <xdr:sp macro="" textlink="">
      <xdr:nvSpPr>
        <xdr:cNvPr id="713" name="B GEN DATA PAGE">
          <a:hlinkClick xmlns:r="http://schemas.openxmlformats.org/officeDocument/2006/relationships" r:id="rId4" tooltip="Back to General Data Page"/>
          <a:extLst>
            <a:ext uri="{FF2B5EF4-FFF2-40B4-BE49-F238E27FC236}">
              <a16:creationId xmlns:a16="http://schemas.microsoft.com/office/drawing/2014/main" id="{47C298BC-D627-45BE-BAD0-47AB98F52058}"/>
            </a:ext>
          </a:extLst>
        </xdr:cNvPr>
        <xdr:cNvSpPr/>
      </xdr:nvSpPr>
      <xdr:spPr>
        <a:xfrm>
          <a:off x="203317911"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169</xdr:col>
      <xdr:colOff>325844</xdr:colOff>
      <xdr:row>1</xdr:row>
      <xdr:rowOff>59690</xdr:rowOff>
    </xdr:from>
    <xdr:to>
      <xdr:col>170</xdr:col>
      <xdr:colOff>212053</xdr:colOff>
      <xdr:row>1</xdr:row>
      <xdr:rowOff>553466</xdr:rowOff>
    </xdr:to>
    <xdr:sp macro="" textlink="">
      <xdr:nvSpPr>
        <xdr:cNvPr id="714" name="B ABD PAGE">
          <a:hlinkClick xmlns:r="http://schemas.openxmlformats.org/officeDocument/2006/relationships" r:id="rId5" tooltip="Aged, Blind, or Disabled Page (Current)"/>
          <a:extLst>
            <a:ext uri="{FF2B5EF4-FFF2-40B4-BE49-F238E27FC236}">
              <a16:creationId xmlns:a16="http://schemas.microsoft.com/office/drawing/2014/main" id="{11820BCB-B70F-458D-AE67-36B336716328}"/>
            </a:ext>
          </a:extLst>
        </xdr:cNvPr>
        <xdr:cNvSpPr/>
      </xdr:nvSpPr>
      <xdr:spPr>
        <a:xfrm>
          <a:off x="205601024"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165</xdr:col>
      <xdr:colOff>593237</xdr:colOff>
      <xdr:row>1</xdr:row>
      <xdr:rowOff>59690</xdr:rowOff>
    </xdr:from>
    <xdr:to>
      <xdr:col>166</xdr:col>
      <xdr:colOff>443885</xdr:colOff>
      <xdr:row>1</xdr:row>
      <xdr:rowOff>553466</xdr:rowOff>
    </xdr:to>
    <xdr:sp macro="" textlink="">
      <xdr:nvSpPr>
        <xdr:cNvPr id="715" name="B GEN DATA PAGE">
          <a:hlinkClick xmlns:r="http://schemas.openxmlformats.org/officeDocument/2006/relationships" r:id="rId6" tooltip="Back to Navigation Page"/>
          <a:extLst>
            <a:ext uri="{FF2B5EF4-FFF2-40B4-BE49-F238E27FC236}">
              <a16:creationId xmlns:a16="http://schemas.microsoft.com/office/drawing/2014/main" id="{0C433647-94AA-4667-89BD-024319C8A3D4}"/>
            </a:ext>
          </a:extLst>
        </xdr:cNvPr>
        <xdr:cNvSpPr/>
      </xdr:nvSpPr>
      <xdr:spPr>
        <a:xfrm>
          <a:off x="201030987"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175</xdr:col>
      <xdr:colOff>1127188</xdr:colOff>
      <xdr:row>1</xdr:row>
      <xdr:rowOff>59690</xdr:rowOff>
    </xdr:from>
    <xdr:to>
      <xdr:col>176</xdr:col>
      <xdr:colOff>1012851</xdr:colOff>
      <xdr:row>1</xdr:row>
      <xdr:rowOff>557276</xdr:rowOff>
    </xdr:to>
    <xdr:sp macro="" textlink="">
      <xdr:nvSpPr>
        <xdr:cNvPr id="716" name="B ALL DATA PAGE">
          <a:hlinkClick xmlns:r="http://schemas.openxmlformats.org/officeDocument/2006/relationships" r:id="rId7" tooltip="Back to All Data Page"/>
          <a:extLst>
            <a:ext uri="{FF2B5EF4-FFF2-40B4-BE49-F238E27FC236}">
              <a16:creationId xmlns:a16="http://schemas.microsoft.com/office/drawing/2014/main" id="{E737D56D-F4B2-4587-926D-1D61B1A814F6}"/>
            </a:ext>
          </a:extLst>
        </xdr:cNvPr>
        <xdr:cNvSpPr/>
      </xdr:nvSpPr>
      <xdr:spPr>
        <a:xfrm>
          <a:off x="213648988"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175</xdr:col>
      <xdr:colOff>24784</xdr:colOff>
      <xdr:row>1</xdr:row>
      <xdr:rowOff>59690</xdr:rowOff>
    </xdr:from>
    <xdr:to>
      <xdr:col>175</xdr:col>
      <xdr:colOff>1048489</xdr:colOff>
      <xdr:row>1</xdr:row>
      <xdr:rowOff>553466</xdr:rowOff>
    </xdr:to>
    <xdr:sp macro="" textlink="">
      <xdr:nvSpPr>
        <xdr:cNvPr id="717" name="B TERMS PAGE">
          <a:hlinkClick xmlns:r="http://schemas.openxmlformats.org/officeDocument/2006/relationships" r:id="rId8" tooltip="Back to Appendix &amp; Terms Page"/>
          <a:extLst>
            <a:ext uri="{FF2B5EF4-FFF2-40B4-BE49-F238E27FC236}">
              <a16:creationId xmlns:a16="http://schemas.microsoft.com/office/drawing/2014/main" id="{1780C735-09AC-4F4E-AE0C-0A64C27B5B0B}"/>
            </a:ext>
          </a:extLst>
        </xdr:cNvPr>
        <xdr:cNvSpPr/>
      </xdr:nvSpPr>
      <xdr:spPr>
        <a:xfrm>
          <a:off x="212516104"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174</xdr:col>
      <xdr:colOff>60185</xdr:colOff>
      <xdr:row>1</xdr:row>
      <xdr:rowOff>59690</xdr:rowOff>
    </xdr:from>
    <xdr:to>
      <xdr:col>174</xdr:col>
      <xdr:colOff>1125497</xdr:colOff>
      <xdr:row>1</xdr:row>
      <xdr:rowOff>553466</xdr:rowOff>
    </xdr:to>
    <xdr:sp macro="" textlink="">
      <xdr:nvSpPr>
        <xdr:cNvPr id="718" name="B PROV DET PAGE">
          <a:hlinkClick xmlns:r="http://schemas.openxmlformats.org/officeDocument/2006/relationships" r:id="rId9" tooltip="Back to Provider Page"/>
          <a:extLst>
            <a:ext uri="{FF2B5EF4-FFF2-40B4-BE49-F238E27FC236}">
              <a16:creationId xmlns:a16="http://schemas.microsoft.com/office/drawing/2014/main" id="{854B4664-0C36-46E0-AEA6-5FFABB76068E}"/>
            </a:ext>
          </a:extLst>
        </xdr:cNvPr>
        <xdr:cNvSpPr/>
      </xdr:nvSpPr>
      <xdr:spPr>
        <a:xfrm>
          <a:off x="211372945"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170</xdr:col>
      <xdr:colOff>292017</xdr:colOff>
      <xdr:row>1</xdr:row>
      <xdr:rowOff>59690</xdr:rowOff>
    </xdr:from>
    <xdr:to>
      <xdr:col>171</xdr:col>
      <xdr:colOff>135045</xdr:colOff>
      <xdr:row>1</xdr:row>
      <xdr:rowOff>553466</xdr:rowOff>
    </xdr:to>
    <xdr:sp macro="" textlink="">
      <xdr:nvSpPr>
        <xdr:cNvPr id="719" name="B IHSS PROG PAGE">
          <a:hlinkClick xmlns:r="http://schemas.openxmlformats.org/officeDocument/2006/relationships" r:id="rId10" tooltip="Back to Program Equity Page"/>
          <a:extLst>
            <a:ext uri="{FF2B5EF4-FFF2-40B4-BE49-F238E27FC236}">
              <a16:creationId xmlns:a16="http://schemas.microsoft.com/office/drawing/2014/main" id="{FC3D9797-2950-4768-93FC-A4C8A6786616}"/>
            </a:ext>
          </a:extLst>
        </xdr:cNvPr>
        <xdr:cNvSpPr/>
      </xdr:nvSpPr>
      <xdr:spPr>
        <a:xfrm>
          <a:off x="206772427"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173</xdr:col>
      <xdr:colOff>96553</xdr:colOff>
      <xdr:row>1</xdr:row>
      <xdr:rowOff>59690</xdr:rowOff>
    </xdr:from>
    <xdr:to>
      <xdr:col>173</xdr:col>
      <xdr:colOff>1163982</xdr:colOff>
      <xdr:row>1</xdr:row>
      <xdr:rowOff>553466</xdr:rowOff>
    </xdr:to>
    <xdr:sp macro="" textlink="">
      <xdr:nvSpPr>
        <xdr:cNvPr id="720" name="B ETHNICITY PAGE">
          <a:hlinkClick xmlns:r="http://schemas.openxmlformats.org/officeDocument/2006/relationships" r:id="rId11" tooltip="Back to Ethnicity &amp; Language Page"/>
          <a:extLst>
            <a:ext uri="{FF2B5EF4-FFF2-40B4-BE49-F238E27FC236}">
              <a16:creationId xmlns:a16="http://schemas.microsoft.com/office/drawing/2014/main" id="{F8C34374-D09C-48EA-BCB7-57A5E1D39F68}"/>
            </a:ext>
          </a:extLst>
        </xdr:cNvPr>
        <xdr:cNvSpPr/>
      </xdr:nvSpPr>
      <xdr:spPr>
        <a:xfrm>
          <a:off x="210200273"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168</xdr:col>
      <xdr:colOff>401583</xdr:colOff>
      <xdr:row>1</xdr:row>
      <xdr:rowOff>59690</xdr:rowOff>
    </xdr:from>
    <xdr:to>
      <xdr:col>169</xdr:col>
      <xdr:colOff>287790</xdr:colOff>
      <xdr:row>1</xdr:row>
      <xdr:rowOff>553466</xdr:rowOff>
    </xdr:to>
    <xdr:sp macro="" textlink="">
      <xdr:nvSpPr>
        <xdr:cNvPr id="721" name="B GEN DATA PAGE">
          <a:hlinkClick xmlns:r="http://schemas.openxmlformats.org/officeDocument/2006/relationships" r:id="rId12" tooltip="IHSS Applicants Page (Current)"/>
          <a:extLst>
            <a:ext uri="{FF2B5EF4-FFF2-40B4-BE49-F238E27FC236}">
              <a16:creationId xmlns:a16="http://schemas.microsoft.com/office/drawing/2014/main" id="{76CBA0C6-2A2A-4CE6-9D4A-D4ABB1C45B65}"/>
            </a:ext>
          </a:extLst>
        </xdr:cNvPr>
        <xdr:cNvSpPr/>
      </xdr:nvSpPr>
      <xdr:spPr>
        <a:xfrm>
          <a:off x="204474073"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171</xdr:col>
      <xdr:colOff>216279</xdr:colOff>
      <xdr:row>1</xdr:row>
      <xdr:rowOff>59690</xdr:rowOff>
    </xdr:from>
    <xdr:to>
      <xdr:col>172</xdr:col>
      <xdr:colOff>101217</xdr:colOff>
      <xdr:row>1</xdr:row>
      <xdr:rowOff>553466</xdr:rowOff>
    </xdr:to>
    <xdr:sp macro="" textlink="">
      <xdr:nvSpPr>
        <xdr:cNvPr id="722" name="B IHSS SERV PAGE">
          <a:hlinkClick xmlns:r="http://schemas.openxmlformats.org/officeDocument/2006/relationships" r:id="rId13" tooltip="IHSS Services Page (Current)"/>
          <a:extLst>
            <a:ext uri="{FF2B5EF4-FFF2-40B4-BE49-F238E27FC236}">
              <a16:creationId xmlns:a16="http://schemas.microsoft.com/office/drawing/2014/main" id="{4126B020-4958-496B-AE25-7FE9627081A7}"/>
            </a:ext>
          </a:extLst>
        </xdr:cNvPr>
        <xdr:cNvSpPr/>
      </xdr:nvSpPr>
      <xdr:spPr>
        <a:xfrm>
          <a:off x="207903189"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172</xdr:col>
      <xdr:colOff>178006</xdr:colOff>
      <xdr:row>1</xdr:row>
      <xdr:rowOff>59690</xdr:rowOff>
    </xdr:from>
    <xdr:to>
      <xdr:col>173</xdr:col>
      <xdr:colOff>22304</xdr:colOff>
      <xdr:row>1</xdr:row>
      <xdr:rowOff>553466</xdr:rowOff>
    </xdr:to>
    <xdr:sp macro="" textlink="">
      <xdr:nvSpPr>
        <xdr:cNvPr id="723" name="B AGE PAGE">
          <a:hlinkClick xmlns:r="http://schemas.openxmlformats.org/officeDocument/2006/relationships" r:id="rId2" tooltip="Age &amp; Gender Page (Current)"/>
          <a:extLst>
            <a:ext uri="{FF2B5EF4-FFF2-40B4-BE49-F238E27FC236}">
              <a16:creationId xmlns:a16="http://schemas.microsoft.com/office/drawing/2014/main" id="{DC691692-0143-4980-875F-8C2A6DDBBB93}"/>
            </a:ext>
          </a:extLst>
        </xdr:cNvPr>
        <xdr:cNvSpPr/>
      </xdr:nvSpPr>
      <xdr:spPr>
        <a:xfrm>
          <a:off x="209057446"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166</xdr:col>
      <xdr:colOff>516864</xdr:colOff>
      <xdr:row>1</xdr:row>
      <xdr:rowOff>59690</xdr:rowOff>
    </xdr:from>
    <xdr:to>
      <xdr:col>167</xdr:col>
      <xdr:colOff>380212</xdr:colOff>
      <xdr:row>1</xdr:row>
      <xdr:rowOff>553466</xdr:rowOff>
    </xdr:to>
    <xdr:sp macro="" textlink="">
      <xdr:nvSpPr>
        <xdr:cNvPr id="724" name="B HOME PAGE">
          <a:hlinkClick xmlns:r="http://schemas.openxmlformats.org/officeDocument/2006/relationships" r:id="rId3" tooltip="Back to Dashboard Page"/>
          <a:extLst>
            <a:ext uri="{FF2B5EF4-FFF2-40B4-BE49-F238E27FC236}">
              <a16:creationId xmlns:a16="http://schemas.microsoft.com/office/drawing/2014/main" id="{A34A84BA-EB46-4569-8665-BE978DF90F01}"/>
            </a:ext>
          </a:extLst>
        </xdr:cNvPr>
        <xdr:cNvSpPr/>
      </xdr:nvSpPr>
      <xdr:spPr>
        <a:xfrm>
          <a:off x="202161114"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167</xdr:col>
      <xdr:colOff>442396</xdr:colOff>
      <xdr:row>1</xdr:row>
      <xdr:rowOff>59690</xdr:rowOff>
    </xdr:from>
    <xdr:to>
      <xdr:col>168</xdr:col>
      <xdr:colOff>327334</xdr:colOff>
      <xdr:row>1</xdr:row>
      <xdr:rowOff>553466</xdr:rowOff>
    </xdr:to>
    <xdr:sp macro="" textlink="">
      <xdr:nvSpPr>
        <xdr:cNvPr id="725" name="B GEN DATA PAGE">
          <a:hlinkClick xmlns:r="http://schemas.openxmlformats.org/officeDocument/2006/relationships" r:id="rId4" tooltip="Back to General Data Page"/>
          <a:extLst>
            <a:ext uri="{FF2B5EF4-FFF2-40B4-BE49-F238E27FC236}">
              <a16:creationId xmlns:a16="http://schemas.microsoft.com/office/drawing/2014/main" id="{D3D631EE-E1C4-4D47-B2DA-51C1DE33E9C5}"/>
            </a:ext>
          </a:extLst>
        </xdr:cNvPr>
        <xdr:cNvSpPr/>
      </xdr:nvSpPr>
      <xdr:spPr>
        <a:xfrm>
          <a:off x="203302036"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169</xdr:col>
      <xdr:colOff>327749</xdr:colOff>
      <xdr:row>1</xdr:row>
      <xdr:rowOff>59690</xdr:rowOff>
    </xdr:from>
    <xdr:to>
      <xdr:col>170</xdr:col>
      <xdr:colOff>216498</xdr:colOff>
      <xdr:row>1</xdr:row>
      <xdr:rowOff>553466</xdr:rowOff>
    </xdr:to>
    <xdr:sp macro="" textlink="">
      <xdr:nvSpPr>
        <xdr:cNvPr id="726" name="B ABD PAGE">
          <a:hlinkClick xmlns:r="http://schemas.openxmlformats.org/officeDocument/2006/relationships" r:id="rId5" tooltip="Aged, Blind, or Disabled Page (Current)"/>
          <a:extLst>
            <a:ext uri="{FF2B5EF4-FFF2-40B4-BE49-F238E27FC236}">
              <a16:creationId xmlns:a16="http://schemas.microsoft.com/office/drawing/2014/main" id="{942EFC03-DB95-44F1-A9C3-ED1E7726CDFD}"/>
            </a:ext>
          </a:extLst>
        </xdr:cNvPr>
        <xdr:cNvSpPr/>
      </xdr:nvSpPr>
      <xdr:spPr>
        <a:xfrm>
          <a:off x="205585149"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165</xdr:col>
      <xdr:colOff>554502</xdr:colOff>
      <xdr:row>1</xdr:row>
      <xdr:rowOff>59690</xdr:rowOff>
    </xdr:from>
    <xdr:to>
      <xdr:col>166</xdr:col>
      <xdr:colOff>441980</xdr:colOff>
      <xdr:row>1</xdr:row>
      <xdr:rowOff>553466</xdr:rowOff>
    </xdr:to>
    <xdr:sp macro="" textlink="">
      <xdr:nvSpPr>
        <xdr:cNvPr id="727" name="B GEN DATA PAGE">
          <a:hlinkClick xmlns:r="http://schemas.openxmlformats.org/officeDocument/2006/relationships" r:id="rId6" tooltip="Back to Navigation Page"/>
          <a:extLst>
            <a:ext uri="{FF2B5EF4-FFF2-40B4-BE49-F238E27FC236}">
              <a16:creationId xmlns:a16="http://schemas.microsoft.com/office/drawing/2014/main" id="{DD14F50A-5D16-40FB-8FFF-E527E9B34134}"/>
            </a:ext>
          </a:extLst>
        </xdr:cNvPr>
        <xdr:cNvSpPr/>
      </xdr:nvSpPr>
      <xdr:spPr>
        <a:xfrm>
          <a:off x="201015112"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175</xdr:col>
      <xdr:colOff>1127823</xdr:colOff>
      <xdr:row>1</xdr:row>
      <xdr:rowOff>59690</xdr:rowOff>
    </xdr:from>
    <xdr:to>
      <xdr:col>176</xdr:col>
      <xdr:colOff>1012216</xdr:colOff>
      <xdr:row>1</xdr:row>
      <xdr:rowOff>557276</xdr:rowOff>
    </xdr:to>
    <xdr:sp macro="" textlink="">
      <xdr:nvSpPr>
        <xdr:cNvPr id="728" name="B ALL DATA PAGE">
          <a:hlinkClick xmlns:r="http://schemas.openxmlformats.org/officeDocument/2006/relationships" r:id="rId7" tooltip="Back to All Data Page"/>
          <a:extLst>
            <a:ext uri="{FF2B5EF4-FFF2-40B4-BE49-F238E27FC236}">
              <a16:creationId xmlns:a16="http://schemas.microsoft.com/office/drawing/2014/main" id="{C4E22B23-A3DC-44F9-9C71-824D7DD48F0E}"/>
            </a:ext>
          </a:extLst>
        </xdr:cNvPr>
        <xdr:cNvSpPr/>
      </xdr:nvSpPr>
      <xdr:spPr>
        <a:xfrm>
          <a:off x="213633113"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174</xdr:col>
      <xdr:colOff>1166725</xdr:colOff>
      <xdr:row>1</xdr:row>
      <xdr:rowOff>59690</xdr:rowOff>
    </xdr:from>
    <xdr:to>
      <xdr:col>175</xdr:col>
      <xdr:colOff>1054204</xdr:colOff>
      <xdr:row>1</xdr:row>
      <xdr:rowOff>553466</xdr:rowOff>
    </xdr:to>
    <xdr:sp macro="" textlink="">
      <xdr:nvSpPr>
        <xdr:cNvPr id="729" name="B TERMS PAGE">
          <a:hlinkClick xmlns:r="http://schemas.openxmlformats.org/officeDocument/2006/relationships" r:id="rId8" tooltip="Back to Appendix &amp; Terms Page"/>
          <a:extLst>
            <a:ext uri="{FF2B5EF4-FFF2-40B4-BE49-F238E27FC236}">
              <a16:creationId xmlns:a16="http://schemas.microsoft.com/office/drawing/2014/main" id="{E69127A6-09E1-4223-B0E5-98296D44B97D}"/>
            </a:ext>
          </a:extLst>
        </xdr:cNvPr>
        <xdr:cNvSpPr/>
      </xdr:nvSpPr>
      <xdr:spPr>
        <a:xfrm>
          <a:off x="212500229"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174</xdr:col>
      <xdr:colOff>59550</xdr:colOff>
      <xdr:row>1</xdr:row>
      <xdr:rowOff>59690</xdr:rowOff>
    </xdr:from>
    <xdr:to>
      <xdr:col>174</xdr:col>
      <xdr:colOff>1127402</xdr:colOff>
      <xdr:row>1</xdr:row>
      <xdr:rowOff>553466</xdr:rowOff>
    </xdr:to>
    <xdr:sp macro="" textlink="">
      <xdr:nvSpPr>
        <xdr:cNvPr id="730" name="B PROV DET PAGE">
          <a:hlinkClick xmlns:r="http://schemas.openxmlformats.org/officeDocument/2006/relationships" r:id="rId9" tooltip="Back to Provider Page"/>
          <a:extLst>
            <a:ext uri="{FF2B5EF4-FFF2-40B4-BE49-F238E27FC236}">
              <a16:creationId xmlns:a16="http://schemas.microsoft.com/office/drawing/2014/main" id="{304A7ECF-82FC-4AB8-8B6C-F5FD003B336F}"/>
            </a:ext>
          </a:extLst>
        </xdr:cNvPr>
        <xdr:cNvSpPr/>
      </xdr:nvSpPr>
      <xdr:spPr>
        <a:xfrm>
          <a:off x="211357070"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170</xdr:col>
      <xdr:colOff>290112</xdr:colOff>
      <xdr:row>1</xdr:row>
      <xdr:rowOff>59690</xdr:rowOff>
    </xdr:from>
    <xdr:to>
      <xdr:col>171</xdr:col>
      <xdr:colOff>139490</xdr:colOff>
      <xdr:row>1</xdr:row>
      <xdr:rowOff>553466</xdr:rowOff>
    </xdr:to>
    <xdr:sp macro="" textlink="">
      <xdr:nvSpPr>
        <xdr:cNvPr id="731" name="B IHSS PROG PAGE">
          <a:hlinkClick xmlns:r="http://schemas.openxmlformats.org/officeDocument/2006/relationships" r:id="rId10" tooltip="Back to Program Equity Page"/>
          <a:extLst>
            <a:ext uri="{FF2B5EF4-FFF2-40B4-BE49-F238E27FC236}">
              <a16:creationId xmlns:a16="http://schemas.microsoft.com/office/drawing/2014/main" id="{0E6813F0-520D-45D6-B120-4245F97494E4}"/>
            </a:ext>
          </a:extLst>
        </xdr:cNvPr>
        <xdr:cNvSpPr/>
      </xdr:nvSpPr>
      <xdr:spPr>
        <a:xfrm>
          <a:off x="206756552"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173</xdr:col>
      <xdr:colOff>97188</xdr:colOff>
      <xdr:row>1</xdr:row>
      <xdr:rowOff>59690</xdr:rowOff>
    </xdr:from>
    <xdr:to>
      <xdr:col>173</xdr:col>
      <xdr:colOff>1168427</xdr:colOff>
      <xdr:row>1</xdr:row>
      <xdr:rowOff>553466</xdr:rowOff>
    </xdr:to>
    <xdr:sp macro="" textlink="">
      <xdr:nvSpPr>
        <xdr:cNvPr id="732" name="B ETHNICITY PAGE">
          <a:hlinkClick xmlns:r="http://schemas.openxmlformats.org/officeDocument/2006/relationships" r:id="rId11" tooltip="Back to Ethnicity &amp; Language Page"/>
          <a:extLst>
            <a:ext uri="{FF2B5EF4-FFF2-40B4-BE49-F238E27FC236}">
              <a16:creationId xmlns:a16="http://schemas.microsoft.com/office/drawing/2014/main" id="{10B78C50-0C16-4B47-B022-F30727026476}"/>
            </a:ext>
          </a:extLst>
        </xdr:cNvPr>
        <xdr:cNvSpPr/>
      </xdr:nvSpPr>
      <xdr:spPr>
        <a:xfrm>
          <a:off x="210184398"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168</xdr:col>
      <xdr:colOff>403488</xdr:colOff>
      <xdr:row>1</xdr:row>
      <xdr:rowOff>59690</xdr:rowOff>
    </xdr:from>
    <xdr:to>
      <xdr:col>169</xdr:col>
      <xdr:colOff>252865</xdr:colOff>
      <xdr:row>1</xdr:row>
      <xdr:rowOff>553466</xdr:rowOff>
    </xdr:to>
    <xdr:sp macro="" textlink="">
      <xdr:nvSpPr>
        <xdr:cNvPr id="733" name="B GEN DATA PAGE">
          <a:hlinkClick xmlns:r="http://schemas.openxmlformats.org/officeDocument/2006/relationships" r:id="rId12" tooltip="IHSS Applicants Page (Current)"/>
          <a:extLst>
            <a:ext uri="{FF2B5EF4-FFF2-40B4-BE49-F238E27FC236}">
              <a16:creationId xmlns:a16="http://schemas.microsoft.com/office/drawing/2014/main" id="{C87F6BB3-24E2-4797-A3DC-5D3EA57691B4}"/>
            </a:ext>
          </a:extLst>
        </xdr:cNvPr>
        <xdr:cNvSpPr/>
      </xdr:nvSpPr>
      <xdr:spPr>
        <a:xfrm>
          <a:off x="204458198"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171</xdr:col>
      <xdr:colOff>213104</xdr:colOff>
      <xdr:row>1</xdr:row>
      <xdr:rowOff>59690</xdr:rowOff>
    </xdr:from>
    <xdr:to>
      <xdr:col>172</xdr:col>
      <xdr:colOff>98042</xdr:colOff>
      <xdr:row>1</xdr:row>
      <xdr:rowOff>553466</xdr:rowOff>
    </xdr:to>
    <xdr:sp macro="" textlink="">
      <xdr:nvSpPr>
        <xdr:cNvPr id="734" name="B IHSS SERV PAGE">
          <a:hlinkClick xmlns:r="http://schemas.openxmlformats.org/officeDocument/2006/relationships" r:id="rId13" tooltip="IHSS Services Page (Current)"/>
          <a:extLst>
            <a:ext uri="{FF2B5EF4-FFF2-40B4-BE49-F238E27FC236}">
              <a16:creationId xmlns:a16="http://schemas.microsoft.com/office/drawing/2014/main" id="{B84B8FB4-6616-4DFE-A54C-62917465AE39}"/>
            </a:ext>
          </a:extLst>
        </xdr:cNvPr>
        <xdr:cNvSpPr/>
      </xdr:nvSpPr>
      <xdr:spPr>
        <a:xfrm>
          <a:off x="207887314"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185</xdr:col>
      <xdr:colOff>1162891</xdr:colOff>
      <xdr:row>1</xdr:row>
      <xdr:rowOff>59690</xdr:rowOff>
    </xdr:from>
    <xdr:to>
      <xdr:col>186</xdr:col>
      <xdr:colOff>1013962</xdr:colOff>
      <xdr:row>1</xdr:row>
      <xdr:rowOff>553466</xdr:rowOff>
    </xdr:to>
    <xdr:sp macro="" textlink="">
      <xdr:nvSpPr>
        <xdr:cNvPr id="735" name="B AGE PAGE">
          <a:hlinkClick xmlns:r="http://schemas.openxmlformats.org/officeDocument/2006/relationships" r:id="rId2" tooltip="Age &amp; Gender Page (Current)"/>
          <a:extLst>
            <a:ext uri="{FF2B5EF4-FFF2-40B4-BE49-F238E27FC236}">
              <a16:creationId xmlns:a16="http://schemas.microsoft.com/office/drawing/2014/main" id="{BA17AFA0-4BD5-418E-8BAC-238DE69F66DE}"/>
            </a:ext>
          </a:extLst>
        </xdr:cNvPr>
        <xdr:cNvSpPr/>
      </xdr:nvSpPr>
      <xdr:spPr>
        <a:xfrm>
          <a:off x="225752654"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180</xdr:col>
      <xdr:colOff>327422</xdr:colOff>
      <xdr:row>1</xdr:row>
      <xdr:rowOff>59690</xdr:rowOff>
    </xdr:from>
    <xdr:to>
      <xdr:col>181</xdr:col>
      <xdr:colOff>175530</xdr:colOff>
      <xdr:row>1</xdr:row>
      <xdr:rowOff>553466</xdr:rowOff>
    </xdr:to>
    <xdr:sp macro="" textlink="">
      <xdr:nvSpPr>
        <xdr:cNvPr id="736" name="B HOME PAGE">
          <a:hlinkClick xmlns:r="http://schemas.openxmlformats.org/officeDocument/2006/relationships" r:id="rId3" tooltip="Back to Dashboard Page"/>
          <a:extLst>
            <a:ext uri="{FF2B5EF4-FFF2-40B4-BE49-F238E27FC236}">
              <a16:creationId xmlns:a16="http://schemas.microsoft.com/office/drawing/2014/main" id="{D7B0BBF5-EA85-4725-8CB6-6A4169C554B3}"/>
            </a:ext>
          </a:extLst>
        </xdr:cNvPr>
        <xdr:cNvSpPr/>
      </xdr:nvSpPr>
      <xdr:spPr>
        <a:xfrm>
          <a:off x="218856322"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181</xdr:col>
      <xdr:colOff>254224</xdr:colOff>
      <xdr:row>1</xdr:row>
      <xdr:rowOff>59690</xdr:rowOff>
    </xdr:from>
    <xdr:to>
      <xdr:col>182</xdr:col>
      <xdr:colOff>139162</xdr:colOff>
      <xdr:row>1</xdr:row>
      <xdr:rowOff>553466</xdr:rowOff>
    </xdr:to>
    <xdr:sp macro="" textlink="">
      <xdr:nvSpPr>
        <xdr:cNvPr id="737" name="B GEN DATA PAGE">
          <a:hlinkClick xmlns:r="http://schemas.openxmlformats.org/officeDocument/2006/relationships" r:id="rId4" tooltip="Back to General Data Page"/>
          <a:extLst>
            <a:ext uri="{FF2B5EF4-FFF2-40B4-BE49-F238E27FC236}">
              <a16:creationId xmlns:a16="http://schemas.microsoft.com/office/drawing/2014/main" id="{3A4E5C41-162D-4578-AD99-A6B084D6A6F8}"/>
            </a:ext>
          </a:extLst>
        </xdr:cNvPr>
        <xdr:cNvSpPr/>
      </xdr:nvSpPr>
      <xdr:spPr>
        <a:xfrm>
          <a:off x="219997244"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183</xdr:col>
      <xdr:colOff>116717</xdr:colOff>
      <xdr:row>1</xdr:row>
      <xdr:rowOff>59690</xdr:rowOff>
    </xdr:from>
    <xdr:to>
      <xdr:col>184</xdr:col>
      <xdr:colOff>23246</xdr:colOff>
      <xdr:row>1</xdr:row>
      <xdr:rowOff>553466</xdr:rowOff>
    </xdr:to>
    <xdr:sp macro="" textlink="">
      <xdr:nvSpPr>
        <xdr:cNvPr id="738" name="B ABD PAGE">
          <a:hlinkClick xmlns:r="http://schemas.openxmlformats.org/officeDocument/2006/relationships" r:id="rId5" tooltip="Aged, Blind, or Disabled Page (Current)"/>
          <a:extLst>
            <a:ext uri="{FF2B5EF4-FFF2-40B4-BE49-F238E27FC236}">
              <a16:creationId xmlns:a16="http://schemas.microsoft.com/office/drawing/2014/main" id="{5C198646-D468-470A-AF03-8B87766E6E88}"/>
            </a:ext>
          </a:extLst>
        </xdr:cNvPr>
        <xdr:cNvSpPr/>
      </xdr:nvSpPr>
      <xdr:spPr>
        <a:xfrm>
          <a:off x="222280357"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179</xdr:col>
      <xdr:colOff>366330</xdr:colOff>
      <xdr:row>1</xdr:row>
      <xdr:rowOff>59690</xdr:rowOff>
    </xdr:from>
    <xdr:to>
      <xdr:col>180</xdr:col>
      <xdr:colOff>253808</xdr:colOff>
      <xdr:row>1</xdr:row>
      <xdr:rowOff>553466</xdr:rowOff>
    </xdr:to>
    <xdr:sp macro="" textlink="">
      <xdr:nvSpPr>
        <xdr:cNvPr id="739" name="B GEN DATA PAGE">
          <a:hlinkClick xmlns:r="http://schemas.openxmlformats.org/officeDocument/2006/relationships" r:id="rId6" tooltip="Back to Navigation Page"/>
          <a:extLst>
            <a:ext uri="{FF2B5EF4-FFF2-40B4-BE49-F238E27FC236}">
              <a16:creationId xmlns:a16="http://schemas.microsoft.com/office/drawing/2014/main" id="{07592040-63B4-4B2D-9D4C-218F67AA8C01}"/>
            </a:ext>
          </a:extLst>
        </xdr:cNvPr>
        <xdr:cNvSpPr/>
      </xdr:nvSpPr>
      <xdr:spPr>
        <a:xfrm>
          <a:off x="217710320"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189</xdr:col>
      <xdr:colOff>937111</xdr:colOff>
      <xdr:row>1</xdr:row>
      <xdr:rowOff>59690</xdr:rowOff>
    </xdr:from>
    <xdr:to>
      <xdr:col>190</xdr:col>
      <xdr:colOff>822774</xdr:colOff>
      <xdr:row>1</xdr:row>
      <xdr:rowOff>557276</xdr:rowOff>
    </xdr:to>
    <xdr:sp macro="" textlink="">
      <xdr:nvSpPr>
        <xdr:cNvPr id="740" name="B ALL DATA PAGE">
          <a:hlinkClick xmlns:r="http://schemas.openxmlformats.org/officeDocument/2006/relationships" r:id="rId7" tooltip="Back to All Data Page"/>
          <a:extLst>
            <a:ext uri="{FF2B5EF4-FFF2-40B4-BE49-F238E27FC236}">
              <a16:creationId xmlns:a16="http://schemas.microsoft.com/office/drawing/2014/main" id="{7397A369-6C82-4470-8893-586A6996D330}"/>
            </a:ext>
          </a:extLst>
        </xdr:cNvPr>
        <xdr:cNvSpPr/>
      </xdr:nvSpPr>
      <xdr:spPr>
        <a:xfrm>
          <a:off x="230328321"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188</xdr:col>
      <xdr:colOff>1015807</xdr:colOff>
      <xdr:row>1</xdr:row>
      <xdr:rowOff>59690</xdr:rowOff>
    </xdr:from>
    <xdr:to>
      <xdr:col>189</xdr:col>
      <xdr:colOff>860952</xdr:colOff>
      <xdr:row>1</xdr:row>
      <xdr:rowOff>553466</xdr:rowOff>
    </xdr:to>
    <xdr:sp macro="" textlink="">
      <xdr:nvSpPr>
        <xdr:cNvPr id="741" name="B TERMS PAGE">
          <a:hlinkClick xmlns:r="http://schemas.openxmlformats.org/officeDocument/2006/relationships" r:id="rId8" tooltip="Back to Appendix &amp; Terms Page"/>
          <a:extLst>
            <a:ext uri="{FF2B5EF4-FFF2-40B4-BE49-F238E27FC236}">
              <a16:creationId xmlns:a16="http://schemas.microsoft.com/office/drawing/2014/main" id="{38C9F40E-DE0A-4289-AAF0-D180E096746D}"/>
            </a:ext>
          </a:extLst>
        </xdr:cNvPr>
        <xdr:cNvSpPr/>
      </xdr:nvSpPr>
      <xdr:spPr>
        <a:xfrm>
          <a:off x="229195437"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187</xdr:col>
      <xdr:colOff>1052478</xdr:colOff>
      <xdr:row>1</xdr:row>
      <xdr:rowOff>59690</xdr:rowOff>
    </xdr:from>
    <xdr:to>
      <xdr:col>188</xdr:col>
      <xdr:colOff>939230</xdr:colOff>
      <xdr:row>1</xdr:row>
      <xdr:rowOff>553466</xdr:rowOff>
    </xdr:to>
    <xdr:sp macro="" textlink="">
      <xdr:nvSpPr>
        <xdr:cNvPr id="742" name="B PROV DET PAGE">
          <a:hlinkClick xmlns:r="http://schemas.openxmlformats.org/officeDocument/2006/relationships" r:id="rId9" tooltip="Back to Provider Page"/>
          <a:extLst>
            <a:ext uri="{FF2B5EF4-FFF2-40B4-BE49-F238E27FC236}">
              <a16:creationId xmlns:a16="http://schemas.microsoft.com/office/drawing/2014/main" id="{FB67D5AE-06B5-4444-93F0-C2F99298ED0F}"/>
            </a:ext>
          </a:extLst>
        </xdr:cNvPr>
        <xdr:cNvSpPr/>
      </xdr:nvSpPr>
      <xdr:spPr>
        <a:xfrm>
          <a:off x="228052278"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184</xdr:col>
      <xdr:colOff>101940</xdr:colOff>
      <xdr:row>1</xdr:row>
      <xdr:rowOff>59690</xdr:rowOff>
    </xdr:from>
    <xdr:to>
      <xdr:col>184</xdr:col>
      <xdr:colOff>1124798</xdr:colOff>
      <xdr:row>1</xdr:row>
      <xdr:rowOff>553466</xdr:rowOff>
    </xdr:to>
    <xdr:sp macro="" textlink="">
      <xdr:nvSpPr>
        <xdr:cNvPr id="743" name="B IHSS PROG PAGE">
          <a:hlinkClick xmlns:r="http://schemas.openxmlformats.org/officeDocument/2006/relationships" r:id="rId10" tooltip="Back to Program Equity Page"/>
          <a:extLst>
            <a:ext uri="{FF2B5EF4-FFF2-40B4-BE49-F238E27FC236}">
              <a16:creationId xmlns:a16="http://schemas.microsoft.com/office/drawing/2014/main" id="{D2215DCD-AF0C-4DD5-AABC-EA1F24190FC1}"/>
            </a:ext>
          </a:extLst>
        </xdr:cNvPr>
        <xdr:cNvSpPr/>
      </xdr:nvSpPr>
      <xdr:spPr>
        <a:xfrm>
          <a:off x="223451760"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186</xdr:col>
      <xdr:colOff>1090116</xdr:colOff>
      <xdr:row>1</xdr:row>
      <xdr:rowOff>59690</xdr:rowOff>
    </xdr:from>
    <xdr:to>
      <xdr:col>187</xdr:col>
      <xdr:colOff>974328</xdr:colOff>
      <xdr:row>1</xdr:row>
      <xdr:rowOff>553466</xdr:rowOff>
    </xdr:to>
    <xdr:sp macro="" textlink="">
      <xdr:nvSpPr>
        <xdr:cNvPr id="744" name="B ETHNICITY PAGE">
          <a:hlinkClick xmlns:r="http://schemas.openxmlformats.org/officeDocument/2006/relationships" r:id="rId11" tooltip="Back to Ethnicity &amp; Language Page"/>
          <a:extLst>
            <a:ext uri="{FF2B5EF4-FFF2-40B4-BE49-F238E27FC236}">
              <a16:creationId xmlns:a16="http://schemas.microsoft.com/office/drawing/2014/main" id="{650D454A-2896-4386-AD6C-5B260A627563}"/>
            </a:ext>
          </a:extLst>
        </xdr:cNvPr>
        <xdr:cNvSpPr/>
      </xdr:nvSpPr>
      <xdr:spPr>
        <a:xfrm>
          <a:off x="226879606"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182</xdr:col>
      <xdr:colOff>210236</xdr:colOff>
      <xdr:row>1</xdr:row>
      <xdr:rowOff>59690</xdr:rowOff>
    </xdr:from>
    <xdr:to>
      <xdr:col>183</xdr:col>
      <xdr:colOff>59613</xdr:colOff>
      <xdr:row>1</xdr:row>
      <xdr:rowOff>553466</xdr:rowOff>
    </xdr:to>
    <xdr:sp macro="" textlink="">
      <xdr:nvSpPr>
        <xdr:cNvPr id="745" name="B GEN DATA PAGE">
          <a:hlinkClick xmlns:r="http://schemas.openxmlformats.org/officeDocument/2006/relationships" r:id="rId12" tooltip="IHSS Applicants Page (Current)"/>
          <a:extLst>
            <a:ext uri="{FF2B5EF4-FFF2-40B4-BE49-F238E27FC236}">
              <a16:creationId xmlns:a16="http://schemas.microsoft.com/office/drawing/2014/main" id="{887A2E75-0B51-4026-A9FD-E8915CF4756C}"/>
            </a:ext>
          </a:extLst>
        </xdr:cNvPr>
        <xdr:cNvSpPr/>
      </xdr:nvSpPr>
      <xdr:spPr>
        <a:xfrm>
          <a:off x="221153406"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185</xdr:col>
      <xdr:colOff>19852</xdr:colOff>
      <xdr:row>1</xdr:row>
      <xdr:rowOff>59690</xdr:rowOff>
    </xdr:from>
    <xdr:to>
      <xdr:col>185</xdr:col>
      <xdr:colOff>1089700</xdr:colOff>
      <xdr:row>1</xdr:row>
      <xdr:rowOff>553466</xdr:rowOff>
    </xdr:to>
    <xdr:sp macro="" textlink="">
      <xdr:nvSpPr>
        <xdr:cNvPr id="746" name="B IHSS SERV PAGE">
          <a:hlinkClick xmlns:r="http://schemas.openxmlformats.org/officeDocument/2006/relationships" r:id="rId13" tooltip="IHSS Services Page (Current)"/>
          <a:extLst>
            <a:ext uri="{FF2B5EF4-FFF2-40B4-BE49-F238E27FC236}">
              <a16:creationId xmlns:a16="http://schemas.microsoft.com/office/drawing/2014/main" id="{C8E449E9-4484-4697-8FC1-AE56672BF7E3}"/>
            </a:ext>
          </a:extLst>
        </xdr:cNvPr>
        <xdr:cNvSpPr/>
      </xdr:nvSpPr>
      <xdr:spPr>
        <a:xfrm>
          <a:off x="224582522"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185</xdr:col>
      <xdr:colOff>1166489</xdr:colOff>
      <xdr:row>1</xdr:row>
      <xdr:rowOff>59690</xdr:rowOff>
    </xdr:from>
    <xdr:to>
      <xdr:col>186</xdr:col>
      <xdr:colOff>1015867</xdr:colOff>
      <xdr:row>1</xdr:row>
      <xdr:rowOff>553466</xdr:rowOff>
    </xdr:to>
    <xdr:sp macro="" textlink="">
      <xdr:nvSpPr>
        <xdr:cNvPr id="747" name="B AGE PAGE">
          <a:hlinkClick xmlns:r="http://schemas.openxmlformats.org/officeDocument/2006/relationships" r:id="rId2" tooltip="Age &amp; Gender Page (Current)"/>
          <a:extLst>
            <a:ext uri="{FF2B5EF4-FFF2-40B4-BE49-F238E27FC236}">
              <a16:creationId xmlns:a16="http://schemas.microsoft.com/office/drawing/2014/main" id="{88089394-2D40-44E0-B1FC-040EE1EC0D13}"/>
            </a:ext>
          </a:extLst>
        </xdr:cNvPr>
        <xdr:cNvSpPr/>
      </xdr:nvSpPr>
      <xdr:spPr>
        <a:xfrm>
          <a:off x="225736779"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180</xdr:col>
      <xdr:colOff>289957</xdr:colOff>
      <xdr:row>1</xdr:row>
      <xdr:rowOff>59690</xdr:rowOff>
    </xdr:from>
    <xdr:to>
      <xdr:col>181</xdr:col>
      <xdr:colOff>173625</xdr:colOff>
      <xdr:row>1</xdr:row>
      <xdr:rowOff>553466</xdr:rowOff>
    </xdr:to>
    <xdr:sp macro="" textlink="">
      <xdr:nvSpPr>
        <xdr:cNvPr id="748" name="B HOME PAGE">
          <a:hlinkClick xmlns:r="http://schemas.openxmlformats.org/officeDocument/2006/relationships" r:id="rId3" tooltip="Back to Dashboard Page"/>
          <a:extLst>
            <a:ext uri="{FF2B5EF4-FFF2-40B4-BE49-F238E27FC236}">
              <a16:creationId xmlns:a16="http://schemas.microsoft.com/office/drawing/2014/main" id="{2419DF44-06B8-4950-9CF8-8E7CF21EE3E9}"/>
            </a:ext>
          </a:extLst>
        </xdr:cNvPr>
        <xdr:cNvSpPr/>
      </xdr:nvSpPr>
      <xdr:spPr>
        <a:xfrm>
          <a:off x="218840447"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181</xdr:col>
      <xdr:colOff>230729</xdr:colOff>
      <xdr:row>1</xdr:row>
      <xdr:rowOff>59690</xdr:rowOff>
    </xdr:from>
    <xdr:to>
      <xdr:col>182</xdr:col>
      <xdr:colOff>101697</xdr:colOff>
      <xdr:row>1</xdr:row>
      <xdr:rowOff>553466</xdr:rowOff>
    </xdr:to>
    <xdr:sp macro="" textlink="">
      <xdr:nvSpPr>
        <xdr:cNvPr id="749" name="B GEN DATA PAGE">
          <a:hlinkClick xmlns:r="http://schemas.openxmlformats.org/officeDocument/2006/relationships" r:id="rId4" tooltip="Back to General Data Page"/>
          <a:extLst>
            <a:ext uri="{FF2B5EF4-FFF2-40B4-BE49-F238E27FC236}">
              <a16:creationId xmlns:a16="http://schemas.microsoft.com/office/drawing/2014/main" id="{EA132CB9-22AC-4C21-9DAF-9260CC922545}"/>
            </a:ext>
          </a:extLst>
        </xdr:cNvPr>
        <xdr:cNvSpPr/>
      </xdr:nvSpPr>
      <xdr:spPr>
        <a:xfrm>
          <a:off x="219981369"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183</xdr:col>
      <xdr:colOff>102112</xdr:colOff>
      <xdr:row>1</xdr:row>
      <xdr:rowOff>59690</xdr:rowOff>
    </xdr:from>
    <xdr:to>
      <xdr:col>183</xdr:col>
      <xdr:colOff>1167727</xdr:colOff>
      <xdr:row>1</xdr:row>
      <xdr:rowOff>553466</xdr:rowOff>
    </xdr:to>
    <xdr:sp macro="" textlink="">
      <xdr:nvSpPr>
        <xdr:cNvPr id="750" name="B ABD PAGE">
          <a:hlinkClick xmlns:r="http://schemas.openxmlformats.org/officeDocument/2006/relationships" r:id="rId5" tooltip="Aged, Blind, or Disabled Page (Current)"/>
          <a:extLst>
            <a:ext uri="{FF2B5EF4-FFF2-40B4-BE49-F238E27FC236}">
              <a16:creationId xmlns:a16="http://schemas.microsoft.com/office/drawing/2014/main" id="{BD24CC6D-0EF8-4EBC-801D-7AAC7379A83E}"/>
            </a:ext>
          </a:extLst>
        </xdr:cNvPr>
        <xdr:cNvSpPr/>
      </xdr:nvSpPr>
      <xdr:spPr>
        <a:xfrm>
          <a:off x="222264482"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179</xdr:col>
      <xdr:colOff>365695</xdr:colOff>
      <xdr:row>1</xdr:row>
      <xdr:rowOff>59690</xdr:rowOff>
    </xdr:from>
    <xdr:to>
      <xdr:col>180</xdr:col>
      <xdr:colOff>216343</xdr:colOff>
      <xdr:row>1</xdr:row>
      <xdr:rowOff>553466</xdr:rowOff>
    </xdr:to>
    <xdr:sp macro="" textlink="">
      <xdr:nvSpPr>
        <xdr:cNvPr id="751" name="B GEN DATA PAGE">
          <a:hlinkClick xmlns:r="http://schemas.openxmlformats.org/officeDocument/2006/relationships" r:id="rId6" tooltip="Back to Navigation Page"/>
          <a:extLst>
            <a:ext uri="{FF2B5EF4-FFF2-40B4-BE49-F238E27FC236}">
              <a16:creationId xmlns:a16="http://schemas.microsoft.com/office/drawing/2014/main" id="{B3874A44-94C3-4DD5-95E0-8BF3D3172387}"/>
            </a:ext>
          </a:extLst>
        </xdr:cNvPr>
        <xdr:cNvSpPr/>
      </xdr:nvSpPr>
      <xdr:spPr>
        <a:xfrm>
          <a:off x="217694445"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189</xdr:col>
      <xdr:colOff>899646</xdr:colOff>
      <xdr:row>1</xdr:row>
      <xdr:rowOff>59690</xdr:rowOff>
    </xdr:from>
    <xdr:to>
      <xdr:col>190</xdr:col>
      <xdr:colOff>785309</xdr:colOff>
      <xdr:row>1</xdr:row>
      <xdr:rowOff>557276</xdr:rowOff>
    </xdr:to>
    <xdr:sp macro="" textlink="">
      <xdr:nvSpPr>
        <xdr:cNvPr id="752" name="B ALL DATA PAGE">
          <a:hlinkClick xmlns:r="http://schemas.openxmlformats.org/officeDocument/2006/relationships" r:id="rId7" tooltip="Back to All Data Page"/>
          <a:extLst>
            <a:ext uri="{FF2B5EF4-FFF2-40B4-BE49-F238E27FC236}">
              <a16:creationId xmlns:a16="http://schemas.microsoft.com/office/drawing/2014/main" id="{89D9CE6B-F58E-47B8-BE41-EB4A0576920F}"/>
            </a:ext>
          </a:extLst>
        </xdr:cNvPr>
        <xdr:cNvSpPr/>
      </xdr:nvSpPr>
      <xdr:spPr>
        <a:xfrm>
          <a:off x="230312446"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188</xdr:col>
      <xdr:colOff>975802</xdr:colOff>
      <xdr:row>1</xdr:row>
      <xdr:rowOff>59690</xdr:rowOff>
    </xdr:from>
    <xdr:to>
      <xdr:col>189</xdr:col>
      <xdr:colOff>820947</xdr:colOff>
      <xdr:row>1</xdr:row>
      <xdr:rowOff>553466</xdr:rowOff>
    </xdr:to>
    <xdr:sp macro="" textlink="">
      <xdr:nvSpPr>
        <xdr:cNvPr id="753" name="B TERMS PAGE">
          <a:hlinkClick xmlns:r="http://schemas.openxmlformats.org/officeDocument/2006/relationships" r:id="rId8" tooltip="Back to Appendix &amp; Terms Page"/>
          <a:extLst>
            <a:ext uri="{FF2B5EF4-FFF2-40B4-BE49-F238E27FC236}">
              <a16:creationId xmlns:a16="http://schemas.microsoft.com/office/drawing/2014/main" id="{70F250A3-BF57-44C6-B194-893D8187768A}"/>
            </a:ext>
          </a:extLst>
        </xdr:cNvPr>
        <xdr:cNvSpPr/>
      </xdr:nvSpPr>
      <xdr:spPr>
        <a:xfrm>
          <a:off x="229179562"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187</xdr:col>
      <xdr:colOff>1050573</xdr:colOff>
      <xdr:row>1</xdr:row>
      <xdr:rowOff>59690</xdr:rowOff>
    </xdr:from>
    <xdr:to>
      <xdr:col>188</xdr:col>
      <xdr:colOff>897955</xdr:colOff>
      <xdr:row>1</xdr:row>
      <xdr:rowOff>553466</xdr:rowOff>
    </xdr:to>
    <xdr:sp macro="" textlink="">
      <xdr:nvSpPr>
        <xdr:cNvPr id="754" name="B PROV DET PAGE">
          <a:hlinkClick xmlns:r="http://schemas.openxmlformats.org/officeDocument/2006/relationships" r:id="rId9" tooltip="Back to Provider Page"/>
          <a:extLst>
            <a:ext uri="{FF2B5EF4-FFF2-40B4-BE49-F238E27FC236}">
              <a16:creationId xmlns:a16="http://schemas.microsoft.com/office/drawing/2014/main" id="{339715BB-923B-4384-A4B7-B4F0DFA01AD7}"/>
            </a:ext>
          </a:extLst>
        </xdr:cNvPr>
        <xdr:cNvSpPr/>
      </xdr:nvSpPr>
      <xdr:spPr>
        <a:xfrm>
          <a:off x="228036403"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184</xdr:col>
      <xdr:colOff>63205</xdr:colOff>
      <xdr:row>1</xdr:row>
      <xdr:rowOff>59690</xdr:rowOff>
    </xdr:from>
    <xdr:to>
      <xdr:col>184</xdr:col>
      <xdr:colOff>1125433</xdr:colOff>
      <xdr:row>1</xdr:row>
      <xdr:rowOff>553466</xdr:rowOff>
    </xdr:to>
    <xdr:sp macro="" textlink="">
      <xdr:nvSpPr>
        <xdr:cNvPr id="755" name="B IHSS PROG PAGE">
          <a:hlinkClick xmlns:r="http://schemas.openxmlformats.org/officeDocument/2006/relationships" r:id="rId10" tooltip="Back to Program Equity Page"/>
          <a:extLst>
            <a:ext uri="{FF2B5EF4-FFF2-40B4-BE49-F238E27FC236}">
              <a16:creationId xmlns:a16="http://schemas.microsoft.com/office/drawing/2014/main" id="{A37CE4B8-F0A3-447E-A567-04B9DDF1369F}"/>
            </a:ext>
          </a:extLst>
        </xdr:cNvPr>
        <xdr:cNvSpPr/>
      </xdr:nvSpPr>
      <xdr:spPr>
        <a:xfrm>
          <a:off x="223435885"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186</xdr:col>
      <xdr:colOff>1089481</xdr:colOff>
      <xdr:row>1</xdr:row>
      <xdr:rowOff>59690</xdr:rowOff>
    </xdr:from>
    <xdr:to>
      <xdr:col>187</xdr:col>
      <xdr:colOff>950833</xdr:colOff>
      <xdr:row>1</xdr:row>
      <xdr:rowOff>553466</xdr:rowOff>
    </xdr:to>
    <xdr:sp macro="" textlink="">
      <xdr:nvSpPr>
        <xdr:cNvPr id="756" name="B ETHNICITY PAGE">
          <a:hlinkClick xmlns:r="http://schemas.openxmlformats.org/officeDocument/2006/relationships" r:id="rId11" tooltip="Back to Ethnicity &amp; Language Page"/>
          <a:extLst>
            <a:ext uri="{FF2B5EF4-FFF2-40B4-BE49-F238E27FC236}">
              <a16:creationId xmlns:a16="http://schemas.microsoft.com/office/drawing/2014/main" id="{422BBDF4-A49C-4351-A7BA-7FE1A70AA599}"/>
            </a:ext>
          </a:extLst>
        </xdr:cNvPr>
        <xdr:cNvSpPr/>
      </xdr:nvSpPr>
      <xdr:spPr>
        <a:xfrm>
          <a:off x="226863731"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182</xdr:col>
      <xdr:colOff>177851</xdr:colOff>
      <xdr:row>1</xdr:row>
      <xdr:rowOff>59690</xdr:rowOff>
    </xdr:from>
    <xdr:to>
      <xdr:col>183</xdr:col>
      <xdr:colOff>64058</xdr:colOff>
      <xdr:row>1</xdr:row>
      <xdr:rowOff>553466</xdr:rowOff>
    </xdr:to>
    <xdr:sp macro="" textlink="">
      <xdr:nvSpPr>
        <xdr:cNvPr id="757" name="B GEN DATA PAGE">
          <a:hlinkClick xmlns:r="http://schemas.openxmlformats.org/officeDocument/2006/relationships" r:id="rId12" tooltip="IHSS Applicants Page (Current)"/>
          <a:extLst>
            <a:ext uri="{FF2B5EF4-FFF2-40B4-BE49-F238E27FC236}">
              <a16:creationId xmlns:a16="http://schemas.microsoft.com/office/drawing/2014/main" id="{CCC3E71E-9C22-46DF-AC3B-79B742D3C53F}"/>
            </a:ext>
          </a:extLst>
        </xdr:cNvPr>
        <xdr:cNvSpPr/>
      </xdr:nvSpPr>
      <xdr:spPr>
        <a:xfrm>
          <a:off x="221137531"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184</xdr:col>
      <xdr:colOff>1165604</xdr:colOff>
      <xdr:row>1</xdr:row>
      <xdr:rowOff>59690</xdr:rowOff>
    </xdr:from>
    <xdr:to>
      <xdr:col>185</xdr:col>
      <xdr:colOff>1091605</xdr:colOff>
      <xdr:row>1</xdr:row>
      <xdr:rowOff>553466</xdr:rowOff>
    </xdr:to>
    <xdr:sp macro="" textlink="">
      <xdr:nvSpPr>
        <xdr:cNvPr id="758" name="B IHSS SERV PAGE">
          <a:hlinkClick xmlns:r="http://schemas.openxmlformats.org/officeDocument/2006/relationships" r:id="rId13" tooltip="IHSS Services Page (Current)"/>
          <a:extLst>
            <a:ext uri="{FF2B5EF4-FFF2-40B4-BE49-F238E27FC236}">
              <a16:creationId xmlns:a16="http://schemas.microsoft.com/office/drawing/2014/main" id="{3CBD2495-9FB6-427D-B7E2-267A2BE9E6FB}"/>
            </a:ext>
          </a:extLst>
        </xdr:cNvPr>
        <xdr:cNvSpPr/>
      </xdr:nvSpPr>
      <xdr:spPr>
        <a:xfrm>
          <a:off x="224566647"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199</xdr:col>
      <xdr:colOff>556254</xdr:colOff>
      <xdr:row>1</xdr:row>
      <xdr:rowOff>59690</xdr:rowOff>
    </xdr:from>
    <xdr:to>
      <xdr:col>200</xdr:col>
      <xdr:colOff>404362</xdr:colOff>
      <xdr:row>1</xdr:row>
      <xdr:rowOff>553466</xdr:rowOff>
    </xdr:to>
    <xdr:sp macro="" textlink="">
      <xdr:nvSpPr>
        <xdr:cNvPr id="759" name="B AGE PAGE">
          <a:hlinkClick xmlns:r="http://schemas.openxmlformats.org/officeDocument/2006/relationships" r:id="rId2" tooltip="Age &amp; Gender Page (Current)"/>
          <a:extLst>
            <a:ext uri="{FF2B5EF4-FFF2-40B4-BE49-F238E27FC236}">
              <a16:creationId xmlns:a16="http://schemas.microsoft.com/office/drawing/2014/main" id="{24125C70-90E2-4BDA-9675-9E5D29915504}"/>
            </a:ext>
          </a:extLst>
        </xdr:cNvPr>
        <xdr:cNvSpPr/>
      </xdr:nvSpPr>
      <xdr:spPr>
        <a:xfrm>
          <a:off x="242034054"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193</xdr:col>
      <xdr:colOff>898922</xdr:colOff>
      <xdr:row>1</xdr:row>
      <xdr:rowOff>59690</xdr:rowOff>
    </xdr:from>
    <xdr:to>
      <xdr:col>194</xdr:col>
      <xdr:colOff>785130</xdr:colOff>
      <xdr:row>1</xdr:row>
      <xdr:rowOff>553466</xdr:rowOff>
    </xdr:to>
    <xdr:sp macro="" textlink="">
      <xdr:nvSpPr>
        <xdr:cNvPr id="760" name="B HOME PAGE">
          <a:hlinkClick xmlns:r="http://schemas.openxmlformats.org/officeDocument/2006/relationships" r:id="rId3" tooltip="Back to Dashboard Page"/>
          <a:extLst>
            <a:ext uri="{FF2B5EF4-FFF2-40B4-BE49-F238E27FC236}">
              <a16:creationId xmlns:a16="http://schemas.microsoft.com/office/drawing/2014/main" id="{712A7D50-3511-4841-9831-171D9CC90921}"/>
            </a:ext>
          </a:extLst>
        </xdr:cNvPr>
        <xdr:cNvSpPr/>
      </xdr:nvSpPr>
      <xdr:spPr>
        <a:xfrm>
          <a:off x="235137722"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194</xdr:col>
      <xdr:colOff>858744</xdr:colOff>
      <xdr:row>1</xdr:row>
      <xdr:rowOff>59690</xdr:rowOff>
    </xdr:from>
    <xdr:to>
      <xdr:col>195</xdr:col>
      <xdr:colOff>708122</xdr:colOff>
      <xdr:row>1</xdr:row>
      <xdr:rowOff>553466</xdr:rowOff>
    </xdr:to>
    <xdr:sp macro="" textlink="">
      <xdr:nvSpPr>
        <xdr:cNvPr id="761" name="B GEN DATA PAGE">
          <a:hlinkClick xmlns:r="http://schemas.openxmlformats.org/officeDocument/2006/relationships" r:id="rId4" tooltip="Back to General Data Page"/>
          <a:extLst>
            <a:ext uri="{FF2B5EF4-FFF2-40B4-BE49-F238E27FC236}">
              <a16:creationId xmlns:a16="http://schemas.microsoft.com/office/drawing/2014/main" id="{AC2A6C78-0434-458A-A672-EC5EB01B73F9}"/>
            </a:ext>
          </a:extLst>
        </xdr:cNvPr>
        <xdr:cNvSpPr/>
      </xdr:nvSpPr>
      <xdr:spPr>
        <a:xfrm>
          <a:off x="236278644"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196</xdr:col>
      <xdr:colOff>707267</xdr:colOff>
      <xdr:row>1</xdr:row>
      <xdr:rowOff>59690</xdr:rowOff>
    </xdr:from>
    <xdr:to>
      <xdr:col>197</xdr:col>
      <xdr:colOff>594746</xdr:colOff>
      <xdr:row>1</xdr:row>
      <xdr:rowOff>553466</xdr:rowOff>
    </xdr:to>
    <xdr:sp macro="" textlink="">
      <xdr:nvSpPr>
        <xdr:cNvPr id="762" name="B ABD PAGE">
          <a:hlinkClick xmlns:r="http://schemas.openxmlformats.org/officeDocument/2006/relationships" r:id="rId5" tooltip="Aged, Blind, or Disabled Page (Current)"/>
          <a:extLst>
            <a:ext uri="{FF2B5EF4-FFF2-40B4-BE49-F238E27FC236}">
              <a16:creationId xmlns:a16="http://schemas.microsoft.com/office/drawing/2014/main" id="{25E67D8C-F463-46C5-93B2-BFE61126D96C}"/>
            </a:ext>
          </a:extLst>
        </xdr:cNvPr>
        <xdr:cNvSpPr/>
      </xdr:nvSpPr>
      <xdr:spPr>
        <a:xfrm>
          <a:off x="238561757"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192</xdr:col>
      <xdr:colOff>975930</xdr:colOff>
      <xdr:row>1</xdr:row>
      <xdr:rowOff>59690</xdr:rowOff>
    </xdr:from>
    <xdr:to>
      <xdr:col>193</xdr:col>
      <xdr:colOff>822768</xdr:colOff>
      <xdr:row>1</xdr:row>
      <xdr:rowOff>553466</xdr:rowOff>
    </xdr:to>
    <xdr:sp macro="" textlink="">
      <xdr:nvSpPr>
        <xdr:cNvPr id="763" name="B GEN DATA PAGE">
          <a:hlinkClick xmlns:r="http://schemas.openxmlformats.org/officeDocument/2006/relationships" r:id="rId6" tooltip="Back to Navigation Page"/>
          <a:extLst>
            <a:ext uri="{FF2B5EF4-FFF2-40B4-BE49-F238E27FC236}">
              <a16:creationId xmlns:a16="http://schemas.microsoft.com/office/drawing/2014/main" id="{1465B74B-CF2D-4458-A109-96F440A98723}"/>
            </a:ext>
          </a:extLst>
        </xdr:cNvPr>
        <xdr:cNvSpPr/>
      </xdr:nvSpPr>
      <xdr:spPr>
        <a:xfrm>
          <a:off x="233991720"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203</xdr:col>
      <xdr:colOff>327511</xdr:colOff>
      <xdr:row>1</xdr:row>
      <xdr:rowOff>59690</xdr:rowOff>
    </xdr:from>
    <xdr:to>
      <xdr:col>204</xdr:col>
      <xdr:colOff>213174</xdr:colOff>
      <xdr:row>1</xdr:row>
      <xdr:rowOff>557276</xdr:rowOff>
    </xdr:to>
    <xdr:sp macro="" textlink="">
      <xdr:nvSpPr>
        <xdr:cNvPr id="764" name="B ALL DATA PAGE">
          <a:hlinkClick xmlns:r="http://schemas.openxmlformats.org/officeDocument/2006/relationships" r:id="rId7" tooltip="Back to All Data Page"/>
          <a:extLst>
            <a:ext uri="{FF2B5EF4-FFF2-40B4-BE49-F238E27FC236}">
              <a16:creationId xmlns:a16="http://schemas.microsoft.com/office/drawing/2014/main" id="{5144C562-717E-4874-9273-170494890E63}"/>
            </a:ext>
          </a:extLst>
        </xdr:cNvPr>
        <xdr:cNvSpPr/>
      </xdr:nvSpPr>
      <xdr:spPr>
        <a:xfrm>
          <a:off x="246609721"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202</xdr:col>
      <xdr:colOff>406207</xdr:colOff>
      <xdr:row>1</xdr:row>
      <xdr:rowOff>59690</xdr:rowOff>
    </xdr:from>
    <xdr:to>
      <xdr:col>203</xdr:col>
      <xdr:colOff>251352</xdr:colOff>
      <xdr:row>1</xdr:row>
      <xdr:rowOff>553466</xdr:rowOff>
    </xdr:to>
    <xdr:sp macro="" textlink="">
      <xdr:nvSpPr>
        <xdr:cNvPr id="765" name="B TERMS PAGE">
          <a:hlinkClick xmlns:r="http://schemas.openxmlformats.org/officeDocument/2006/relationships" r:id="rId8" tooltip="Back to Appendix &amp; Terms Page"/>
          <a:extLst>
            <a:ext uri="{FF2B5EF4-FFF2-40B4-BE49-F238E27FC236}">
              <a16:creationId xmlns:a16="http://schemas.microsoft.com/office/drawing/2014/main" id="{1F8B9B28-C4A4-44F1-A341-31A22D00732F}"/>
            </a:ext>
          </a:extLst>
        </xdr:cNvPr>
        <xdr:cNvSpPr/>
      </xdr:nvSpPr>
      <xdr:spPr>
        <a:xfrm>
          <a:off x="245476837"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201</xdr:col>
      <xdr:colOff>442878</xdr:colOff>
      <xdr:row>1</xdr:row>
      <xdr:rowOff>59690</xdr:rowOff>
    </xdr:from>
    <xdr:to>
      <xdr:col>202</xdr:col>
      <xdr:colOff>329630</xdr:colOff>
      <xdr:row>1</xdr:row>
      <xdr:rowOff>553466</xdr:rowOff>
    </xdr:to>
    <xdr:sp macro="" textlink="">
      <xdr:nvSpPr>
        <xdr:cNvPr id="766" name="B PROV DET PAGE">
          <a:hlinkClick xmlns:r="http://schemas.openxmlformats.org/officeDocument/2006/relationships" r:id="rId9" tooltip="Back to Provider Page"/>
          <a:extLst>
            <a:ext uri="{FF2B5EF4-FFF2-40B4-BE49-F238E27FC236}">
              <a16:creationId xmlns:a16="http://schemas.microsoft.com/office/drawing/2014/main" id="{E5F39F7A-0649-4B09-8848-57BE33A1E908}"/>
            </a:ext>
          </a:extLst>
        </xdr:cNvPr>
        <xdr:cNvSpPr/>
      </xdr:nvSpPr>
      <xdr:spPr>
        <a:xfrm>
          <a:off x="244333678"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197</xdr:col>
      <xdr:colOff>670900</xdr:colOff>
      <xdr:row>1</xdr:row>
      <xdr:rowOff>59690</xdr:rowOff>
    </xdr:from>
    <xdr:to>
      <xdr:col>198</xdr:col>
      <xdr:colOff>515198</xdr:colOff>
      <xdr:row>1</xdr:row>
      <xdr:rowOff>553466</xdr:rowOff>
    </xdr:to>
    <xdr:sp macro="" textlink="">
      <xdr:nvSpPr>
        <xdr:cNvPr id="767" name="B IHSS PROG PAGE">
          <a:hlinkClick xmlns:r="http://schemas.openxmlformats.org/officeDocument/2006/relationships" r:id="rId10" tooltip="Back to Program Equity Page"/>
          <a:extLst>
            <a:ext uri="{FF2B5EF4-FFF2-40B4-BE49-F238E27FC236}">
              <a16:creationId xmlns:a16="http://schemas.microsoft.com/office/drawing/2014/main" id="{A4720F7A-5A28-4088-A5B1-D45698E7979A}"/>
            </a:ext>
          </a:extLst>
        </xdr:cNvPr>
        <xdr:cNvSpPr/>
      </xdr:nvSpPr>
      <xdr:spPr>
        <a:xfrm>
          <a:off x="239733160"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200</xdr:col>
      <xdr:colOff>480516</xdr:colOff>
      <xdr:row>1</xdr:row>
      <xdr:rowOff>59690</xdr:rowOff>
    </xdr:from>
    <xdr:to>
      <xdr:col>201</xdr:col>
      <xdr:colOff>364728</xdr:colOff>
      <xdr:row>1</xdr:row>
      <xdr:rowOff>553466</xdr:rowOff>
    </xdr:to>
    <xdr:sp macro="" textlink="">
      <xdr:nvSpPr>
        <xdr:cNvPr id="768" name="B ETHNICITY PAGE">
          <a:hlinkClick xmlns:r="http://schemas.openxmlformats.org/officeDocument/2006/relationships" r:id="rId11" tooltip="Back to Ethnicity &amp; Language Page"/>
          <a:extLst>
            <a:ext uri="{FF2B5EF4-FFF2-40B4-BE49-F238E27FC236}">
              <a16:creationId xmlns:a16="http://schemas.microsoft.com/office/drawing/2014/main" id="{9E774AAE-04AF-4126-B7C9-52262B173EC8}"/>
            </a:ext>
          </a:extLst>
        </xdr:cNvPr>
        <xdr:cNvSpPr/>
      </xdr:nvSpPr>
      <xdr:spPr>
        <a:xfrm>
          <a:off x="243161006"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195</xdr:col>
      <xdr:colOff>781736</xdr:colOff>
      <xdr:row>1</xdr:row>
      <xdr:rowOff>59690</xdr:rowOff>
    </xdr:from>
    <xdr:to>
      <xdr:col>196</xdr:col>
      <xdr:colOff>670483</xdr:colOff>
      <xdr:row>1</xdr:row>
      <xdr:rowOff>553466</xdr:rowOff>
    </xdr:to>
    <xdr:sp macro="" textlink="">
      <xdr:nvSpPr>
        <xdr:cNvPr id="769" name="B GEN DATA PAGE">
          <a:hlinkClick xmlns:r="http://schemas.openxmlformats.org/officeDocument/2006/relationships" r:id="rId12" tooltip="IHSS Applicants Page (Current)"/>
          <a:extLst>
            <a:ext uri="{FF2B5EF4-FFF2-40B4-BE49-F238E27FC236}">
              <a16:creationId xmlns:a16="http://schemas.microsoft.com/office/drawing/2014/main" id="{8590C4CB-CF5D-4E2D-89CA-35DF11579009}"/>
            </a:ext>
          </a:extLst>
        </xdr:cNvPr>
        <xdr:cNvSpPr/>
      </xdr:nvSpPr>
      <xdr:spPr>
        <a:xfrm>
          <a:off x="237434806"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198</xdr:col>
      <xdr:colOff>591352</xdr:colOff>
      <xdr:row>1</xdr:row>
      <xdr:rowOff>59690</xdr:rowOff>
    </xdr:from>
    <xdr:to>
      <xdr:col>199</xdr:col>
      <xdr:colOff>480100</xdr:colOff>
      <xdr:row>1</xdr:row>
      <xdr:rowOff>553466</xdr:rowOff>
    </xdr:to>
    <xdr:sp macro="" textlink="">
      <xdr:nvSpPr>
        <xdr:cNvPr id="770" name="B IHSS SERV PAGE">
          <a:hlinkClick xmlns:r="http://schemas.openxmlformats.org/officeDocument/2006/relationships" r:id="rId13" tooltip="IHSS Services Page (Current)"/>
          <a:extLst>
            <a:ext uri="{FF2B5EF4-FFF2-40B4-BE49-F238E27FC236}">
              <a16:creationId xmlns:a16="http://schemas.microsoft.com/office/drawing/2014/main" id="{E91F97BA-B481-4642-8CF9-738B4E08995E}"/>
            </a:ext>
          </a:extLst>
        </xdr:cNvPr>
        <xdr:cNvSpPr/>
      </xdr:nvSpPr>
      <xdr:spPr>
        <a:xfrm>
          <a:off x="240863922"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199</xdr:col>
      <xdr:colOff>556889</xdr:colOff>
      <xdr:row>1</xdr:row>
      <xdr:rowOff>59690</xdr:rowOff>
    </xdr:from>
    <xdr:to>
      <xdr:col>200</xdr:col>
      <xdr:colOff>406267</xdr:colOff>
      <xdr:row>1</xdr:row>
      <xdr:rowOff>553466</xdr:rowOff>
    </xdr:to>
    <xdr:sp macro="" textlink="">
      <xdr:nvSpPr>
        <xdr:cNvPr id="771" name="B AGE PAGE">
          <a:hlinkClick xmlns:r="http://schemas.openxmlformats.org/officeDocument/2006/relationships" r:id="rId2" tooltip="Age &amp; Gender Page (Current)"/>
          <a:extLst>
            <a:ext uri="{FF2B5EF4-FFF2-40B4-BE49-F238E27FC236}">
              <a16:creationId xmlns:a16="http://schemas.microsoft.com/office/drawing/2014/main" id="{F98A22A4-A2A2-46E7-9842-0F926004C245}"/>
            </a:ext>
          </a:extLst>
        </xdr:cNvPr>
        <xdr:cNvSpPr/>
      </xdr:nvSpPr>
      <xdr:spPr>
        <a:xfrm>
          <a:off x="242018179"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193</xdr:col>
      <xdr:colOff>899557</xdr:colOff>
      <xdr:row>1</xdr:row>
      <xdr:rowOff>59690</xdr:rowOff>
    </xdr:from>
    <xdr:to>
      <xdr:col>194</xdr:col>
      <xdr:colOff>784495</xdr:colOff>
      <xdr:row>1</xdr:row>
      <xdr:rowOff>553466</xdr:rowOff>
    </xdr:to>
    <xdr:sp macro="" textlink="">
      <xdr:nvSpPr>
        <xdr:cNvPr id="772" name="B HOME PAGE">
          <a:hlinkClick xmlns:r="http://schemas.openxmlformats.org/officeDocument/2006/relationships" r:id="rId3" tooltip="Back to Dashboard Page"/>
          <a:extLst>
            <a:ext uri="{FF2B5EF4-FFF2-40B4-BE49-F238E27FC236}">
              <a16:creationId xmlns:a16="http://schemas.microsoft.com/office/drawing/2014/main" id="{7133BC0C-04DD-4DB5-A234-FABE64B25CB7}"/>
            </a:ext>
          </a:extLst>
        </xdr:cNvPr>
        <xdr:cNvSpPr/>
      </xdr:nvSpPr>
      <xdr:spPr>
        <a:xfrm>
          <a:off x="235121847"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194</xdr:col>
      <xdr:colOff>821279</xdr:colOff>
      <xdr:row>1</xdr:row>
      <xdr:rowOff>59690</xdr:rowOff>
    </xdr:from>
    <xdr:to>
      <xdr:col>195</xdr:col>
      <xdr:colOff>708757</xdr:colOff>
      <xdr:row>1</xdr:row>
      <xdr:rowOff>553466</xdr:rowOff>
    </xdr:to>
    <xdr:sp macro="" textlink="">
      <xdr:nvSpPr>
        <xdr:cNvPr id="773" name="B GEN DATA PAGE">
          <a:hlinkClick xmlns:r="http://schemas.openxmlformats.org/officeDocument/2006/relationships" r:id="rId4" tooltip="Back to General Data Page"/>
          <a:extLst>
            <a:ext uri="{FF2B5EF4-FFF2-40B4-BE49-F238E27FC236}">
              <a16:creationId xmlns:a16="http://schemas.microsoft.com/office/drawing/2014/main" id="{08853BFE-CAD8-4912-95E7-FA0DA4F581E8}"/>
            </a:ext>
          </a:extLst>
        </xdr:cNvPr>
        <xdr:cNvSpPr/>
      </xdr:nvSpPr>
      <xdr:spPr>
        <a:xfrm>
          <a:off x="236262769"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196</xdr:col>
      <xdr:colOff>709172</xdr:colOff>
      <xdr:row>1</xdr:row>
      <xdr:rowOff>59690</xdr:rowOff>
    </xdr:from>
    <xdr:to>
      <xdr:col>197</xdr:col>
      <xdr:colOff>592841</xdr:colOff>
      <xdr:row>1</xdr:row>
      <xdr:rowOff>553466</xdr:rowOff>
    </xdr:to>
    <xdr:sp macro="" textlink="">
      <xdr:nvSpPr>
        <xdr:cNvPr id="774" name="B ABD PAGE">
          <a:hlinkClick xmlns:r="http://schemas.openxmlformats.org/officeDocument/2006/relationships" r:id="rId5" tooltip="Aged, Blind, or Disabled Page (Current)"/>
          <a:extLst>
            <a:ext uri="{FF2B5EF4-FFF2-40B4-BE49-F238E27FC236}">
              <a16:creationId xmlns:a16="http://schemas.microsoft.com/office/drawing/2014/main" id="{37F01178-21F4-4B97-B8FE-D21FB1B9A69C}"/>
            </a:ext>
          </a:extLst>
        </xdr:cNvPr>
        <xdr:cNvSpPr/>
      </xdr:nvSpPr>
      <xdr:spPr>
        <a:xfrm>
          <a:off x="238545882"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192</xdr:col>
      <xdr:colOff>937195</xdr:colOff>
      <xdr:row>1</xdr:row>
      <xdr:rowOff>59690</xdr:rowOff>
    </xdr:from>
    <xdr:to>
      <xdr:col>193</xdr:col>
      <xdr:colOff>823403</xdr:colOff>
      <xdr:row>1</xdr:row>
      <xdr:rowOff>553466</xdr:rowOff>
    </xdr:to>
    <xdr:sp macro="" textlink="">
      <xdr:nvSpPr>
        <xdr:cNvPr id="775" name="B GEN DATA PAGE">
          <a:hlinkClick xmlns:r="http://schemas.openxmlformats.org/officeDocument/2006/relationships" r:id="rId6" tooltip="Back to Navigation Page"/>
          <a:extLst>
            <a:ext uri="{FF2B5EF4-FFF2-40B4-BE49-F238E27FC236}">
              <a16:creationId xmlns:a16="http://schemas.microsoft.com/office/drawing/2014/main" id="{EB329183-C5A0-40EC-8E94-670D4CD0AA1E}"/>
            </a:ext>
          </a:extLst>
        </xdr:cNvPr>
        <xdr:cNvSpPr/>
      </xdr:nvSpPr>
      <xdr:spPr>
        <a:xfrm>
          <a:off x="233975845"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203</xdr:col>
      <xdr:colOff>290046</xdr:colOff>
      <xdr:row>1</xdr:row>
      <xdr:rowOff>59690</xdr:rowOff>
    </xdr:from>
    <xdr:to>
      <xdr:col>204</xdr:col>
      <xdr:colOff>174439</xdr:colOff>
      <xdr:row>1</xdr:row>
      <xdr:rowOff>557276</xdr:rowOff>
    </xdr:to>
    <xdr:sp macro="" textlink="">
      <xdr:nvSpPr>
        <xdr:cNvPr id="776" name="B ALL DATA PAGE">
          <a:hlinkClick xmlns:r="http://schemas.openxmlformats.org/officeDocument/2006/relationships" r:id="rId7" tooltip="Back to All Data Page"/>
          <a:extLst>
            <a:ext uri="{FF2B5EF4-FFF2-40B4-BE49-F238E27FC236}">
              <a16:creationId xmlns:a16="http://schemas.microsoft.com/office/drawing/2014/main" id="{ECAFCD71-D726-4E7F-888B-F6EC84B23213}"/>
            </a:ext>
          </a:extLst>
        </xdr:cNvPr>
        <xdr:cNvSpPr/>
      </xdr:nvSpPr>
      <xdr:spPr>
        <a:xfrm>
          <a:off x="246593846"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202</xdr:col>
      <xdr:colOff>366202</xdr:colOff>
      <xdr:row>1</xdr:row>
      <xdr:rowOff>59690</xdr:rowOff>
    </xdr:from>
    <xdr:to>
      <xdr:col>203</xdr:col>
      <xdr:colOff>211347</xdr:colOff>
      <xdr:row>1</xdr:row>
      <xdr:rowOff>553466</xdr:rowOff>
    </xdr:to>
    <xdr:sp macro="" textlink="">
      <xdr:nvSpPr>
        <xdr:cNvPr id="777" name="B TERMS PAGE">
          <a:hlinkClick xmlns:r="http://schemas.openxmlformats.org/officeDocument/2006/relationships" r:id="rId8" tooltip="Back to Appendix &amp; Terms Page"/>
          <a:extLst>
            <a:ext uri="{FF2B5EF4-FFF2-40B4-BE49-F238E27FC236}">
              <a16:creationId xmlns:a16="http://schemas.microsoft.com/office/drawing/2014/main" id="{81C679F0-6A4C-485C-BD19-88C102020B34}"/>
            </a:ext>
          </a:extLst>
        </xdr:cNvPr>
        <xdr:cNvSpPr/>
      </xdr:nvSpPr>
      <xdr:spPr>
        <a:xfrm>
          <a:off x="245460962"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201</xdr:col>
      <xdr:colOff>440973</xdr:colOff>
      <xdr:row>1</xdr:row>
      <xdr:rowOff>59690</xdr:rowOff>
    </xdr:from>
    <xdr:to>
      <xdr:col>202</xdr:col>
      <xdr:colOff>288355</xdr:colOff>
      <xdr:row>1</xdr:row>
      <xdr:rowOff>553466</xdr:rowOff>
    </xdr:to>
    <xdr:sp macro="" textlink="">
      <xdr:nvSpPr>
        <xdr:cNvPr id="778" name="B PROV DET PAGE">
          <a:hlinkClick xmlns:r="http://schemas.openxmlformats.org/officeDocument/2006/relationships" r:id="rId9" tooltip="Back to Provider Page"/>
          <a:extLst>
            <a:ext uri="{FF2B5EF4-FFF2-40B4-BE49-F238E27FC236}">
              <a16:creationId xmlns:a16="http://schemas.microsoft.com/office/drawing/2014/main" id="{4E1A8CC8-46B7-44BC-BDB3-8D65C762802A}"/>
            </a:ext>
          </a:extLst>
        </xdr:cNvPr>
        <xdr:cNvSpPr/>
      </xdr:nvSpPr>
      <xdr:spPr>
        <a:xfrm>
          <a:off x="244317803"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197</xdr:col>
      <xdr:colOff>672805</xdr:colOff>
      <xdr:row>1</xdr:row>
      <xdr:rowOff>59690</xdr:rowOff>
    </xdr:from>
    <xdr:to>
      <xdr:col>198</xdr:col>
      <xdr:colOff>515833</xdr:colOff>
      <xdr:row>1</xdr:row>
      <xdr:rowOff>553466</xdr:rowOff>
    </xdr:to>
    <xdr:sp macro="" textlink="">
      <xdr:nvSpPr>
        <xdr:cNvPr id="779" name="B IHSS PROG PAGE">
          <a:hlinkClick xmlns:r="http://schemas.openxmlformats.org/officeDocument/2006/relationships" r:id="rId10" tooltip="Back to Program Equity Page"/>
          <a:extLst>
            <a:ext uri="{FF2B5EF4-FFF2-40B4-BE49-F238E27FC236}">
              <a16:creationId xmlns:a16="http://schemas.microsoft.com/office/drawing/2014/main" id="{5F3888CF-2CC0-4179-A9DC-979D3A5AA80B}"/>
            </a:ext>
          </a:extLst>
        </xdr:cNvPr>
        <xdr:cNvSpPr/>
      </xdr:nvSpPr>
      <xdr:spPr>
        <a:xfrm>
          <a:off x="239717285"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200</xdr:col>
      <xdr:colOff>479881</xdr:colOff>
      <xdr:row>1</xdr:row>
      <xdr:rowOff>59690</xdr:rowOff>
    </xdr:from>
    <xdr:to>
      <xdr:col>201</xdr:col>
      <xdr:colOff>341233</xdr:colOff>
      <xdr:row>1</xdr:row>
      <xdr:rowOff>553466</xdr:rowOff>
    </xdr:to>
    <xdr:sp macro="" textlink="">
      <xdr:nvSpPr>
        <xdr:cNvPr id="780" name="B ETHNICITY PAGE">
          <a:hlinkClick xmlns:r="http://schemas.openxmlformats.org/officeDocument/2006/relationships" r:id="rId11" tooltip="Back to Ethnicity &amp; Language Page"/>
          <a:extLst>
            <a:ext uri="{FF2B5EF4-FFF2-40B4-BE49-F238E27FC236}">
              <a16:creationId xmlns:a16="http://schemas.microsoft.com/office/drawing/2014/main" id="{776C424D-6F0A-4F29-9B47-4024655B5DFB}"/>
            </a:ext>
          </a:extLst>
        </xdr:cNvPr>
        <xdr:cNvSpPr/>
      </xdr:nvSpPr>
      <xdr:spPr>
        <a:xfrm>
          <a:off x="243145131"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195</xdr:col>
      <xdr:colOff>787451</xdr:colOff>
      <xdr:row>1</xdr:row>
      <xdr:rowOff>59690</xdr:rowOff>
    </xdr:from>
    <xdr:to>
      <xdr:col>196</xdr:col>
      <xdr:colOff>630478</xdr:colOff>
      <xdr:row>1</xdr:row>
      <xdr:rowOff>553466</xdr:rowOff>
    </xdr:to>
    <xdr:sp macro="" textlink="">
      <xdr:nvSpPr>
        <xdr:cNvPr id="781" name="B GEN DATA PAGE">
          <a:hlinkClick xmlns:r="http://schemas.openxmlformats.org/officeDocument/2006/relationships" r:id="rId12" tooltip="IHSS Applicants Page (Current)"/>
          <a:extLst>
            <a:ext uri="{FF2B5EF4-FFF2-40B4-BE49-F238E27FC236}">
              <a16:creationId xmlns:a16="http://schemas.microsoft.com/office/drawing/2014/main" id="{702DBD08-97F1-452B-A87E-0C2A5A8D0632}"/>
            </a:ext>
          </a:extLst>
        </xdr:cNvPr>
        <xdr:cNvSpPr/>
      </xdr:nvSpPr>
      <xdr:spPr>
        <a:xfrm>
          <a:off x="237418931"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198</xdr:col>
      <xdr:colOff>597067</xdr:colOff>
      <xdr:row>1</xdr:row>
      <xdr:rowOff>59690</xdr:rowOff>
    </xdr:from>
    <xdr:to>
      <xdr:col>199</xdr:col>
      <xdr:colOff>482005</xdr:colOff>
      <xdr:row>1</xdr:row>
      <xdr:rowOff>553466</xdr:rowOff>
    </xdr:to>
    <xdr:sp macro="" textlink="">
      <xdr:nvSpPr>
        <xdr:cNvPr id="782" name="B IHSS SERV PAGE">
          <a:hlinkClick xmlns:r="http://schemas.openxmlformats.org/officeDocument/2006/relationships" r:id="rId13" tooltip="IHSS Services Page (Current)"/>
          <a:extLst>
            <a:ext uri="{FF2B5EF4-FFF2-40B4-BE49-F238E27FC236}">
              <a16:creationId xmlns:a16="http://schemas.microsoft.com/office/drawing/2014/main" id="{19274208-C503-41E9-AD2E-2B01D3AE1214}"/>
            </a:ext>
          </a:extLst>
        </xdr:cNvPr>
        <xdr:cNvSpPr/>
      </xdr:nvSpPr>
      <xdr:spPr>
        <a:xfrm>
          <a:off x="240848047"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213</xdr:col>
      <xdr:colOff>22430</xdr:colOff>
      <xdr:row>1</xdr:row>
      <xdr:rowOff>59690</xdr:rowOff>
    </xdr:from>
    <xdr:to>
      <xdr:col>213</xdr:col>
      <xdr:colOff>1051638</xdr:colOff>
      <xdr:row>1</xdr:row>
      <xdr:rowOff>553466</xdr:rowOff>
    </xdr:to>
    <xdr:sp macro="" textlink="">
      <xdr:nvSpPr>
        <xdr:cNvPr id="783" name="B AGE PAGE">
          <a:hlinkClick xmlns:r="http://schemas.openxmlformats.org/officeDocument/2006/relationships" r:id="rId2" tooltip="Age &amp; Gender Page (Current)"/>
          <a:extLst>
            <a:ext uri="{FF2B5EF4-FFF2-40B4-BE49-F238E27FC236}">
              <a16:creationId xmlns:a16="http://schemas.microsoft.com/office/drawing/2014/main" id="{F8914903-AE26-4F6E-9317-61CC700700A3}"/>
            </a:ext>
          </a:extLst>
        </xdr:cNvPr>
        <xdr:cNvSpPr/>
      </xdr:nvSpPr>
      <xdr:spPr>
        <a:xfrm>
          <a:off x="258374720"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207</xdr:col>
      <xdr:colOff>363828</xdr:colOff>
      <xdr:row>1</xdr:row>
      <xdr:rowOff>59690</xdr:rowOff>
    </xdr:from>
    <xdr:to>
      <xdr:col>208</xdr:col>
      <xdr:colOff>253846</xdr:colOff>
      <xdr:row>1</xdr:row>
      <xdr:rowOff>553466</xdr:rowOff>
    </xdr:to>
    <xdr:sp macro="" textlink="">
      <xdr:nvSpPr>
        <xdr:cNvPr id="784" name="B HOME PAGE">
          <a:hlinkClick xmlns:r="http://schemas.openxmlformats.org/officeDocument/2006/relationships" r:id="rId3" tooltip="Back to Dashboard Page"/>
          <a:extLst>
            <a:ext uri="{FF2B5EF4-FFF2-40B4-BE49-F238E27FC236}">
              <a16:creationId xmlns:a16="http://schemas.microsoft.com/office/drawing/2014/main" id="{5724C327-209A-4223-A665-C4D0D63712C9}"/>
            </a:ext>
          </a:extLst>
        </xdr:cNvPr>
        <xdr:cNvSpPr/>
      </xdr:nvSpPr>
      <xdr:spPr>
        <a:xfrm>
          <a:off x="251478388"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208</xdr:col>
      <xdr:colOff>291900</xdr:colOff>
      <xdr:row>1</xdr:row>
      <xdr:rowOff>59690</xdr:rowOff>
    </xdr:from>
    <xdr:to>
      <xdr:col>209</xdr:col>
      <xdr:colOff>178108</xdr:colOff>
      <xdr:row>1</xdr:row>
      <xdr:rowOff>553466</xdr:rowOff>
    </xdr:to>
    <xdr:sp macro="" textlink="">
      <xdr:nvSpPr>
        <xdr:cNvPr id="785" name="B GEN DATA PAGE">
          <a:hlinkClick xmlns:r="http://schemas.openxmlformats.org/officeDocument/2006/relationships" r:id="rId4" tooltip="Back to General Data Page"/>
          <a:extLst>
            <a:ext uri="{FF2B5EF4-FFF2-40B4-BE49-F238E27FC236}">
              <a16:creationId xmlns:a16="http://schemas.microsoft.com/office/drawing/2014/main" id="{E4633FD5-8548-4557-AC41-A821188C5EAC}"/>
            </a:ext>
          </a:extLst>
        </xdr:cNvPr>
        <xdr:cNvSpPr/>
      </xdr:nvSpPr>
      <xdr:spPr>
        <a:xfrm>
          <a:off x="252619310"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210</xdr:col>
      <xdr:colOff>174713</xdr:colOff>
      <xdr:row>1</xdr:row>
      <xdr:rowOff>59690</xdr:rowOff>
    </xdr:from>
    <xdr:to>
      <xdr:col>211</xdr:col>
      <xdr:colOff>60922</xdr:colOff>
      <xdr:row>1</xdr:row>
      <xdr:rowOff>553466</xdr:rowOff>
    </xdr:to>
    <xdr:sp macro="" textlink="">
      <xdr:nvSpPr>
        <xdr:cNvPr id="786" name="B ABD PAGE">
          <a:hlinkClick xmlns:r="http://schemas.openxmlformats.org/officeDocument/2006/relationships" r:id="rId5" tooltip="Aged, Blind, or Disabled Page (Current)"/>
          <a:extLst>
            <a:ext uri="{FF2B5EF4-FFF2-40B4-BE49-F238E27FC236}">
              <a16:creationId xmlns:a16="http://schemas.microsoft.com/office/drawing/2014/main" id="{2904B1F9-487F-4FEC-B89A-10306333833D}"/>
            </a:ext>
          </a:extLst>
        </xdr:cNvPr>
        <xdr:cNvSpPr/>
      </xdr:nvSpPr>
      <xdr:spPr>
        <a:xfrm>
          <a:off x="254902423"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206</xdr:col>
      <xdr:colOff>401466</xdr:colOff>
      <xdr:row>1</xdr:row>
      <xdr:rowOff>59690</xdr:rowOff>
    </xdr:from>
    <xdr:to>
      <xdr:col>207</xdr:col>
      <xdr:colOff>288944</xdr:colOff>
      <xdr:row>1</xdr:row>
      <xdr:rowOff>553466</xdr:rowOff>
    </xdr:to>
    <xdr:sp macro="" textlink="">
      <xdr:nvSpPr>
        <xdr:cNvPr id="787" name="B GEN DATA PAGE">
          <a:hlinkClick xmlns:r="http://schemas.openxmlformats.org/officeDocument/2006/relationships" r:id="rId6" tooltip="Back to Navigation Page"/>
          <a:extLst>
            <a:ext uri="{FF2B5EF4-FFF2-40B4-BE49-F238E27FC236}">
              <a16:creationId xmlns:a16="http://schemas.microsoft.com/office/drawing/2014/main" id="{ED0E36ED-B217-472E-8CF0-12BA40DB17EB}"/>
            </a:ext>
          </a:extLst>
        </xdr:cNvPr>
        <xdr:cNvSpPr/>
      </xdr:nvSpPr>
      <xdr:spPr>
        <a:xfrm>
          <a:off x="250332386"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216</xdr:col>
      <xdr:colOff>974787</xdr:colOff>
      <xdr:row>1</xdr:row>
      <xdr:rowOff>59690</xdr:rowOff>
    </xdr:from>
    <xdr:to>
      <xdr:col>217</xdr:col>
      <xdr:colOff>860450</xdr:colOff>
      <xdr:row>1</xdr:row>
      <xdr:rowOff>557276</xdr:rowOff>
    </xdr:to>
    <xdr:sp macro="" textlink="">
      <xdr:nvSpPr>
        <xdr:cNvPr id="788" name="B ALL DATA PAGE">
          <a:hlinkClick xmlns:r="http://schemas.openxmlformats.org/officeDocument/2006/relationships" r:id="rId7" tooltip="Back to All Data Page"/>
          <a:extLst>
            <a:ext uri="{FF2B5EF4-FFF2-40B4-BE49-F238E27FC236}">
              <a16:creationId xmlns:a16="http://schemas.microsoft.com/office/drawing/2014/main" id="{D7BC70FC-94D5-4612-811C-8EFE24B4999D}"/>
            </a:ext>
          </a:extLst>
        </xdr:cNvPr>
        <xdr:cNvSpPr/>
      </xdr:nvSpPr>
      <xdr:spPr>
        <a:xfrm>
          <a:off x="262950387"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215</xdr:col>
      <xdr:colOff>1049673</xdr:colOff>
      <xdr:row>1</xdr:row>
      <xdr:rowOff>59690</xdr:rowOff>
    </xdr:from>
    <xdr:to>
      <xdr:col>216</xdr:col>
      <xdr:colOff>901168</xdr:colOff>
      <xdr:row>1</xdr:row>
      <xdr:rowOff>553466</xdr:rowOff>
    </xdr:to>
    <xdr:sp macro="" textlink="">
      <xdr:nvSpPr>
        <xdr:cNvPr id="789" name="B TERMS PAGE">
          <a:hlinkClick xmlns:r="http://schemas.openxmlformats.org/officeDocument/2006/relationships" r:id="rId8" tooltip="Back to Appendix &amp; Terms Page"/>
          <a:extLst>
            <a:ext uri="{FF2B5EF4-FFF2-40B4-BE49-F238E27FC236}">
              <a16:creationId xmlns:a16="http://schemas.microsoft.com/office/drawing/2014/main" id="{78BD6A4F-8D60-43EF-8AAB-FD5C94CA6F76}"/>
            </a:ext>
          </a:extLst>
        </xdr:cNvPr>
        <xdr:cNvSpPr/>
      </xdr:nvSpPr>
      <xdr:spPr>
        <a:xfrm>
          <a:off x="261817503"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214</xdr:col>
      <xdr:colOff>1106664</xdr:colOff>
      <xdr:row>1</xdr:row>
      <xdr:rowOff>59690</xdr:rowOff>
    </xdr:from>
    <xdr:to>
      <xdr:col>215</xdr:col>
      <xdr:colOff>975636</xdr:colOff>
      <xdr:row>1</xdr:row>
      <xdr:rowOff>553466</xdr:rowOff>
    </xdr:to>
    <xdr:sp macro="" textlink="">
      <xdr:nvSpPr>
        <xdr:cNvPr id="790" name="B PROV DET PAGE">
          <a:hlinkClick xmlns:r="http://schemas.openxmlformats.org/officeDocument/2006/relationships" r:id="rId9" tooltip="Back to Provider Page"/>
          <a:extLst>
            <a:ext uri="{FF2B5EF4-FFF2-40B4-BE49-F238E27FC236}">
              <a16:creationId xmlns:a16="http://schemas.microsoft.com/office/drawing/2014/main" id="{3C6E7D45-718B-4ACC-87D0-83B549B74A5A}"/>
            </a:ext>
          </a:extLst>
        </xdr:cNvPr>
        <xdr:cNvSpPr/>
      </xdr:nvSpPr>
      <xdr:spPr>
        <a:xfrm>
          <a:off x="260674344"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211</xdr:col>
      <xdr:colOff>135806</xdr:colOff>
      <xdr:row>1</xdr:row>
      <xdr:rowOff>59690</xdr:rowOff>
    </xdr:from>
    <xdr:to>
      <xdr:col>211</xdr:col>
      <xdr:colOff>1164591</xdr:colOff>
      <xdr:row>1</xdr:row>
      <xdr:rowOff>553466</xdr:rowOff>
    </xdr:to>
    <xdr:sp macro="" textlink="">
      <xdr:nvSpPr>
        <xdr:cNvPr id="791" name="B IHSS PROG PAGE">
          <a:hlinkClick xmlns:r="http://schemas.openxmlformats.org/officeDocument/2006/relationships" r:id="rId10" tooltip="Back to Program Equity Page"/>
          <a:extLst>
            <a:ext uri="{FF2B5EF4-FFF2-40B4-BE49-F238E27FC236}">
              <a16:creationId xmlns:a16="http://schemas.microsoft.com/office/drawing/2014/main" id="{CD297575-3CFD-4086-AC5A-AD10FA375DA0}"/>
            </a:ext>
          </a:extLst>
        </xdr:cNvPr>
        <xdr:cNvSpPr/>
      </xdr:nvSpPr>
      <xdr:spPr>
        <a:xfrm>
          <a:off x="256073826"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213</xdr:col>
      <xdr:colOff>1125252</xdr:colOff>
      <xdr:row>1</xdr:row>
      <xdr:rowOff>59690</xdr:rowOff>
    </xdr:from>
    <xdr:to>
      <xdr:col>214</xdr:col>
      <xdr:colOff>1015814</xdr:colOff>
      <xdr:row>1</xdr:row>
      <xdr:rowOff>553466</xdr:rowOff>
    </xdr:to>
    <xdr:sp macro="" textlink="">
      <xdr:nvSpPr>
        <xdr:cNvPr id="792" name="B ETHNICITY PAGE">
          <a:hlinkClick xmlns:r="http://schemas.openxmlformats.org/officeDocument/2006/relationships" r:id="rId11" tooltip="Back to Ethnicity &amp; Language Page"/>
          <a:extLst>
            <a:ext uri="{FF2B5EF4-FFF2-40B4-BE49-F238E27FC236}">
              <a16:creationId xmlns:a16="http://schemas.microsoft.com/office/drawing/2014/main" id="{62DF8075-FE73-4CB5-B5F3-0EDACF0076E6}"/>
            </a:ext>
          </a:extLst>
        </xdr:cNvPr>
        <xdr:cNvSpPr/>
      </xdr:nvSpPr>
      <xdr:spPr>
        <a:xfrm>
          <a:off x="259501672"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209</xdr:col>
      <xdr:colOff>251722</xdr:colOff>
      <xdr:row>1</xdr:row>
      <xdr:rowOff>59690</xdr:rowOff>
    </xdr:from>
    <xdr:to>
      <xdr:col>210</xdr:col>
      <xdr:colOff>101099</xdr:colOff>
      <xdr:row>1</xdr:row>
      <xdr:rowOff>553466</xdr:rowOff>
    </xdr:to>
    <xdr:sp macro="" textlink="">
      <xdr:nvSpPr>
        <xdr:cNvPr id="793" name="B GEN DATA PAGE">
          <a:hlinkClick xmlns:r="http://schemas.openxmlformats.org/officeDocument/2006/relationships" r:id="rId12" tooltip="IHSS Applicants Page (Current)"/>
          <a:extLst>
            <a:ext uri="{FF2B5EF4-FFF2-40B4-BE49-F238E27FC236}">
              <a16:creationId xmlns:a16="http://schemas.microsoft.com/office/drawing/2014/main" id="{571C95DD-BF56-4BC9-A5EF-026D3DD4AE09}"/>
            </a:ext>
          </a:extLst>
        </xdr:cNvPr>
        <xdr:cNvSpPr/>
      </xdr:nvSpPr>
      <xdr:spPr>
        <a:xfrm>
          <a:off x="253775472"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212</xdr:col>
      <xdr:colOff>60068</xdr:colOff>
      <xdr:row>1</xdr:row>
      <xdr:rowOff>59690</xdr:rowOff>
    </xdr:from>
    <xdr:to>
      <xdr:col>212</xdr:col>
      <xdr:colOff>1127376</xdr:colOff>
      <xdr:row>1</xdr:row>
      <xdr:rowOff>553466</xdr:rowOff>
    </xdr:to>
    <xdr:sp macro="" textlink="">
      <xdr:nvSpPr>
        <xdr:cNvPr id="794" name="B IHSS SERV PAGE">
          <a:hlinkClick xmlns:r="http://schemas.openxmlformats.org/officeDocument/2006/relationships" r:id="rId13" tooltip="IHSS Services Page (Current)"/>
          <a:extLst>
            <a:ext uri="{FF2B5EF4-FFF2-40B4-BE49-F238E27FC236}">
              <a16:creationId xmlns:a16="http://schemas.microsoft.com/office/drawing/2014/main" id="{6084C717-476C-4996-A751-7DCCA5711A8A}"/>
            </a:ext>
          </a:extLst>
        </xdr:cNvPr>
        <xdr:cNvSpPr/>
      </xdr:nvSpPr>
      <xdr:spPr>
        <a:xfrm>
          <a:off x="257204588"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213</xdr:col>
      <xdr:colOff>2745</xdr:colOff>
      <xdr:row>1</xdr:row>
      <xdr:rowOff>59690</xdr:rowOff>
    </xdr:from>
    <xdr:to>
      <xdr:col>213</xdr:col>
      <xdr:colOff>1049733</xdr:colOff>
      <xdr:row>1</xdr:row>
      <xdr:rowOff>553466</xdr:rowOff>
    </xdr:to>
    <xdr:sp macro="" textlink="">
      <xdr:nvSpPr>
        <xdr:cNvPr id="795" name="B AGE PAGE">
          <a:hlinkClick xmlns:r="http://schemas.openxmlformats.org/officeDocument/2006/relationships" r:id="rId2" tooltip="Age &amp; Gender Page (Current)"/>
          <a:extLst>
            <a:ext uri="{FF2B5EF4-FFF2-40B4-BE49-F238E27FC236}">
              <a16:creationId xmlns:a16="http://schemas.microsoft.com/office/drawing/2014/main" id="{9BA2383A-E00E-4F94-8B18-128FF0F17879}"/>
            </a:ext>
          </a:extLst>
        </xdr:cNvPr>
        <xdr:cNvSpPr/>
      </xdr:nvSpPr>
      <xdr:spPr>
        <a:xfrm>
          <a:off x="258358845"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207</xdr:col>
      <xdr:colOff>325093</xdr:colOff>
      <xdr:row>1</xdr:row>
      <xdr:rowOff>59690</xdr:rowOff>
    </xdr:from>
    <xdr:to>
      <xdr:col>208</xdr:col>
      <xdr:colOff>216381</xdr:colOff>
      <xdr:row>1</xdr:row>
      <xdr:rowOff>553466</xdr:rowOff>
    </xdr:to>
    <xdr:sp macro="" textlink="">
      <xdr:nvSpPr>
        <xdr:cNvPr id="796" name="B HOME PAGE">
          <a:hlinkClick xmlns:r="http://schemas.openxmlformats.org/officeDocument/2006/relationships" r:id="rId3" tooltip="Back to Dashboard Page"/>
          <a:extLst>
            <a:ext uri="{FF2B5EF4-FFF2-40B4-BE49-F238E27FC236}">
              <a16:creationId xmlns:a16="http://schemas.microsoft.com/office/drawing/2014/main" id="{B3A0B388-07E3-4A6B-99B7-3A0E1CD7A75F}"/>
            </a:ext>
          </a:extLst>
        </xdr:cNvPr>
        <xdr:cNvSpPr/>
      </xdr:nvSpPr>
      <xdr:spPr>
        <a:xfrm>
          <a:off x="251462513"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208</xdr:col>
      <xdr:colOff>289995</xdr:colOff>
      <xdr:row>1</xdr:row>
      <xdr:rowOff>59690</xdr:rowOff>
    </xdr:from>
    <xdr:to>
      <xdr:col>209</xdr:col>
      <xdr:colOff>136833</xdr:colOff>
      <xdr:row>1</xdr:row>
      <xdr:rowOff>553466</xdr:rowOff>
    </xdr:to>
    <xdr:sp macro="" textlink="">
      <xdr:nvSpPr>
        <xdr:cNvPr id="797" name="B GEN DATA PAGE">
          <a:hlinkClick xmlns:r="http://schemas.openxmlformats.org/officeDocument/2006/relationships" r:id="rId4" tooltip="Back to General Data Page"/>
          <a:extLst>
            <a:ext uri="{FF2B5EF4-FFF2-40B4-BE49-F238E27FC236}">
              <a16:creationId xmlns:a16="http://schemas.microsoft.com/office/drawing/2014/main" id="{D51DA45D-B968-4BC1-9558-87549932CE84}"/>
            </a:ext>
          </a:extLst>
        </xdr:cNvPr>
        <xdr:cNvSpPr/>
      </xdr:nvSpPr>
      <xdr:spPr>
        <a:xfrm>
          <a:off x="252603435"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210</xdr:col>
      <xdr:colOff>134708</xdr:colOff>
      <xdr:row>1</xdr:row>
      <xdr:rowOff>59690</xdr:rowOff>
    </xdr:from>
    <xdr:to>
      <xdr:col>211</xdr:col>
      <xdr:colOff>25997</xdr:colOff>
      <xdr:row>1</xdr:row>
      <xdr:rowOff>553466</xdr:rowOff>
    </xdr:to>
    <xdr:sp macro="" textlink="">
      <xdr:nvSpPr>
        <xdr:cNvPr id="798" name="B ABD PAGE">
          <a:hlinkClick xmlns:r="http://schemas.openxmlformats.org/officeDocument/2006/relationships" r:id="rId5" tooltip="Aged, Blind, or Disabled Page (Current)"/>
          <a:extLst>
            <a:ext uri="{FF2B5EF4-FFF2-40B4-BE49-F238E27FC236}">
              <a16:creationId xmlns:a16="http://schemas.microsoft.com/office/drawing/2014/main" id="{48E37108-30F9-4012-926B-6ACC3A42FE90}"/>
            </a:ext>
          </a:extLst>
        </xdr:cNvPr>
        <xdr:cNvSpPr/>
      </xdr:nvSpPr>
      <xdr:spPr>
        <a:xfrm>
          <a:off x="254886548"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206</xdr:col>
      <xdr:colOff>403371</xdr:colOff>
      <xdr:row>1</xdr:row>
      <xdr:rowOff>59690</xdr:rowOff>
    </xdr:from>
    <xdr:to>
      <xdr:col>207</xdr:col>
      <xdr:colOff>250209</xdr:colOff>
      <xdr:row>1</xdr:row>
      <xdr:rowOff>553466</xdr:rowOff>
    </xdr:to>
    <xdr:sp macro="" textlink="">
      <xdr:nvSpPr>
        <xdr:cNvPr id="799" name="B GEN DATA PAGE">
          <a:hlinkClick xmlns:r="http://schemas.openxmlformats.org/officeDocument/2006/relationships" r:id="rId6" tooltip="Back to Navigation Page"/>
          <a:extLst>
            <a:ext uri="{FF2B5EF4-FFF2-40B4-BE49-F238E27FC236}">
              <a16:creationId xmlns:a16="http://schemas.microsoft.com/office/drawing/2014/main" id="{CCD5A68B-DE90-46FD-A2E0-A07564D7C02B}"/>
            </a:ext>
          </a:extLst>
        </xdr:cNvPr>
        <xdr:cNvSpPr/>
      </xdr:nvSpPr>
      <xdr:spPr>
        <a:xfrm>
          <a:off x="250316511"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216</xdr:col>
      <xdr:colOff>953832</xdr:colOff>
      <xdr:row>1</xdr:row>
      <xdr:rowOff>59690</xdr:rowOff>
    </xdr:from>
    <xdr:to>
      <xdr:col>217</xdr:col>
      <xdr:colOff>820445</xdr:colOff>
      <xdr:row>1</xdr:row>
      <xdr:rowOff>557276</xdr:rowOff>
    </xdr:to>
    <xdr:sp macro="" textlink="">
      <xdr:nvSpPr>
        <xdr:cNvPr id="800" name="B ALL DATA PAGE">
          <a:hlinkClick xmlns:r="http://schemas.openxmlformats.org/officeDocument/2006/relationships" r:id="rId7" tooltip="Back to All Data Page"/>
          <a:extLst>
            <a:ext uri="{FF2B5EF4-FFF2-40B4-BE49-F238E27FC236}">
              <a16:creationId xmlns:a16="http://schemas.microsoft.com/office/drawing/2014/main" id="{BF1A6EEA-16F2-4B6D-A981-D7577C23DECF}"/>
            </a:ext>
          </a:extLst>
        </xdr:cNvPr>
        <xdr:cNvSpPr/>
      </xdr:nvSpPr>
      <xdr:spPr>
        <a:xfrm>
          <a:off x="262934512"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215</xdr:col>
      <xdr:colOff>1013478</xdr:colOff>
      <xdr:row>1</xdr:row>
      <xdr:rowOff>59690</xdr:rowOff>
    </xdr:from>
    <xdr:to>
      <xdr:col>216</xdr:col>
      <xdr:colOff>875133</xdr:colOff>
      <xdr:row>1</xdr:row>
      <xdr:rowOff>553466</xdr:rowOff>
    </xdr:to>
    <xdr:sp macro="" textlink="">
      <xdr:nvSpPr>
        <xdr:cNvPr id="801" name="B TERMS PAGE">
          <a:hlinkClick xmlns:r="http://schemas.openxmlformats.org/officeDocument/2006/relationships" r:id="rId8" tooltip="Back to Appendix &amp; Terms Page"/>
          <a:extLst>
            <a:ext uri="{FF2B5EF4-FFF2-40B4-BE49-F238E27FC236}">
              <a16:creationId xmlns:a16="http://schemas.microsoft.com/office/drawing/2014/main" id="{011BADDA-DC89-499B-A74E-35D4E20ABBF9}"/>
            </a:ext>
          </a:extLst>
        </xdr:cNvPr>
        <xdr:cNvSpPr/>
      </xdr:nvSpPr>
      <xdr:spPr>
        <a:xfrm>
          <a:off x="261801628"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214</xdr:col>
      <xdr:colOff>1092059</xdr:colOff>
      <xdr:row>1</xdr:row>
      <xdr:rowOff>59690</xdr:rowOff>
    </xdr:from>
    <xdr:to>
      <xdr:col>215</xdr:col>
      <xdr:colOff>938171</xdr:colOff>
      <xdr:row>1</xdr:row>
      <xdr:rowOff>553466</xdr:rowOff>
    </xdr:to>
    <xdr:sp macro="" textlink="">
      <xdr:nvSpPr>
        <xdr:cNvPr id="802" name="B PROV DET PAGE">
          <a:hlinkClick xmlns:r="http://schemas.openxmlformats.org/officeDocument/2006/relationships" r:id="rId9" tooltip="Back to Provider Page"/>
          <a:extLst>
            <a:ext uri="{FF2B5EF4-FFF2-40B4-BE49-F238E27FC236}">
              <a16:creationId xmlns:a16="http://schemas.microsoft.com/office/drawing/2014/main" id="{82D7A828-B96C-4EBC-A0C7-E630DC7CAC18}"/>
            </a:ext>
          </a:extLst>
        </xdr:cNvPr>
        <xdr:cNvSpPr/>
      </xdr:nvSpPr>
      <xdr:spPr>
        <a:xfrm>
          <a:off x="260658469"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211</xdr:col>
      <xdr:colOff>99611</xdr:colOff>
      <xdr:row>1</xdr:row>
      <xdr:rowOff>59690</xdr:rowOff>
    </xdr:from>
    <xdr:to>
      <xdr:col>211</xdr:col>
      <xdr:colOff>1166496</xdr:colOff>
      <xdr:row>1</xdr:row>
      <xdr:rowOff>553466</xdr:rowOff>
    </xdr:to>
    <xdr:sp macro="" textlink="">
      <xdr:nvSpPr>
        <xdr:cNvPr id="803" name="B IHSS PROG PAGE">
          <a:hlinkClick xmlns:r="http://schemas.openxmlformats.org/officeDocument/2006/relationships" r:id="rId10" tooltip="Back to Program Equity Page"/>
          <a:extLst>
            <a:ext uri="{FF2B5EF4-FFF2-40B4-BE49-F238E27FC236}">
              <a16:creationId xmlns:a16="http://schemas.microsoft.com/office/drawing/2014/main" id="{2F131993-CE03-4545-94E8-1770E2F8656F}"/>
            </a:ext>
          </a:extLst>
        </xdr:cNvPr>
        <xdr:cNvSpPr/>
      </xdr:nvSpPr>
      <xdr:spPr>
        <a:xfrm>
          <a:off x="256057951"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213</xdr:col>
      <xdr:colOff>1127157</xdr:colOff>
      <xdr:row>1</xdr:row>
      <xdr:rowOff>59690</xdr:rowOff>
    </xdr:from>
    <xdr:to>
      <xdr:col>214</xdr:col>
      <xdr:colOff>1013909</xdr:colOff>
      <xdr:row>1</xdr:row>
      <xdr:rowOff>553466</xdr:rowOff>
    </xdr:to>
    <xdr:sp macro="" textlink="">
      <xdr:nvSpPr>
        <xdr:cNvPr id="804" name="B ETHNICITY PAGE">
          <a:hlinkClick xmlns:r="http://schemas.openxmlformats.org/officeDocument/2006/relationships" r:id="rId11" tooltip="Back to Ethnicity &amp; Language Page"/>
          <a:extLst>
            <a:ext uri="{FF2B5EF4-FFF2-40B4-BE49-F238E27FC236}">
              <a16:creationId xmlns:a16="http://schemas.microsoft.com/office/drawing/2014/main" id="{0732364E-8ADB-4CC1-AFB1-DAA8B1785018}"/>
            </a:ext>
          </a:extLst>
        </xdr:cNvPr>
        <xdr:cNvSpPr/>
      </xdr:nvSpPr>
      <xdr:spPr>
        <a:xfrm>
          <a:off x="259485797"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209</xdr:col>
      <xdr:colOff>214257</xdr:colOff>
      <xdr:row>1</xdr:row>
      <xdr:rowOff>59690</xdr:rowOff>
    </xdr:from>
    <xdr:to>
      <xdr:col>210</xdr:col>
      <xdr:colOff>101734</xdr:colOff>
      <xdr:row>1</xdr:row>
      <xdr:rowOff>553466</xdr:rowOff>
    </xdr:to>
    <xdr:sp macro="" textlink="">
      <xdr:nvSpPr>
        <xdr:cNvPr id="805" name="B GEN DATA PAGE">
          <a:hlinkClick xmlns:r="http://schemas.openxmlformats.org/officeDocument/2006/relationships" r:id="rId12" tooltip="IHSS Applicants Page (Current)"/>
          <a:extLst>
            <a:ext uri="{FF2B5EF4-FFF2-40B4-BE49-F238E27FC236}">
              <a16:creationId xmlns:a16="http://schemas.microsoft.com/office/drawing/2014/main" id="{94DC84DC-820A-4C55-A2B5-7A92EDD292A7}"/>
            </a:ext>
          </a:extLst>
        </xdr:cNvPr>
        <xdr:cNvSpPr/>
      </xdr:nvSpPr>
      <xdr:spPr>
        <a:xfrm>
          <a:off x="253759597"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212</xdr:col>
      <xdr:colOff>23873</xdr:colOff>
      <xdr:row>1</xdr:row>
      <xdr:rowOff>59690</xdr:rowOff>
    </xdr:from>
    <xdr:to>
      <xdr:col>212</xdr:col>
      <xdr:colOff>1128011</xdr:colOff>
      <xdr:row>1</xdr:row>
      <xdr:rowOff>553466</xdr:rowOff>
    </xdr:to>
    <xdr:sp macro="" textlink="">
      <xdr:nvSpPr>
        <xdr:cNvPr id="806" name="B IHSS SERV PAGE">
          <a:hlinkClick xmlns:r="http://schemas.openxmlformats.org/officeDocument/2006/relationships" r:id="rId13" tooltip="IHSS Services Page (Current)"/>
          <a:extLst>
            <a:ext uri="{FF2B5EF4-FFF2-40B4-BE49-F238E27FC236}">
              <a16:creationId xmlns:a16="http://schemas.microsoft.com/office/drawing/2014/main" id="{12F789D7-8977-43CB-A52F-33679DC431A1}"/>
            </a:ext>
          </a:extLst>
        </xdr:cNvPr>
        <xdr:cNvSpPr/>
      </xdr:nvSpPr>
      <xdr:spPr>
        <a:xfrm>
          <a:off x="257188713"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226</xdr:col>
      <xdr:colOff>610440</xdr:colOff>
      <xdr:row>1</xdr:row>
      <xdr:rowOff>59690</xdr:rowOff>
    </xdr:from>
    <xdr:to>
      <xdr:col>227</xdr:col>
      <xdr:colOff>442038</xdr:colOff>
      <xdr:row>1</xdr:row>
      <xdr:rowOff>553466</xdr:rowOff>
    </xdr:to>
    <xdr:sp macro="" textlink="">
      <xdr:nvSpPr>
        <xdr:cNvPr id="807" name="B AGE PAGE">
          <a:hlinkClick xmlns:r="http://schemas.openxmlformats.org/officeDocument/2006/relationships" r:id="rId2" tooltip="Age &amp; Gender Page (Current)"/>
          <a:extLst>
            <a:ext uri="{FF2B5EF4-FFF2-40B4-BE49-F238E27FC236}">
              <a16:creationId xmlns:a16="http://schemas.microsoft.com/office/drawing/2014/main" id="{F6B1D8FB-092D-4713-B9C5-CE3882B17106}"/>
            </a:ext>
          </a:extLst>
        </xdr:cNvPr>
        <xdr:cNvSpPr/>
      </xdr:nvSpPr>
      <xdr:spPr>
        <a:xfrm>
          <a:off x="274656120"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220</xdr:col>
      <xdr:colOff>951838</xdr:colOff>
      <xdr:row>1</xdr:row>
      <xdr:rowOff>59690</xdr:rowOff>
    </xdr:from>
    <xdr:to>
      <xdr:col>221</xdr:col>
      <xdr:colOff>820266</xdr:colOff>
      <xdr:row>1</xdr:row>
      <xdr:rowOff>553466</xdr:rowOff>
    </xdr:to>
    <xdr:sp macro="" textlink="">
      <xdr:nvSpPr>
        <xdr:cNvPr id="808" name="B HOME PAGE">
          <a:hlinkClick xmlns:r="http://schemas.openxmlformats.org/officeDocument/2006/relationships" r:id="rId3" tooltip="Back to Dashboard Page"/>
          <a:extLst>
            <a:ext uri="{FF2B5EF4-FFF2-40B4-BE49-F238E27FC236}">
              <a16:creationId xmlns:a16="http://schemas.microsoft.com/office/drawing/2014/main" id="{E579A126-0D9C-43B4-A882-533F12EB9E45}"/>
            </a:ext>
          </a:extLst>
        </xdr:cNvPr>
        <xdr:cNvSpPr/>
      </xdr:nvSpPr>
      <xdr:spPr>
        <a:xfrm>
          <a:off x="267759788"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221</xdr:col>
      <xdr:colOff>898960</xdr:colOff>
      <xdr:row>1</xdr:row>
      <xdr:rowOff>59690</xdr:rowOff>
    </xdr:from>
    <xdr:to>
      <xdr:col>222</xdr:col>
      <xdr:colOff>744528</xdr:colOff>
      <xdr:row>1</xdr:row>
      <xdr:rowOff>553466</xdr:rowOff>
    </xdr:to>
    <xdr:sp macro="" textlink="">
      <xdr:nvSpPr>
        <xdr:cNvPr id="809" name="B GEN DATA PAGE">
          <a:hlinkClick xmlns:r="http://schemas.openxmlformats.org/officeDocument/2006/relationships" r:id="rId4" tooltip="Back to General Data Page"/>
          <a:extLst>
            <a:ext uri="{FF2B5EF4-FFF2-40B4-BE49-F238E27FC236}">
              <a16:creationId xmlns:a16="http://schemas.microsoft.com/office/drawing/2014/main" id="{9356EB6C-6F4A-4DCE-8BDF-DEA249A7D076}"/>
            </a:ext>
          </a:extLst>
        </xdr:cNvPr>
        <xdr:cNvSpPr/>
      </xdr:nvSpPr>
      <xdr:spPr>
        <a:xfrm>
          <a:off x="268900710"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223</xdr:col>
      <xdr:colOff>747483</xdr:colOff>
      <xdr:row>1</xdr:row>
      <xdr:rowOff>59690</xdr:rowOff>
    </xdr:from>
    <xdr:to>
      <xdr:col>224</xdr:col>
      <xdr:colOff>648932</xdr:colOff>
      <xdr:row>1</xdr:row>
      <xdr:rowOff>553466</xdr:rowOff>
    </xdr:to>
    <xdr:sp macro="" textlink="">
      <xdr:nvSpPr>
        <xdr:cNvPr id="810" name="B ABD PAGE">
          <a:hlinkClick xmlns:r="http://schemas.openxmlformats.org/officeDocument/2006/relationships" r:id="rId5" tooltip="Aged, Blind, or Disabled Page (Current)"/>
          <a:extLst>
            <a:ext uri="{FF2B5EF4-FFF2-40B4-BE49-F238E27FC236}">
              <a16:creationId xmlns:a16="http://schemas.microsoft.com/office/drawing/2014/main" id="{3E354EF7-DE8A-49A2-B920-02FDA9E94983}"/>
            </a:ext>
          </a:extLst>
        </xdr:cNvPr>
        <xdr:cNvSpPr/>
      </xdr:nvSpPr>
      <xdr:spPr>
        <a:xfrm>
          <a:off x="271183823"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219</xdr:col>
      <xdr:colOff>1016146</xdr:colOff>
      <xdr:row>1</xdr:row>
      <xdr:rowOff>59690</xdr:rowOff>
    </xdr:from>
    <xdr:to>
      <xdr:col>220</xdr:col>
      <xdr:colOff>860444</xdr:colOff>
      <xdr:row>1</xdr:row>
      <xdr:rowOff>553466</xdr:rowOff>
    </xdr:to>
    <xdr:sp macro="" textlink="">
      <xdr:nvSpPr>
        <xdr:cNvPr id="811" name="B GEN DATA PAGE">
          <a:hlinkClick xmlns:r="http://schemas.openxmlformats.org/officeDocument/2006/relationships" r:id="rId6" tooltip="Back to Navigation Page"/>
          <a:extLst>
            <a:ext uri="{FF2B5EF4-FFF2-40B4-BE49-F238E27FC236}">
              <a16:creationId xmlns:a16="http://schemas.microsoft.com/office/drawing/2014/main" id="{641B360F-C11B-4540-9765-6EC97DD7B9A0}"/>
            </a:ext>
          </a:extLst>
        </xdr:cNvPr>
        <xdr:cNvSpPr/>
      </xdr:nvSpPr>
      <xdr:spPr>
        <a:xfrm>
          <a:off x="266613786"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230</xdr:col>
      <xdr:colOff>365187</xdr:colOff>
      <xdr:row>1</xdr:row>
      <xdr:rowOff>59690</xdr:rowOff>
    </xdr:from>
    <xdr:to>
      <xdr:col>231</xdr:col>
      <xdr:colOff>250850</xdr:colOff>
      <xdr:row>1</xdr:row>
      <xdr:rowOff>557276</xdr:rowOff>
    </xdr:to>
    <xdr:sp macro="" textlink="">
      <xdr:nvSpPr>
        <xdr:cNvPr id="812" name="B ALL DATA PAGE">
          <a:hlinkClick xmlns:r="http://schemas.openxmlformats.org/officeDocument/2006/relationships" r:id="rId7" tooltip="Back to All Data Page"/>
          <a:extLst>
            <a:ext uri="{FF2B5EF4-FFF2-40B4-BE49-F238E27FC236}">
              <a16:creationId xmlns:a16="http://schemas.microsoft.com/office/drawing/2014/main" id="{74BAFB75-A2C8-4FA0-B1A6-CAEC8B1FAE1A}"/>
            </a:ext>
          </a:extLst>
        </xdr:cNvPr>
        <xdr:cNvSpPr/>
      </xdr:nvSpPr>
      <xdr:spPr>
        <a:xfrm>
          <a:off x="279231787"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229</xdr:col>
      <xdr:colOff>440073</xdr:colOff>
      <xdr:row>1</xdr:row>
      <xdr:rowOff>59690</xdr:rowOff>
    </xdr:from>
    <xdr:to>
      <xdr:col>230</xdr:col>
      <xdr:colOff>291568</xdr:colOff>
      <xdr:row>1</xdr:row>
      <xdr:rowOff>553466</xdr:rowOff>
    </xdr:to>
    <xdr:sp macro="" textlink="">
      <xdr:nvSpPr>
        <xdr:cNvPr id="813" name="B TERMS PAGE">
          <a:hlinkClick xmlns:r="http://schemas.openxmlformats.org/officeDocument/2006/relationships" r:id="rId8" tooltip="Back to Appendix &amp; Terms Page"/>
          <a:extLst>
            <a:ext uri="{FF2B5EF4-FFF2-40B4-BE49-F238E27FC236}">
              <a16:creationId xmlns:a16="http://schemas.microsoft.com/office/drawing/2014/main" id="{32FF6377-D405-40B9-ACEB-882D8D3DA54E}"/>
            </a:ext>
          </a:extLst>
        </xdr:cNvPr>
        <xdr:cNvSpPr/>
      </xdr:nvSpPr>
      <xdr:spPr>
        <a:xfrm>
          <a:off x="278098903"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228</xdr:col>
      <xdr:colOff>497064</xdr:colOff>
      <xdr:row>1</xdr:row>
      <xdr:rowOff>59690</xdr:rowOff>
    </xdr:from>
    <xdr:to>
      <xdr:col>229</xdr:col>
      <xdr:colOff>366036</xdr:colOff>
      <xdr:row>1</xdr:row>
      <xdr:rowOff>553466</xdr:rowOff>
    </xdr:to>
    <xdr:sp macro="" textlink="">
      <xdr:nvSpPr>
        <xdr:cNvPr id="814" name="B PROV DET PAGE">
          <a:hlinkClick xmlns:r="http://schemas.openxmlformats.org/officeDocument/2006/relationships" r:id="rId9" tooltip="Back to Provider Page"/>
          <a:extLst>
            <a:ext uri="{FF2B5EF4-FFF2-40B4-BE49-F238E27FC236}">
              <a16:creationId xmlns:a16="http://schemas.microsoft.com/office/drawing/2014/main" id="{19E88AE2-0419-4774-ADC1-3B8F49D39ED8}"/>
            </a:ext>
          </a:extLst>
        </xdr:cNvPr>
        <xdr:cNvSpPr/>
      </xdr:nvSpPr>
      <xdr:spPr>
        <a:xfrm>
          <a:off x="276955744"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224</xdr:col>
      <xdr:colOff>708576</xdr:colOff>
      <xdr:row>1</xdr:row>
      <xdr:rowOff>59690</xdr:rowOff>
    </xdr:from>
    <xdr:to>
      <xdr:col>225</xdr:col>
      <xdr:colOff>594784</xdr:colOff>
      <xdr:row>1</xdr:row>
      <xdr:rowOff>553466</xdr:rowOff>
    </xdr:to>
    <xdr:sp macro="" textlink="">
      <xdr:nvSpPr>
        <xdr:cNvPr id="815" name="B IHSS PROG PAGE">
          <a:hlinkClick xmlns:r="http://schemas.openxmlformats.org/officeDocument/2006/relationships" r:id="rId10" tooltip="Back to Program Equity Page"/>
          <a:extLst>
            <a:ext uri="{FF2B5EF4-FFF2-40B4-BE49-F238E27FC236}">
              <a16:creationId xmlns:a16="http://schemas.microsoft.com/office/drawing/2014/main" id="{AA5C613B-4B17-42CF-B748-39A0AE92F632}"/>
            </a:ext>
          </a:extLst>
        </xdr:cNvPr>
        <xdr:cNvSpPr/>
      </xdr:nvSpPr>
      <xdr:spPr>
        <a:xfrm>
          <a:off x="272355226"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227</xdr:col>
      <xdr:colOff>515652</xdr:colOff>
      <xdr:row>1</xdr:row>
      <xdr:rowOff>59690</xdr:rowOff>
    </xdr:from>
    <xdr:to>
      <xdr:col>228</xdr:col>
      <xdr:colOff>406214</xdr:colOff>
      <xdr:row>1</xdr:row>
      <xdr:rowOff>553466</xdr:rowOff>
    </xdr:to>
    <xdr:sp macro="" textlink="">
      <xdr:nvSpPr>
        <xdr:cNvPr id="816" name="B ETHNICITY PAGE">
          <a:hlinkClick xmlns:r="http://schemas.openxmlformats.org/officeDocument/2006/relationships" r:id="rId11" tooltip="Back to Ethnicity &amp; Language Page"/>
          <a:extLst>
            <a:ext uri="{FF2B5EF4-FFF2-40B4-BE49-F238E27FC236}">
              <a16:creationId xmlns:a16="http://schemas.microsoft.com/office/drawing/2014/main" id="{80534373-CD86-4B55-937F-577CF31233A1}"/>
            </a:ext>
          </a:extLst>
        </xdr:cNvPr>
        <xdr:cNvSpPr/>
      </xdr:nvSpPr>
      <xdr:spPr>
        <a:xfrm>
          <a:off x="275783072"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222</xdr:col>
      <xdr:colOff>823222</xdr:colOff>
      <xdr:row>1</xdr:row>
      <xdr:rowOff>59690</xdr:rowOff>
    </xdr:from>
    <xdr:to>
      <xdr:col>223</xdr:col>
      <xdr:colOff>710699</xdr:colOff>
      <xdr:row>1</xdr:row>
      <xdr:rowOff>553466</xdr:rowOff>
    </xdr:to>
    <xdr:sp macro="" textlink="">
      <xdr:nvSpPr>
        <xdr:cNvPr id="817" name="B GEN DATA PAGE">
          <a:hlinkClick xmlns:r="http://schemas.openxmlformats.org/officeDocument/2006/relationships" r:id="rId12" tooltip="IHSS Applicants Page (Current)"/>
          <a:extLst>
            <a:ext uri="{FF2B5EF4-FFF2-40B4-BE49-F238E27FC236}">
              <a16:creationId xmlns:a16="http://schemas.microsoft.com/office/drawing/2014/main" id="{3B01A364-FB73-4A8F-8D2A-3EE8ABFDE145}"/>
            </a:ext>
          </a:extLst>
        </xdr:cNvPr>
        <xdr:cNvSpPr/>
      </xdr:nvSpPr>
      <xdr:spPr>
        <a:xfrm>
          <a:off x="270056872"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225</xdr:col>
      <xdr:colOff>632838</xdr:colOff>
      <xdr:row>1</xdr:row>
      <xdr:rowOff>59690</xdr:rowOff>
    </xdr:from>
    <xdr:to>
      <xdr:col>226</xdr:col>
      <xdr:colOff>517776</xdr:colOff>
      <xdr:row>1</xdr:row>
      <xdr:rowOff>553466</xdr:rowOff>
    </xdr:to>
    <xdr:sp macro="" textlink="">
      <xdr:nvSpPr>
        <xdr:cNvPr id="818" name="B IHSS SERV PAGE">
          <a:hlinkClick xmlns:r="http://schemas.openxmlformats.org/officeDocument/2006/relationships" r:id="rId13" tooltip="IHSS Services Page (Current)"/>
          <a:extLst>
            <a:ext uri="{FF2B5EF4-FFF2-40B4-BE49-F238E27FC236}">
              <a16:creationId xmlns:a16="http://schemas.microsoft.com/office/drawing/2014/main" id="{44C895F7-B368-4F10-AFE8-78F6A26D15EF}"/>
            </a:ext>
          </a:extLst>
        </xdr:cNvPr>
        <xdr:cNvSpPr/>
      </xdr:nvSpPr>
      <xdr:spPr>
        <a:xfrm>
          <a:off x="273485988"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226</xdr:col>
      <xdr:colOff>597105</xdr:colOff>
      <xdr:row>1</xdr:row>
      <xdr:rowOff>59690</xdr:rowOff>
    </xdr:from>
    <xdr:to>
      <xdr:col>227</xdr:col>
      <xdr:colOff>440133</xdr:colOff>
      <xdr:row>1</xdr:row>
      <xdr:rowOff>553466</xdr:rowOff>
    </xdr:to>
    <xdr:sp macro="" textlink="">
      <xdr:nvSpPr>
        <xdr:cNvPr id="819" name="B AGE PAGE">
          <a:hlinkClick xmlns:r="http://schemas.openxmlformats.org/officeDocument/2006/relationships" r:id="rId2" tooltip="Age &amp; Gender Page (Current)"/>
          <a:extLst>
            <a:ext uri="{FF2B5EF4-FFF2-40B4-BE49-F238E27FC236}">
              <a16:creationId xmlns:a16="http://schemas.microsoft.com/office/drawing/2014/main" id="{487D8D38-0AEB-4D7F-9055-0792937EF156}"/>
            </a:ext>
          </a:extLst>
        </xdr:cNvPr>
        <xdr:cNvSpPr/>
      </xdr:nvSpPr>
      <xdr:spPr>
        <a:xfrm>
          <a:off x="274640245"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220</xdr:col>
      <xdr:colOff>939773</xdr:colOff>
      <xdr:row>1</xdr:row>
      <xdr:rowOff>59690</xdr:rowOff>
    </xdr:from>
    <xdr:to>
      <xdr:col>221</xdr:col>
      <xdr:colOff>820901</xdr:colOff>
      <xdr:row>1</xdr:row>
      <xdr:rowOff>553466</xdr:rowOff>
    </xdr:to>
    <xdr:sp macro="" textlink="">
      <xdr:nvSpPr>
        <xdr:cNvPr id="820" name="B HOME PAGE">
          <a:hlinkClick xmlns:r="http://schemas.openxmlformats.org/officeDocument/2006/relationships" r:id="rId3" tooltip="Back to Dashboard Page"/>
          <a:extLst>
            <a:ext uri="{FF2B5EF4-FFF2-40B4-BE49-F238E27FC236}">
              <a16:creationId xmlns:a16="http://schemas.microsoft.com/office/drawing/2014/main" id="{0ED0F436-CA3C-4EB3-92CC-F3634ED2F6D3}"/>
            </a:ext>
          </a:extLst>
        </xdr:cNvPr>
        <xdr:cNvSpPr/>
      </xdr:nvSpPr>
      <xdr:spPr>
        <a:xfrm>
          <a:off x="267743913"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221</xdr:col>
      <xdr:colOff>860225</xdr:colOff>
      <xdr:row>1</xdr:row>
      <xdr:rowOff>59690</xdr:rowOff>
    </xdr:from>
    <xdr:to>
      <xdr:col>222</xdr:col>
      <xdr:colOff>746433</xdr:colOff>
      <xdr:row>1</xdr:row>
      <xdr:rowOff>553466</xdr:rowOff>
    </xdr:to>
    <xdr:sp macro="" textlink="">
      <xdr:nvSpPr>
        <xdr:cNvPr id="821" name="B GEN DATA PAGE">
          <a:hlinkClick xmlns:r="http://schemas.openxmlformats.org/officeDocument/2006/relationships" r:id="rId4" tooltip="Back to General Data Page"/>
          <a:extLst>
            <a:ext uri="{FF2B5EF4-FFF2-40B4-BE49-F238E27FC236}">
              <a16:creationId xmlns:a16="http://schemas.microsoft.com/office/drawing/2014/main" id="{A0D2EBB0-BC47-44B5-A676-E8CBC21BD8D9}"/>
            </a:ext>
          </a:extLst>
        </xdr:cNvPr>
        <xdr:cNvSpPr/>
      </xdr:nvSpPr>
      <xdr:spPr>
        <a:xfrm>
          <a:off x="268884835"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223</xdr:col>
      <xdr:colOff>746848</xdr:colOff>
      <xdr:row>1</xdr:row>
      <xdr:rowOff>59690</xdr:rowOff>
    </xdr:from>
    <xdr:to>
      <xdr:col>224</xdr:col>
      <xdr:colOff>635597</xdr:colOff>
      <xdr:row>1</xdr:row>
      <xdr:rowOff>553466</xdr:rowOff>
    </xdr:to>
    <xdr:sp macro="" textlink="">
      <xdr:nvSpPr>
        <xdr:cNvPr id="822" name="B ABD PAGE">
          <a:hlinkClick xmlns:r="http://schemas.openxmlformats.org/officeDocument/2006/relationships" r:id="rId5" tooltip="Aged, Blind, or Disabled Page (Current)"/>
          <a:extLst>
            <a:ext uri="{FF2B5EF4-FFF2-40B4-BE49-F238E27FC236}">
              <a16:creationId xmlns:a16="http://schemas.microsoft.com/office/drawing/2014/main" id="{99316D7E-2F1E-4BD4-B7ED-B061D673C937}"/>
            </a:ext>
          </a:extLst>
        </xdr:cNvPr>
        <xdr:cNvSpPr/>
      </xdr:nvSpPr>
      <xdr:spPr>
        <a:xfrm>
          <a:off x="271167948"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219</xdr:col>
      <xdr:colOff>1012971</xdr:colOff>
      <xdr:row>1</xdr:row>
      <xdr:rowOff>59690</xdr:rowOff>
    </xdr:from>
    <xdr:to>
      <xdr:col>220</xdr:col>
      <xdr:colOff>861079</xdr:colOff>
      <xdr:row>1</xdr:row>
      <xdr:rowOff>553466</xdr:rowOff>
    </xdr:to>
    <xdr:sp macro="" textlink="">
      <xdr:nvSpPr>
        <xdr:cNvPr id="823" name="B GEN DATA PAGE">
          <a:hlinkClick xmlns:r="http://schemas.openxmlformats.org/officeDocument/2006/relationships" r:id="rId6" tooltip="Back to Navigation Page"/>
          <a:extLst>
            <a:ext uri="{FF2B5EF4-FFF2-40B4-BE49-F238E27FC236}">
              <a16:creationId xmlns:a16="http://schemas.microsoft.com/office/drawing/2014/main" id="{856C94CE-4C08-41F8-A155-8BD7AF6C304A}"/>
            </a:ext>
          </a:extLst>
        </xdr:cNvPr>
        <xdr:cNvSpPr/>
      </xdr:nvSpPr>
      <xdr:spPr>
        <a:xfrm>
          <a:off x="266597911"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230</xdr:col>
      <xdr:colOff>344232</xdr:colOff>
      <xdr:row>1</xdr:row>
      <xdr:rowOff>59690</xdr:rowOff>
    </xdr:from>
    <xdr:to>
      <xdr:col>231</xdr:col>
      <xdr:colOff>215925</xdr:colOff>
      <xdr:row>1</xdr:row>
      <xdr:rowOff>557276</xdr:rowOff>
    </xdr:to>
    <xdr:sp macro="" textlink="">
      <xdr:nvSpPr>
        <xdr:cNvPr id="824" name="B ALL DATA PAGE">
          <a:hlinkClick xmlns:r="http://schemas.openxmlformats.org/officeDocument/2006/relationships" r:id="rId7" tooltip="Back to All Data Page"/>
          <a:extLst>
            <a:ext uri="{FF2B5EF4-FFF2-40B4-BE49-F238E27FC236}">
              <a16:creationId xmlns:a16="http://schemas.microsoft.com/office/drawing/2014/main" id="{718B26EB-8516-4BD9-859A-E5EF91BEA273}"/>
            </a:ext>
          </a:extLst>
        </xdr:cNvPr>
        <xdr:cNvSpPr/>
      </xdr:nvSpPr>
      <xdr:spPr>
        <a:xfrm>
          <a:off x="279215912"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229</xdr:col>
      <xdr:colOff>403878</xdr:colOff>
      <xdr:row>1</xdr:row>
      <xdr:rowOff>59690</xdr:rowOff>
    </xdr:from>
    <xdr:to>
      <xdr:col>230</xdr:col>
      <xdr:colOff>265533</xdr:colOff>
      <xdr:row>1</xdr:row>
      <xdr:rowOff>553466</xdr:rowOff>
    </xdr:to>
    <xdr:sp macro="" textlink="">
      <xdr:nvSpPr>
        <xdr:cNvPr id="825" name="B TERMS PAGE">
          <a:hlinkClick xmlns:r="http://schemas.openxmlformats.org/officeDocument/2006/relationships" r:id="rId8" tooltip="Back to Appendix &amp; Terms Page"/>
          <a:extLst>
            <a:ext uri="{FF2B5EF4-FFF2-40B4-BE49-F238E27FC236}">
              <a16:creationId xmlns:a16="http://schemas.microsoft.com/office/drawing/2014/main" id="{8F2B7E8C-CCE6-45F2-8848-A0473A57B77C}"/>
            </a:ext>
          </a:extLst>
        </xdr:cNvPr>
        <xdr:cNvSpPr/>
      </xdr:nvSpPr>
      <xdr:spPr>
        <a:xfrm>
          <a:off x="278083028"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228</xdr:col>
      <xdr:colOff>482459</xdr:colOff>
      <xdr:row>1</xdr:row>
      <xdr:rowOff>59690</xdr:rowOff>
    </xdr:from>
    <xdr:to>
      <xdr:col>229</xdr:col>
      <xdr:colOff>328571</xdr:colOff>
      <xdr:row>1</xdr:row>
      <xdr:rowOff>553466</xdr:rowOff>
    </xdr:to>
    <xdr:sp macro="" textlink="">
      <xdr:nvSpPr>
        <xdr:cNvPr id="826" name="B PROV DET PAGE">
          <a:hlinkClick xmlns:r="http://schemas.openxmlformats.org/officeDocument/2006/relationships" r:id="rId9" tooltip="Back to Provider Page"/>
          <a:extLst>
            <a:ext uri="{FF2B5EF4-FFF2-40B4-BE49-F238E27FC236}">
              <a16:creationId xmlns:a16="http://schemas.microsoft.com/office/drawing/2014/main" id="{96F12692-CEFB-4672-8509-17911D080CC5}"/>
            </a:ext>
          </a:extLst>
        </xdr:cNvPr>
        <xdr:cNvSpPr/>
      </xdr:nvSpPr>
      <xdr:spPr>
        <a:xfrm>
          <a:off x="276939869"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224</xdr:col>
      <xdr:colOff>709211</xdr:colOff>
      <xdr:row>1</xdr:row>
      <xdr:rowOff>59690</xdr:rowOff>
    </xdr:from>
    <xdr:to>
      <xdr:col>225</xdr:col>
      <xdr:colOff>556049</xdr:colOff>
      <xdr:row>1</xdr:row>
      <xdr:rowOff>553466</xdr:rowOff>
    </xdr:to>
    <xdr:sp macro="" textlink="">
      <xdr:nvSpPr>
        <xdr:cNvPr id="827" name="B IHSS PROG PAGE">
          <a:hlinkClick xmlns:r="http://schemas.openxmlformats.org/officeDocument/2006/relationships" r:id="rId10" tooltip="Back to Program Equity Page"/>
          <a:extLst>
            <a:ext uri="{FF2B5EF4-FFF2-40B4-BE49-F238E27FC236}">
              <a16:creationId xmlns:a16="http://schemas.microsoft.com/office/drawing/2014/main" id="{5795FFC7-45D6-484F-AB8A-2EEE26A50BED}"/>
            </a:ext>
          </a:extLst>
        </xdr:cNvPr>
        <xdr:cNvSpPr/>
      </xdr:nvSpPr>
      <xdr:spPr>
        <a:xfrm>
          <a:off x="272339351"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227</xdr:col>
      <xdr:colOff>517557</xdr:colOff>
      <xdr:row>1</xdr:row>
      <xdr:rowOff>59690</xdr:rowOff>
    </xdr:from>
    <xdr:to>
      <xdr:col>228</xdr:col>
      <xdr:colOff>404309</xdr:colOff>
      <xdr:row>1</xdr:row>
      <xdr:rowOff>553466</xdr:rowOff>
    </xdr:to>
    <xdr:sp macro="" textlink="">
      <xdr:nvSpPr>
        <xdr:cNvPr id="828" name="B ETHNICITY PAGE">
          <a:hlinkClick xmlns:r="http://schemas.openxmlformats.org/officeDocument/2006/relationships" r:id="rId11" tooltip="Back to Ethnicity &amp; Language Page"/>
          <a:extLst>
            <a:ext uri="{FF2B5EF4-FFF2-40B4-BE49-F238E27FC236}">
              <a16:creationId xmlns:a16="http://schemas.microsoft.com/office/drawing/2014/main" id="{2AF80B40-963C-4A97-826D-77048BBF8476}"/>
            </a:ext>
          </a:extLst>
        </xdr:cNvPr>
        <xdr:cNvSpPr/>
      </xdr:nvSpPr>
      <xdr:spPr>
        <a:xfrm>
          <a:off x="275767197"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222</xdr:col>
      <xdr:colOff>821317</xdr:colOff>
      <xdr:row>1</xdr:row>
      <xdr:rowOff>59690</xdr:rowOff>
    </xdr:from>
    <xdr:to>
      <xdr:col>223</xdr:col>
      <xdr:colOff>711334</xdr:colOff>
      <xdr:row>1</xdr:row>
      <xdr:rowOff>553466</xdr:rowOff>
    </xdr:to>
    <xdr:sp macro="" textlink="">
      <xdr:nvSpPr>
        <xdr:cNvPr id="829" name="B GEN DATA PAGE">
          <a:hlinkClick xmlns:r="http://schemas.openxmlformats.org/officeDocument/2006/relationships" r:id="rId12" tooltip="IHSS Applicants Page (Current)"/>
          <a:extLst>
            <a:ext uri="{FF2B5EF4-FFF2-40B4-BE49-F238E27FC236}">
              <a16:creationId xmlns:a16="http://schemas.microsoft.com/office/drawing/2014/main" id="{919B1BBA-C0E0-4D72-9946-B110CD5B6BAA}"/>
            </a:ext>
          </a:extLst>
        </xdr:cNvPr>
        <xdr:cNvSpPr/>
      </xdr:nvSpPr>
      <xdr:spPr>
        <a:xfrm>
          <a:off x="270040997"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225</xdr:col>
      <xdr:colOff>630933</xdr:colOff>
      <xdr:row>1</xdr:row>
      <xdr:rowOff>59690</xdr:rowOff>
    </xdr:from>
    <xdr:to>
      <xdr:col>226</xdr:col>
      <xdr:colOff>518411</xdr:colOff>
      <xdr:row>1</xdr:row>
      <xdr:rowOff>553466</xdr:rowOff>
    </xdr:to>
    <xdr:sp macro="" textlink="">
      <xdr:nvSpPr>
        <xdr:cNvPr id="830" name="B IHSS SERV PAGE">
          <a:hlinkClick xmlns:r="http://schemas.openxmlformats.org/officeDocument/2006/relationships" r:id="rId13" tooltip="IHSS Services Page (Current)"/>
          <a:extLst>
            <a:ext uri="{FF2B5EF4-FFF2-40B4-BE49-F238E27FC236}">
              <a16:creationId xmlns:a16="http://schemas.microsoft.com/office/drawing/2014/main" id="{8134F9F8-03E0-452A-A562-D6426439CC89}"/>
            </a:ext>
          </a:extLst>
        </xdr:cNvPr>
        <xdr:cNvSpPr/>
      </xdr:nvSpPr>
      <xdr:spPr>
        <a:xfrm>
          <a:off x="273470113"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240</xdr:col>
      <xdr:colOff>631607</xdr:colOff>
      <xdr:row>1</xdr:row>
      <xdr:rowOff>59690</xdr:rowOff>
    </xdr:from>
    <xdr:to>
      <xdr:col>241</xdr:col>
      <xdr:colOff>479715</xdr:colOff>
      <xdr:row>1</xdr:row>
      <xdr:rowOff>553466</xdr:rowOff>
    </xdr:to>
    <xdr:sp macro="" textlink="">
      <xdr:nvSpPr>
        <xdr:cNvPr id="831" name="B AGE PAGE">
          <a:hlinkClick xmlns:r="http://schemas.openxmlformats.org/officeDocument/2006/relationships" r:id="rId2" tooltip="Age &amp; Gender Page (Current)"/>
          <a:extLst>
            <a:ext uri="{FF2B5EF4-FFF2-40B4-BE49-F238E27FC236}">
              <a16:creationId xmlns:a16="http://schemas.microsoft.com/office/drawing/2014/main" id="{AAE632C6-1D4E-4716-913B-CC67E919D9AC}"/>
            </a:ext>
          </a:extLst>
        </xdr:cNvPr>
        <xdr:cNvSpPr/>
      </xdr:nvSpPr>
      <xdr:spPr>
        <a:xfrm>
          <a:off x="291568287"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234</xdr:col>
      <xdr:colOff>974275</xdr:colOff>
      <xdr:row>1</xdr:row>
      <xdr:rowOff>59690</xdr:rowOff>
    </xdr:from>
    <xdr:to>
      <xdr:col>235</xdr:col>
      <xdr:colOff>863023</xdr:colOff>
      <xdr:row>1</xdr:row>
      <xdr:rowOff>553466</xdr:rowOff>
    </xdr:to>
    <xdr:sp macro="" textlink="">
      <xdr:nvSpPr>
        <xdr:cNvPr id="832" name="B HOME PAGE">
          <a:hlinkClick xmlns:r="http://schemas.openxmlformats.org/officeDocument/2006/relationships" r:id="rId3" tooltip="Back to Dashboard Page"/>
          <a:extLst>
            <a:ext uri="{FF2B5EF4-FFF2-40B4-BE49-F238E27FC236}">
              <a16:creationId xmlns:a16="http://schemas.microsoft.com/office/drawing/2014/main" id="{3A13A9A9-DBBA-40A1-BAAB-A5F27DC9437C}"/>
            </a:ext>
          </a:extLst>
        </xdr:cNvPr>
        <xdr:cNvSpPr/>
      </xdr:nvSpPr>
      <xdr:spPr>
        <a:xfrm>
          <a:off x="284671955"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235</xdr:col>
      <xdr:colOff>897267</xdr:colOff>
      <xdr:row>1</xdr:row>
      <xdr:rowOff>59690</xdr:rowOff>
    </xdr:from>
    <xdr:to>
      <xdr:col>236</xdr:col>
      <xdr:colOff>787285</xdr:colOff>
      <xdr:row>1</xdr:row>
      <xdr:rowOff>553466</xdr:rowOff>
    </xdr:to>
    <xdr:sp macro="" textlink="">
      <xdr:nvSpPr>
        <xdr:cNvPr id="833" name="B GEN DATA PAGE">
          <a:hlinkClick xmlns:r="http://schemas.openxmlformats.org/officeDocument/2006/relationships" r:id="rId4" tooltip="Back to General Data Page"/>
          <a:extLst>
            <a:ext uri="{FF2B5EF4-FFF2-40B4-BE49-F238E27FC236}">
              <a16:creationId xmlns:a16="http://schemas.microsoft.com/office/drawing/2014/main" id="{46B5FEA6-1315-4CAF-A604-885002B7BE62}"/>
            </a:ext>
          </a:extLst>
        </xdr:cNvPr>
        <xdr:cNvSpPr/>
      </xdr:nvSpPr>
      <xdr:spPr>
        <a:xfrm>
          <a:off x="285812877"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237</xdr:col>
      <xdr:colOff>787700</xdr:colOff>
      <xdr:row>1</xdr:row>
      <xdr:rowOff>59690</xdr:rowOff>
    </xdr:from>
    <xdr:to>
      <xdr:col>238</xdr:col>
      <xdr:colOff>672639</xdr:colOff>
      <xdr:row>1</xdr:row>
      <xdr:rowOff>553466</xdr:rowOff>
    </xdr:to>
    <xdr:sp macro="" textlink="">
      <xdr:nvSpPr>
        <xdr:cNvPr id="834" name="B ABD PAGE">
          <a:hlinkClick xmlns:r="http://schemas.openxmlformats.org/officeDocument/2006/relationships" r:id="rId5" tooltip="Aged, Blind, or Disabled Page (Current)"/>
          <a:extLst>
            <a:ext uri="{FF2B5EF4-FFF2-40B4-BE49-F238E27FC236}">
              <a16:creationId xmlns:a16="http://schemas.microsoft.com/office/drawing/2014/main" id="{A039EA6D-BDD4-45CE-87F9-121E618323F2}"/>
            </a:ext>
          </a:extLst>
        </xdr:cNvPr>
        <xdr:cNvSpPr/>
      </xdr:nvSpPr>
      <xdr:spPr>
        <a:xfrm>
          <a:off x="288095990"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233</xdr:col>
      <xdr:colOff>1053823</xdr:colOff>
      <xdr:row>1</xdr:row>
      <xdr:rowOff>59690</xdr:rowOff>
    </xdr:from>
    <xdr:to>
      <xdr:col>234</xdr:col>
      <xdr:colOff>896851</xdr:colOff>
      <xdr:row>1</xdr:row>
      <xdr:rowOff>553466</xdr:rowOff>
    </xdr:to>
    <xdr:sp macro="" textlink="">
      <xdr:nvSpPr>
        <xdr:cNvPr id="835" name="B GEN DATA PAGE">
          <a:hlinkClick xmlns:r="http://schemas.openxmlformats.org/officeDocument/2006/relationships" r:id="rId6" tooltip="Back to Navigation Page"/>
          <a:extLst>
            <a:ext uri="{FF2B5EF4-FFF2-40B4-BE49-F238E27FC236}">
              <a16:creationId xmlns:a16="http://schemas.microsoft.com/office/drawing/2014/main" id="{45168BD4-D00F-48E8-B819-F2BD8B77ADFC}"/>
            </a:ext>
          </a:extLst>
        </xdr:cNvPr>
        <xdr:cNvSpPr/>
      </xdr:nvSpPr>
      <xdr:spPr>
        <a:xfrm>
          <a:off x="283525953"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244</xdr:col>
      <xdr:colOff>380004</xdr:colOff>
      <xdr:row>1</xdr:row>
      <xdr:rowOff>59690</xdr:rowOff>
    </xdr:from>
    <xdr:to>
      <xdr:col>245</xdr:col>
      <xdr:colOff>252967</xdr:colOff>
      <xdr:row>1</xdr:row>
      <xdr:rowOff>557276</xdr:rowOff>
    </xdr:to>
    <xdr:sp macro="" textlink="">
      <xdr:nvSpPr>
        <xdr:cNvPr id="836" name="B ALL DATA PAGE">
          <a:hlinkClick xmlns:r="http://schemas.openxmlformats.org/officeDocument/2006/relationships" r:id="rId7" tooltip="Back to All Data Page"/>
          <a:extLst>
            <a:ext uri="{FF2B5EF4-FFF2-40B4-BE49-F238E27FC236}">
              <a16:creationId xmlns:a16="http://schemas.microsoft.com/office/drawing/2014/main" id="{BF503FA1-E19D-465A-8B37-7098EDF31522}"/>
            </a:ext>
          </a:extLst>
        </xdr:cNvPr>
        <xdr:cNvSpPr/>
      </xdr:nvSpPr>
      <xdr:spPr>
        <a:xfrm>
          <a:off x="296143954"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243</xdr:col>
      <xdr:colOff>439650</xdr:colOff>
      <xdr:row>1</xdr:row>
      <xdr:rowOff>59690</xdr:rowOff>
    </xdr:from>
    <xdr:to>
      <xdr:col>244</xdr:col>
      <xdr:colOff>289875</xdr:colOff>
      <xdr:row>1</xdr:row>
      <xdr:rowOff>553466</xdr:rowOff>
    </xdr:to>
    <xdr:sp macro="" textlink="">
      <xdr:nvSpPr>
        <xdr:cNvPr id="837" name="B TERMS PAGE">
          <a:hlinkClick xmlns:r="http://schemas.openxmlformats.org/officeDocument/2006/relationships" r:id="rId8" tooltip="Back to Appendix &amp; Terms Page"/>
          <a:extLst>
            <a:ext uri="{FF2B5EF4-FFF2-40B4-BE49-F238E27FC236}">
              <a16:creationId xmlns:a16="http://schemas.microsoft.com/office/drawing/2014/main" id="{56D89CB3-EDD1-4C10-8731-84DFD7D073D4}"/>
            </a:ext>
          </a:extLst>
        </xdr:cNvPr>
        <xdr:cNvSpPr/>
      </xdr:nvSpPr>
      <xdr:spPr>
        <a:xfrm>
          <a:off x="295011070"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242</xdr:col>
      <xdr:colOff>520771</xdr:colOff>
      <xdr:row>1</xdr:row>
      <xdr:rowOff>59690</xdr:rowOff>
    </xdr:from>
    <xdr:to>
      <xdr:col>243</xdr:col>
      <xdr:colOff>364343</xdr:colOff>
      <xdr:row>1</xdr:row>
      <xdr:rowOff>553466</xdr:rowOff>
    </xdr:to>
    <xdr:sp macro="" textlink="">
      <xdr:nvSpPr>
        <xdr:cNvPr id="838" name="B PROV DET PAGE">
          <a:hlinkClick xmlns:r="http://schemas.openxmlformats.org/officeDocument/2006/relationships" r:id="rId9" tooltip="Back to Provider Page"/>
          <a:extLst>
            <a:ext uri="{FF2B5EF4-FFF2-40B4-BE49-F238E27FC236}">
              <a16:creationId xmlns:a16="http://schemas.microsoft.com/office/drawing/2014/main" id="{EB13C56F-5738-4199-8C2E-B298CB818B1A}"/>
            </a:ext>
          </a:extLst>
        </xdr:cNvPr>
        <xdr:cNvSpPr/>
      </xdr:nvSpPr>
      <xdr:spPr>
        <a:xfrm>
          <a:off x="293867911"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238</xdr:col>
      <xdr:colOff>746253</xdr:colOff>
      <xdr:row>1</xdr:row>
      <xdr:rowOff>59690</xdr:rowOff>
    </xdr:from>
    <xdr:to>
      <xdr:col>239</xdr:col>
      <xdr:colOff>594361</xdr:colOff>
      <xdr:row>1</xdr:row>
      <xdr:rowOff>553466</xdr:rowOff>
    </xdr:to>
    <xdr:sp macro="" textlink="">
      <xdr:nvSpPr>
        <xdr:cNvPr id="839" name="B IHSS PROG PAGE">
          <a:hlinkClick xmlns:r="http://schemas.openxmlformats.org/officeDocument/2006/relationships" r:id="rId10" tooltip="Back to Program Equity Page"/>
          <a:extLst>
            <a:ext uri="{FF2B5EF4-FFF2-40B4-BE49-F238E27FC236}">
              <a16:creationId xmlns:a16="http://schemas.microsoft.com/office/drawing/2014/main" id="{36313949-5122-4C9E-8491-857EC360D1E3}"/>
            </a:ext>
          </a:extLst>
        </xdr:cNvPr>
        <xdr:cNvSpPr/>
      </xdr:nvSpPr>
      <xdr:spPr>
        <a:xfrm>
          <a:off x="289267393"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241</xdr:col>
      <xdr:colOff>558409</xdr:colOff>
      <xdr:row>1</xdr:row>
      <xdr:rowOff>59690</xdr:rowOff>
    </xdr:from>
    <xdr:to>
      <xdr:col>242</xdr:col>
      <xdr:colOff>441351</xdr:colOff>
      <xdr:row>1</xdr:row>
      <xdr:rowOff>553466</xdr:rowOff>
    </xdr:to>
    <xdr:sp macro="" textlink="">
      <xdr:nvSpPr>
        <xdr:cNvPr id="840" name="B ETHNICITY PAGE">
          <a:hlinkClick xmlns:r="http://schemas.openxmlformats.org/officeDocument/2006/relationships" r:id="rId11" tooltip="Back to Ethnicity &amp; Language Page"/>
          <a:extLst>
            <a:ext uri="{FF2B5EF4-FFF2-40B4-BE49-F238E27FC236}">
              <a16:creationId xmlns:a16="http://schemas.microsoft.com/office/drawing/2014/main" id="{031AA80A-6F50-4CFA-AF77-84500951D12F}"/>
            </a:ext>
          </a:extLst>
        </xdr:cNvPr>
        <xdr:cNvSpPr/>
      </xdr:nvSpPr>
      <xdr:spPr>
        <a:xfrm>
          <a:off x="292695239"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236</xdr:col>
      <xdr:colOff>860899</xdr:colOff>
      <xdr:row>1</xdr:row>
      <xdr:rowOff>59690</xdr:rowOff>
    </xdr:from>
    <xdr:to>
      <xdr:col>237</xdr:col>
      <xdr:colOff>747106</xdr:colOff>
      <xdr:row>1</xdr:row>
      <xdr:rowOff>553466</xdr:rowOff>
    </xdr:to>
    <xdr:sp macro="" textlink="">
      <xdr:nvSpPr>
        <xdr:cNvPr id="841" name="B GEN DATA PAGE">
          <a:hlinkClick xmlns:r="http://schemas.openxmlformats.org/officeDocument/2006/relationships" r:id="rId12" tooltip="IHSS Applicants Page (Current)"/>
          <a:extLst>
            <a:ext uri="{FF2B5EF4-FFF2-40B4-BE49-F238E27FC236}">
              <a16:creationId xmlns:a16="http://schemas.microsoft.com/office/drawing/2014/main" id="{832A3AFD-0DD9-4C11-B085-9466D20C85F1}"/>
            </a:ext>
          </a:extLst>
        </xdr:cNvPr>
        <xdr:cNvSpPr/>
      </xdr:nvSpPr>
      <xdr:spPr>
        <a:xfrm>
          <a:off x="286969039"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239</xdr:col>
      <xdr:colOff>670515</xdr:colOff>
      <xdr:row>1</xdr:row>
      <xdr:rowOff>59690</xdr:rowOff>
    </xdr:from>
    <xdr:to>
      <xdr:col>240</xdr:col>
      <xdr:colOff>554183</xdr:colOff>
      <xdr:row>1</xdr:row>
      <xdr:rowOff>553466</xdr:rowOff>
    </xdr:to>
    <xdr:sp macro="" textlink="">
      <xdr:nvSpPr>
        <xdr:cNvPr id="842" name="B IHSS SERV PAGE">
          <a:hlinkClick xmlns:r="http://schemas.openxmlformats.org/officeDocument/2006/relationships" r:id="rId13" tooltip="IHSS Services Page (Current)"/>
          <a:extLst>
            <a:ext uri="{FF2B5EF4-FFF2-40B4-BE49-F238E27FC236}">
              <a16:creationId xmlns:a16="http://schemas.microsoft.com/office/drawing/2014/main" id="{D27C9085-78DD-41F1-BF57-EFD21DEDDBDF}"/>
            </a:ext>
          </a:extLst>
        </xdr:cNvPr>
        <xdr:cNvSpPr/>
      </xdr:nvSpPr>
      <xdr:spPr>
        <a:xfrm>
          <a:off x="290398155"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240</xdr:col>
      <xdr:colOff>634782</xdr:colOff>
      <xdr:row>1</xdr:row>
      <xdr:rowOff>59690</xdr:rowOff>
    </xdr:from>
    <xdr:to>
      <xdr:col>241</xdr:col>
      <xdr:colOff>482890</xdr:colOff>
      <xdr:row>1</xdr:row>
      <xdr:rowOff>553466</xdr:rowOff>
    </xdr:to>
    <xdr:sp macro="" textlink="">
      <xdr:nvSpPr>
        <xdr:cNvPr id="843" name="B AGE PAGE">
          <a:hlinkClick xmlns:r="http://schemas.openxmlformats.org/officeDocument/2006/relationships" r:id="rId2" tooltip="Age &amp; Gender Page (Current)"/>
          <a:extLst>
            <a:ext uri="{FF2B5EF4-FFF2-40B4-BE49-F238E27FC236}">
              <a16:creationId xmlns:a16="http://schemas.microsoft.com/office/drawing/2014/main" id="{0CF9836C-A0A3-4568-A88E-B4FA88B30FB7}"/>
            </a:ext>
          </a:extLst>
        </xdr:cNvPr>
        <xdr:cNvSpPr/>
      </xdr:nvSpPr>
      <xdr:spPr>
        <a:xfrm>
          <a:off x="291552412"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234</xdr:col>
      <xdr:colOff>977450</xdr:colOff>
      <xdr:row>1</xdr:row>
      <xdr:rowOff>59690</xdr:rowOff>
    </xdr:from>
    <xdr:to>
      <xdr:col>235</xdr:col>
      <xdr:colOff>824288</xdr:colOff>
      <xdr:row>1</xdr:row>
      <xdr:rowOff>553466</xdr:rowOff>
    </xdr:to>
    <xdr:sp macro="" textlink="">
      <xdr:nvSpPr>
        <xdr:cNvPr id="844" name="B HOME PAGE">
          <a:hlinkClick xmlns:r="http://schemas.openxmlformats.org/officeDocument/2006/relationships" r:id="rId3" tooltip="Back to Dashboard Page"/>
          <a:extLst>
            <a:ext uri="{FF2B5EF4-FFF2-40B4-BE49-F238E27FC236}">
              <a16:creationId xmlns:a16="http://schemas.microsoft.com/office/drawing/2014/main" id="{0D4577C5-84E3-46C1-AD18-3B21535B2566}"/>
            </a:ext>
          </a:extLst>
        </xdr:cNvPr>
        <xdr:cNvSpPr/>
      </xdr:nvSpPr>
      <xdr:spPr>
        <a:xfrm>
          <a:off x="284656080"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235</xdr:col>
      <xdr:colOff>901712</xdr:colOff>
      <xdr:row>1</xdr:row>
      <xdr:rowOff>59690</xdr:rowOff>
    </xdr:from>
    <xdr:to>
      <xdr:col>236</xdr:col>
      <xdr:colOff>782840</xdr:colOff>
      <xdr:row>1</xdr:row>
      <xdr:rowOff>553466</xdr:rowOff>
    </xdr:to>
    <xdr:sp macro="" textlink="">
      <xdr:nvSpPr>
        <xdr:cNvPr id="845" name="B GEN DATA PAGE">
          <a:hlinkClick xmlns:r="http://schemas.openxmlformats.org/officeDocument/2006/relationships" r:id="rId4" tooltip="Back to General Data Page"/>
          <a:extLst>
            <a:ext uri="{FF2B5EF4-FFF2-40B4-BE49-F238E27FC236}">
              <a16:creationId xmlns:a16="http://schemas.microsoft.com/office/drawing/2014/main" id="{09442639-67D9-4CF7-8B35-26A620F9CC14}"/>
            </a:ext>
          </a:extLst>
        </xdr:cNvPr>
        <xdr:cNvSpPr/>
      </xdr:nvSpPr>
      <xdr:spPr>
        <a:xfrm>
          <a:off x="285797002"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237</xdr:col>
      <xdr:colOff>762935</xdr:colOff>
      <xdr:row>1</xdr:row>
      <xdr:rowOff>59690</xdr:rowOff>
    </xdr:from>
    <xdr:to>
      <xdr:col>238</xdr:col>
      <xdr:colOff>673274</xdr:colOff>
      <xdr:row>1</xdr:row>
      <xdr:rowOff>553466</xdr:rowOff>
    </xdr:to>
    <xdr:sp macro="" textlink="">
      <xdr:nvSpPr>
        <xdr:cNvPr id="846" name="B ABD PAGE">
          <a:hlinkClick xmlns:r="http://schemas.openxmlformats.org/officeDocument/2006/relationships" r:id="rId5" tooltip="Aged, Blind, or Disabled Page (Current)"/>
          <a:extLst>
            <a:ext uri="{FF2B5EF4-FFF2-40B4-BE49-F238E27FC236}">
              <a16:creationId xmlns:a16="http://schemas.microsoft.com/office/drawing/2014/main" id="{F9556E4D-019A-43C3-9170-FA1BD9347B39}"/>
            </a:ext>
          </a:extLst>
        </xdr:cNvPr>
        <xdr:cNvSpPr/>
      </xdr:nvSpPr>
      <xdr:spPr>
        <a:xfrm>
          <a:off x="288080115"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233</xdr:col>
      <xdr:colOff>1013818</xdr:colOff>
      <xdr:row>1</xdr:row>
      <xdr:rowOff>59690</xdr:rowOff>
    </xdr:from>
    <xdr:to>
      <xdr:col>234</xdr:col>
      <xdr:colOff>901296</xdr:colOff>
      <xdr:row>1</xdr:row>
      <xdr:rowOff>553466</xdr:rowOff>
    </xdr:to>
    <xdr:sp macro="" textlink="">
      <xdr:nvSpPr>
        <xdr:cNvPr id="847" name="B GEN DATA PAGE">
          <a:hlinkClick xmlns:r="http://schemas.openxmlformats.org/officeDocument/2006/relationships" r:id="rId6" tooltip="Back to Navigation Page"/>
          <a:extLst>
            <a:ext uri="{FF2B5EF4-FFF2-40B4-BE49-F238E27FC236}">
              <a16:creationId xmlns:a16="http://schemas.microsoft.com/office/drawing/2014/main" id="{69B91CD7-14E3-4806-A86D-FA1B41DDA256}"/>
            </a:ext>
          </a:extLst>
        </xdr:cNvPr>
        <xdr:cNvSpPr/>
      </xdr:nvSpPr>
      <xdr:spPr>
        <a:xfrm>
          <a:off x="283510078"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244</xdr:col>
      <xdr:colOff>367939</xdr:colOff>
      <xdr:row>1</xdr:row>
      <xdr:rowOff>59690</xdr:rowOff>
    </xdr:from>
    <xdr:to>
      <xdr:col>245</xdr:col>
      <xdr:colOff>253602</xdr:colOff>
      <xdr:row>1</xdr:row>
      <xdr:rowOff>557276</xdr:rowOff>
    </xdr:to>
    <xdr:sp macro="" textlink="">
      <xdr:nvSpPr>
        <xdr:cNvPr id="848" name="B ALL DATA PAGE">
          <a:hlinkClick xmlns:r="http://schemas.openxmlformats.org/officeDocument/2006/relationships" r:id="rId7" tooltip="Back to All Data Page"/>
          <a:extLst>
            <a:ext uri="{FF2B5EF4-FFF2-40B4-BE49-F238E27FC236}">
              <a16:creationId xmlns:a16="http://schemas.microsoft.com/office/drawing/2014/main" id="{A46C9745-FEBF-445A-831E-B316F7166AEE}"/>
            </a:ext>
          </a:extLst>
        </xdr:cNvPr>
        <xdr:cNvSpPr/>
      </xdr:nvSpPr>
      <xdr:spPr>
        <a:xfrm>
          <a:off x="296128079"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243</xdr:col>
      <xdr:colOff>441555</xdr:colOff>
      <xdr:row>1</xdr:row>
      <xdr:rowOff>59690</xdr:rowOff>
    </xdr:from>
    <xdr:to>
      <xdr:col>244</xdr:col>
      <xdr:colOff>287970</xdr:colOff>
      <xdr:row>1</xdr:row>
      <xdr:rowOff>553466</xdr:rowOff>
    </xdr:to>
    <xdr:sp macro="" textlink="">
      <xdr:nvSpPr>
        <xdr:cNvPr id="849" name="B TERMS PAGE">
          <a:hlinkClick xmlns:r="http://schemas.openxmlformats.org/officeDocument/2006/relationships" r:id="rId8" tooltip="Back to Appendix &amp; Terms Page"/>
          <a:extLst>
            <a:ext uri="{FF2B5EF4-FFF2-40B4-BE49-F238E27FC236}">
              <a16:creationId xmlns:a16="http://schemas.microsoft.com/office/drawing/2014/main" id="{857F4094-F91A-4AAF-8E43-42C6F9F0A5A0}"/>
            </a:ext>
          </a:extLst>
        </xdr:cNvPr>
        <xdr:cNvSpPr/>
      </xdr:nvSpPr>
      <xdr:spPr>
        <a:xfrm>
          <a:off x="294995195"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242</xdr:col>
      <xdr:colOff>517596</xdr:colOff>
      <xdr:row>1</xdr:row>
      <xdr:rowOff>59690</xdr:rowOff>
    </xdr:from>
    <xdr:to>
      <xdr:col>243</xdr:col>
      <xdr:colOff>368788</xdr:colOff>
      <xdr:row>1</xdr:row>
      <xdr:rowOff>553466</xdr:rowOff>
    </xdr:to>
    <xdr:sp macro="" textlink="">
      <xdr:nvSpPr>
        <xdr:cNvPr id="850" name="B PROV DET PAGE">
          <a:hlinkClick xmlns:r="http://schemas.openxmlformats.org/officeDocument/2006/relationships" r:id="rId9" tooltip="Back to Provider Page"/>
          <a:extLst>
            <a:ext uri="{FF2B5EF4-FFF2-40B4-BE49-F238E27FC236}">
              <a16:creationId xmlns:a16="http://schemas.microsoft.com/office/drawing/2014/main" id="{7C457FBB-DB07-42E6-89BB-30A763532C1A}"/>
            </a:ext>
          </a:extLst>
        </xdr:cNvPr>
        <xdr:cNvSpPr/>
      </xdr:nvSpPr>
      <xdr:spPr>
        <a:xfrm>
          <a:off x="293852036"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238</xdr:col>
      <xdr:colOff>749428</xdr:colOff>
      <xdr:row>1</xdr:row>
      <xdr:rowOff>59690</xdr:rowOff>
    </xdr:from>
    <xdr:to>
      <xdr:col>239</xdr:col>
      <xdr:colOff>593726</xdr:colOff>
      <xdr:row>1</xdr:row>
      <xdr:rowOff>553466</xdr:rowOff>
    </xdr:to>
    <xdr:sp macro="" textlink="">
      <xdr:nvSpPr>
        <xdr:cNvPr id="851" name="B IHSS PROG PAGE">
          <a:hlinkClick xmlns:r="http://schemas.openxmlformats.org/officeDocument/2006/relationships" r:id="rId10" tooltip="Back to Program Equity Page"/>
          <a:extLst>
            <a:ext uri="{FF2B5EF4-FFF2-40B4-BE49-F238E27FC236}">
              <a16:creationId xmlns:a16="http://schemas.microsoft.com/office/drawing/2014/main" id="{A1A4C65F-C4F2-4536-9243-08AADF680594}"/>
            </a:ext>
          </a:extLst>
        </xdr:cNvPr>
        <xdr:cNvSpPr/>
      </xdr:nvSpPr>
      <xdr:spPr>
        <a:xfrm>
          <a:off x="289251518"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241</xdr:col>
      <xdr:colOff>553964</xdr:colOff>
      <xdr:row>1</xdr:row>
      <xdr:rowOff>59690</xdr:rowOff>
    </xdr:from>
    <xdr:to>
      <xdr:col>242</xdr:col>
      <xdr:colOff>401346</xdr:colOff>
      <xdr:row>1</xdr:row>
      <xdr:rowOff>553466</xdr:rowOff>
    </xdr:to>
    <xdr:sp macro="" textlink="">
      <xdr:nvSpPr>
        <xdr:cNvPr id="852" name="B ETHNICITY PAGE">
          <a:hlinkClick xmlns:r="http://schemas.openxmlformats.org/officeDocument/2006/relationships" r:id="rId11" tooltip="Back to Ethnicity &amp; Language Page"/>
          <a:extLst>
            <a:ext uri="{FF2B5EF4-FFF2-40B4-BE49-F238E27FC236}">
              <a16:creationId xmlns:a16="http://schemas.microsoft.com/office/drawing/2014/main" id="{3C13849A-A3D8-4018-A57E-8835AE22FEAB}"/>
            </a:ext>
          </a:extLst>
        </xdr:cNvPr>
        <xdr:cNvSpPr/>
      </xdr:nvSpPr>
      <xdr:spPr>
        <a:xfrm>
          <a:off x="292679364"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236</xdr:col>
      <xdr:colOff>864074</xdr:colOff>
      <xdr:row>1</xdr:row>
      <xdr:rowOff>59690</xdr:rowOff>
    </xdr:from>
    <xdr:to>
      <xdr:col>237</xdr:col>
      <xdr:colOff>708371</xdr:colOff>
      <xdr:row>1</xdr:row>
      <xdr:rowOff>553466</xdr:rowOff>
    </xdr:to>
    <xdr:sp macro="" textlink="">
      <xdr:nvSpPr>
        <xdr:cNvPr id="853" name="B GEN DATA PAGE">
          <a:hlinkClick xmlns:r="http://schemas.openxmlformats.org/officeDocument/2006/relationships" r:id="rId12" tooltip="IHSS Applicants Page (Current)"/>
          <a:extLst>
            <a:ext uri="{FF2B5EF4-FFF2-40B4-BE49-F238E27FC236}">
              <a16:creationId xmlns:a16="http://schemas.microsoft.com/office/drawing/2014/main" id="{C95375B2-948C-43A1-92F6-6816C8D59061}"/>
            </a:ext>
          </a:extLst>
        </xdr:cNvPr>
        <xdr:cNvSpPr/>
      </xdr:nvSpPr>
      <xdr:spPr>
        <a:xfrm>
          <a:off x="286953164"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239</xdr:col>
      <xdr:colOff>673690</xdr:colOff>
      <xdr:row>1</xdr:row>
      <xdr:rowOff>59690</xdr:rowOff>
    </xdr:from>
    <xdr:to>
      <xdr:col>240</xdr:col>
      <xdr:colOff>558628</xdr:colOff>
      <xdr:row>1</xdr:row>
      <xdr:rowOff>553466</xdr:rowOff>
    </xdr:to>
    <xdr:sp macro="" textlink="">
      <xdr:nvSpPr>
        <xdr:cNvPr id="854" name="B IHSS SERV PAGE">
          <a:hlinkClick xmlns:r="http://schemas.openxmlformats.org/officeDocument/2006/relationships" r:id="rId13" tooltip="IHSS Services Page (Current)"/>
          <a:extLst>
            <a:ext uri="{FF2B5EF4-FFF2-40B4-BE49-F238E27FC236}">
              <a16:creationId xmlns:a16="http://schemas.microsoft.com/office/drawing/2014/main" id="{DCDCBD96-6CB5-4A9B-968C-224C35AD5F9E}"/>
            </a:ext>
          </a:extLst>
        </xdr:cNvPr>
        <xdr:cNvSpPr/>
      </xdr:nvSpPr>
      <xdr:spPr>
        <a:xfrm>
          <a:off x="290382280"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254</xdr:col>
      <xdr:colOff>25817</xdr:colOff>
      <xdr:row>1</xdr:row>
      <xdr:rowOff>59690</xdr:rowOff>
    </xdr:from>
    <xdr:to>
      <xdr:col>254</xdr:col>
      <xdr:colOff>1089315</xdr:colOff>
      <xdr:row>1</xdr:row>
      <xdr:rowOff>553466</xdr:rowOff>
    </xdr:to>
    <xdr:sp macro="" textlink="">
      <xdr:nvSpPr>
        <xdr:cNvPr id="855" name="B AGE PAGE">
          <a:hlinkClick xmlns:r="http://schemas.openxmlformats.org/officeDocument/2006/relationships" r:id="rId2" tooltip="Age &amp; Gender Page (Current)"/>
          <a:extLst>
            <a:ext uri="{FF2B5EF4-FFF2-40B4-BE49-F238E27FC236}">
              <a16:creationId xmlns:a16="http://schemas.microsoft.com/office/drawing/2014/main" id="{85915D60-D9D2-4E8D-ACD4-CDDD3A0083F5}"/>
            </a:ext>
          </a:extLst>
        </xdr:cNvPr>
        <xdr:cNvSpPr/>
      </xdr:nvSpPr>
      <xdr:spPr>
        <a:xfrm>
          <a:off x="307849687"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248</xdr:col>
      <xdr:colOff>364675</xdr:colOff>
      <xdr:row>1</xdr:row>
      <xdr:rowOff>59690</xdr:rowOff>
    </xdr:from>
    <xdr:to>
      <xdr:col>249</xdr:col>
      <xdr:colOff>253423</xdr:colOff>
      <xdr:row>1</xdr:row>
      <xdr:rowOff>553466</xdr:rowOff>
    </xdr:to>
    <xdr:sp macro="" textlink="">
      <xdr:nvSpPr>
        <xdr:cNvPr id="856" name="B HOME PAGE">
          <a:hlinkClick xmlns:r="http://schemas.openxmlformats.org/officeDocument/2006/relationships" r:id="rId3" tooltip="Back to Dashboard Page"/>
          <a:extLst>
            <a:ext uri="{FF2B5EF4-FFF2-40B4-BE49-F238E27FC236}">
              <a16:creationId xmlns:a16="http://schemas.microsoft.com/office/drawing/2014/main" id="{55A8D3A3-6DE9-4D05-B00B-14D2E601D6B0}"/>
            </a:ext>
          </a:extLst>
        </xdr:cNvPr>
        <xdr:cNvSpPr/>
      </xdr:nvSpPr>
      <xdr:spPr>
        <a:xfrm>
          <a:off x="300953355"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249</xdr:col>
      <xdr:colOff>287667</xdr:colOff>
      <xdr:row>1</xdr:row>
      <xdr:rowOff>59690</xdr:rowOff>
    </xdr:from>
    <xdr:to>
      <xdr:col>250</xdr:col>
      <xdr:colOff>177685</xdr:colOff>
      <xdr:row>1</xdr:row>
      <xdr:rowOff>553466</xdr:rowOff>
    </xdr:to>
    <xdr:sp macro="" textlink="">
      <xdr:nvSpPr>
        <xdr:cNvPr id="857" name="B GEN DATA PAGE">
          <a:hlinkClick xmlns:r="http://schemas.openxmlformats.org/officeDocument/2006/relationships" r:id="rId4" tooltip="Back to General Data Page"/>
          <a:extLst>
            <a:ext uri="{FF2B5EF4-FFF2-40B4-BE49-F238E27FC236}">
              <a16:creationId xmlns:a16="http://schemas.microsoft.com/office/drawing/2014/main" id="{B3432D68-F342-4798-9797-99409534A429}"/>
            </a:ext>
          </a:extLst>
        </xdr:cNvPr>
        <xdr:cNvSpPr/>
      </xdr:nvSpPr>
      <xdr:spPr>
        <a:xfrm>
          <a:off x="302094277"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251</xdr:col>
      <xdr:colOff>173020</xdr:colOff>
      <xdr:row>1</xdr:row>
      <xdr:rowOff>59690</xdr:rowOff>
    </xdr:from>
    <xdr:to>
      <xdr:col>252</xdr:col>
      <xdr:colOff>57959</xdr:colOff>
      <xdr:row>1</xdr:row>
      <xdr:rowOff>553466</xdr:rowOff>
    </xdr:to>
    <xdr:sp macro="" textlink="">
      <xdr:nvSpPr>
        <xdr:cNvPr id="858" name="B ABD PAGE">
          <a:hlinkClick xmlns:r="http://schemas.openxmlformats.org/officeDocument/2006/relationships" r:id="rId5" tooltip="Aged, Blind, or Disabled Page (Current)"/>
          <a:extLst>
            <a:ext uri="{FF2B5EF4-FFF2-40B4-BE49-F238E27FC236}">
              <a16:creationId xmlns:a16="http://schemas.microsoft.com/office/drawing/2014/main" id="{01E5E9C6-69BF-479F-80BF-83CC25AE4452}"/>
            </a:ext>
          </a:extLst>
        </xdr:cNvPr>
        <xdr:cNvSpPr/>
      </xdr:nvSpPr>
      <xdr:spPr>
        <a:xfrm>
          <a:off x="304377390"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247</xdr:col>
      <xdr:colOff>444223</xdr:colOff>
      <xdr:row>1</xdr:row>
      <xdr:rowOff>59690</xdr:rowOff>
    </xdr:from>
    <xdr:to>
      <xdr:col>248</xdr:col>
      <xdr:colOff>287251</xdr:colOff>
      <xdr:row>1</xdr:row>
      <xdr:rowOff>553466</xdr:rowOff>
    </xdr:to>
    <xdr:sp macro="" textlink="">
      <xdr:nvSpPr>
        <xdr:cNvPr id="859" name="B GEN DATA PAGE">
          <a:hlinkClick xmlns:r="http://schemas.openxmlformats.org/officeDocument/2006/relationships" r:id="rId6" tooltip="Back to Navigation Page"/>
          <a:extLst>
            <a:ext uri="{FF2B5EF4-FFF2-40B4-BE49-F238E27FC236}">
              <a16:creationId xmlns:a16="http://schemas.microsoft.com/office/drawing/2014/main" id="{56EC7D49-F579-43BE-AA79-EC791FE1768E}"/>
            </a:ext>
          </a:extLst>
        </xdr:cNvPr>
        <xdr:cNvSpPr/>
      </xdr:nvSpPr>
      <xdr:spPr>
        <a:xfrm>
          <a:off x="299807353"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257</xdr:col>
      <xdr:colOff>974364</xdr:colOff>
      <xdr:row>1</xdr:row>
      <xdr:rowOff>59690</xdr:rowOff>
    </xdr:from>
    <xdr:to>
      <xdr:col>258</xdr:col>
      <xdr:colOff>860027</xdr:colOff>
      <xdr:row>1</xdr:row>
      <xdr:rowOff>557276</xdr:rowOff>
    </xdr:to>
    <xdr:sp macro="" textlink="">
      <xdr:nvSpPr>
        <xdr:cNvPr id="860" name="B ALL DATA PAGE">
          <a:hlinkClick xmlns:r="http://schemas.openxmlformats.org/officeDocument/2006/relationships" r:id="rId7" tooltip="Back to All Data Page"/>
          <a:extLst>
            <a:ext uri="{FF2B5EF4-FFF2-40B4-BE49-F238E27FC236}">
              <a16:creationId xmlns:a16="http://schemas.microsoft.com/office/drawing/2014/main" id="{BCC8BAE3-00DF-4DAC-B0AF-97483C5099B7}"/>
            </a:ext>
          </a:extLst>
        </xdr:cNvPr>
        <xdr:cNvSpPr/>
      </xdr:nvSpPr>
      <xdr:spPr>
        <a:xfrm>
          <a:off x="312425354"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256</xdr:col>
      <xdr:colOff>1054330</xdr:colOff>
      <xdr:row>1</xdr:row>
      <xdr:rowOff>59690</xdr:rowOff>
    </xdr:from>
    <xdr:to>
      <xdr:col>257</xdr:col>
      <xdr:colOff>896935</xdr:colOff>
      <xdr:row>1</xdr:row>
      <xdr:rowOff>553466</xdr:rowOff>
    </xdr:to>
    <xdr:sp macro="" textlink="">
      <xdr:nvSpPr>
        <xdr:cNvPr id="861" name="B TERMS PAGE">
          <a:hlinkClick xmlns:r="http://schemas.openxmlformats.org/officeDocument/2006/relationships" r:id="rId8" tooltip="Back to Appendix &amp; Terms Page"/>
          <a:extLst>
            <a:ext uri="{FF2B5EF4-FFF2-40B4-BE49-F238E27FC236}">
              <a16:creationId xmlns:a16="http://schemas.microsoft.com/office/drawing/2014/main" id="{2BB81D11-71C9-484A-8198-3BB85B2349C0}"/>
            </a:ext>
          </a:extLst>
        </xdr:cNvPr>
        <xdr:cNvSpPr/>
      </xdr:nvSpPr>
      <xdr:spPr>
        <a:xfrm>
          <a:off x="311292470"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255</xdr:col>
      <xdr:colOff>1126561</xdr:colOff>
      <xdr:row>1</xdr:row>
      <xdr:rowOff>59690</xdr:rowOff>
    </xdr:from>
    <xdr:to>
      <xdr:col>256</xdr:col>
      <xdr:colOff>975213</xdr:colOff>
      <xdr:row>1</xdr:row>
      <xdr:rowOff>553466</xdr:rowOff>
    </xdr:to>
    <xdr:sp macro="" textlink="">
      <xdr:nvSpPr>
        <xdr:cNvPr id="862" name="B PROV DET PAGE">
          <a:hlinkClick xmlns:r="http://schemas.openxmlformats.org/officeDocument/2006/relationships" r:id="rId9" tooltip="Back to Provider Page"/>
          <a:extLst>
            <a:ext uri="{FF2B5EF4-FFF2-40B4-BE49-F238E27FC236}">
              <a16:creationId xmlns:a16="http://schemas.microsoft.com/office/drawing/2014/main" id="{39FDBB20-53E5-4367-9F4C-CC4F77F950B1}"/>
            </a:ext>
          </a:extLst>
        </xdr:cNvPr>
        <xdr:cNvSpPr/>
      </xdr:nvSpPr>
      <xdr:spPr>
        <a:xfrm>
          <a:off x="310149311"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252</xdr:col>
      <xdr:colOff>136653</xdr:colOff>
      <xdr:row>1</xdr:row>
      <xdr:rowOff>59690</xdr:rowOff>
    </xdr:from>
    <xdr:to>
      <xdr:col>252</xdr:col>
      <xdr:colOff>1164167</xdr:colOff>
      <xdr:row>1</xdr:row>
      <xdr:rowOff>553466</xdr:rowOff>
    </xdr:to>
    <xdr:sp macro="" textlink="">
      <xdr:nvSpPr>
        <xdr:cNvPr id="863" name="B IHSS PROG PAGE">
          <a:hlinkClick xmlns:r="http://schemas.openxmlformats.org/officeDocument/2006/relationships" r:id="rId10" tooltip="Back to Program Equity Page"/>
          <a:extLst>
            <a:ext uri="{FF2B5EF4-FFF2-40B4-BE49-F238E27FC236}">
              <a16:creationId xmlns:a16="http://schemas.microsoft.com/office/drawing/2014/main" id="{2D6FC2E6-A831-4DA1-9C32-2AB02817C16D}"/>
            </a:ext>
          </a:extLst>
        </xdr:cNvPr>
        <xdr:cNvSpPr/>
      </xdr:nvSpPr>
      <xdr:spPr>
        <a:xfrm>
          <a:off x="305548793"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254</xdr:col>
      <xdr:colOff>1168009</xdr:colOff>
      <xdr:row>1</xdr:row>
      <xdr:rowOff>59690</xdr:rowOff>
    </xdr:from>
    <xdr:to>
      <xdr:col>255</xdr:col>
      <xdr:colOff>1011581</xdr:colOff>
      <xdr:row>1</xdr:row>
      <xdr:rowOff>553466</xdr:rowOff>
    </xdr:to>
    <xdr:sp macro="" textlink="">
      <xdr:nvSpPr>
        <xdr:cNvPr id="864" name="B ETHNICITY PAGE">
          <a:hlinkClick xmlns:r="http://schemas.openxmlformats.org/officeDocument/2006/relationships" r:id="rId11" tooltip="Back to Ethnicity &amp; Language Page"/>
          <a:extLst>
            <a:ext uri="{FF2B5EF4-FFF2-40B4-BE49-F238E27FC236}">
              <a16:creationId xmlns:a16="http://schemas.microsoft.com/office/drawing/2014/main" id="{4A3D2C45-7FC9-4EFD-A54A-A27F6BCA82F4}"/>
            </a:ext>
          </a:extLst>
        </xdr:cNvPr>
        <xdr:cNvSpPr/>
      </xdr:nvSpPr>
      <xdr:spPr>
        <a:xfrm>
          <a:off x="308976639"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250</xdr:col>
      <xdr:colOff>251299</xdr:colOff>
      <xdr:row>1</xdr:row>
      <xdr:rowOff>59690</xdr:rowOff>
    </xdr:from>
    <xdr:to>
      <xdr:col>251</xdr:col>
      <xdr:colOff>137506</xdr:colOff>
      <xdr:row>1</xdr:row>
      <xdr:rowOff>553466</xdr:rowOff>
    </xdr:to>
    <xdr:sp macro="" textlink="">
      <xdr:nvSpPr>
        <xdr:cNvPr id="865" name="B GEN DATA PAGE">
          <a:hlinkClick xmlns:r="http://schemas.openxmlformats.org/officeDocument/2006/relationships" r:id="rId12" tooltip="IHSS Applicants Page (Current)"/>
          <a:extLst>
            <a:ext uri="{FF2B5EF4-FFF2-40B4-BE49-F238E27FC236}">
              <a16:creationId xmlns:a16="http://schemas.microsoft.com/office/drawing/2014/main" id="{CDEE1590-6C46-4024-A830-8CEF510C8CA6}"/>
            </a:ext>
          </a:extLst>
        </xdr:cNvPr>
        <xdr:cNvSpPr/>
      </xdr:nvSpPr>
      <xdr:spPr>
        <a:xfrm>
          <a:off x="303250439"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253</xdr:col>
      <xdr:colOff>60915</xdr:colOff>
      <xdr:row>1</xdr:row>
      <xdr:rowOff>59690</xdr:rowOff>
    </xdr:from>
    <xdr:to>
      <xdr:col>253</xdr:col>
      <xdr:colOff>1166323</xdr:colOff>
      <xdr:row>1</xdr:row>
      <xdr:rowOff>553466</xdr:rowOff>
    </xdr:to>
    <xdr:sp macro="" textlink="">
      <xdr:nvSpPr>
        <xdr:cNvPr id="866" name="B IHSS SERV PAGE">
          <a:hlinkClick xmlns:r="http://schemas.openxmlformats.org/officeDocument/2006/relationships" r:id="rId13" tooltip="IHSS Services Page (Current)"/>
          <a:extLst>
            <a:ext uri="{FF2B5EF4-FFF2-40B4-BE49-F238E27FC236}">
              <a16:creationId xmlns:a16="http://schemas.microsoft.com/office/drawing/2014/main" id="{0E40B39B-2936-4E72-A56D-95E727903386}"/>
            </a:ext>
          </a:extLst>
        </xdr:cNvPr>
        <xdr:cNvSpPr/>
      </xdr:nvSpPr>
      <xdr:spPr>
        <a:xfrm>
          <a:off x="306679555"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254</xdr:col>
      <xdr:colOff>20102</xdr:colOff>
      <xdr:row>1</xdr:row>
      <xdr:rowOff>59690</xdr:rowOff>
    </xdr:from>
    <xdr:to>
      <xdr:col>254</xdr:col>
      <xdr:colOff>1049310</xdr:colOff>
      <xdr:row>1</xdr:row>
      <xdr:rowOff>553466</xdr:rowOff>
    </xdr:to>
    <xdr:sp macro="" textlink="">
      <xdr:nvSpPr>
        <xdr:cNvPr id="867" name="B AGE PAGE">
          <a:hlinkClick xmlns:r="http://schemas.openxmlformats.org/officeDocument/2006/relationships" r:id="rId2" tooltip="Age &amp; Gender Page (Current)"/>
          <a:extLst>
            <a:ext uri="{FF2B5EF4-FFF2-40B4-BE49-F238E27FC236}">
              <a16:creationId xmlns:a16="http://schemas.microsoft.com/office/drawing/2014/main" id="{006687FB-7A4B-4AE2-9B5C-0412AD314C98}"/>
            </a:ext>
          </a:extLst>
        </xdr:cNvPr>
        <xdr:cNvSpPr/>
      </xdr:nvSpPr>
      <xdr:spPr>
        <a:xfrm>
          <a:off x="307833812"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248</xdr:col>
      <xdr:colOff>367850</xdr:colOff>
      <xdr:row>1</xdr:row>
      <xdr:rowOff>59690</xdr:rowOff>
    </xdr:from>
    <xdr:to>
      <xdr:col>249</xdr:col>
      <xdr:colOff>214688</xdr:colOff>
      <xdr:row>1</xdr:row>
      <xdr:rowOff>553466</xdr:rowOff>
    </xdr:to>
    <xdr:sp macro="" textlink="">
      <xdr:nvSpPr>
        <xdr:cNvPr id="868" name="B HOME PAGE">
          <a:hlinkClick xmlns:r="http://schemas.openxmlformats.org/officeDocument/2006/relationships" r:id="rId3" tooltip="Back to Dashboard Page"/>
          <a:extLst>
            <a:ext uri="{FF2B5EF4-FFF2-40B4-BE49-F238E27FC236}">
              <a16:creationId xmlns:a16="http://schemas.microsoft.com/office/drawing/2014/main" id="{48CDD2D3-3C5B-44E2-8A46-80A0A0A1FBAD}"/>
            </a:ext>
          </a:extLst>
        </xdr:cNvPr>
        <xdr:cNvSpPr/>
      </xdr:nvSpPr>
      <xdr:spPr>
        <a:xfrm>
          <a:off x="300937480"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249</xdr:col>
      <xdr:colOff>292112</xdr:colOff>
      <xdr:row>1</xdr:row>
      <xdr:rowOff>59690</xdr:rowOff>
    </xdr:from>
    <xdr:to>
      <xdr:col>250</xdr:col>
      <xdr:colOff>178320</xdr:colOff>
      <xdr:row>1</xdr:row>
      <xdr:rowOff>553466</xdr:rowOff>
    </xdr:to>
    <xdr:sp macro="" textlink="">
      <xdr:nvSpPr>
        <xdr:cNvPr id="869" name="B GEN DATA PAGE">
          <a:hlinkClick xmlns:r="http://schemas.openxmlformats.org/officeDocument/2006/relationships" r:id="rId4" tooltip="Back to General Data Page"/>
          <a:extLst>
            <a:ext uri="{FF2B5EF4-FFF2-40B4-BE49-F238E27FC236}">
              <a16:creationId xmlns:a16="http://schemas.microsoft.com/office/drawing/2014/main" id="{618CDF66-4D37-42F8-B242-7CF7FEFD83E0}"/>
            </a:ext>
          </a:extLst>
        </xdr:cNvPr>
        <xdr:cNvSpPr/>
      </xdr:nvSpPr>
      <xdr:spPr>
        <a:xfrm>
          <a:off x="302078402"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251</xdr:col>
      <xdr:colOff>172385</xdr:colOff>
      <xdr:row>1</xdr:row>
      <xdr:rowOff>59690</xdr:rowOff>
    </xdr:from>
    <xdr:to>
      <xdr:col>252</xdr:col>
      <xdr:colOff>58594</xdr:colOff>
      <xdr:row>1</xdr:row>
      <xdr:rowOff>553466</xdr:rowOff>
    </xdr:to>
    <xdr:sp macro="" textlink="">
      <xdr:nvSpPr>
        <xdr:cNvPr id="870" name="B ABD PAGE">
          <a:hlinkClick xmlns:r="http://schemas.openxmlformats.org/officeDocument/2006/relationships" r:id="rId5" tooltip="Aged, Blind, or Disabled Page (Current)"/>
          <a:extLst>
            <a:ext uri="{FF2B5EF4-FFF2-40B4-BE49-F238E27FC236}">
              <a16:creationId xmlns:a16="http://schemas.microsoft.com/office/drawing/2014/main" id="{E30B248C-C537-4896-BB02-9B7C1D339D4C}"/>
            </a:ext>
          </a:extLst>
        </xdr:cNvPr>
        <xdr:cNvSpPr/>
      </xdr:nvSpPr>
      <xdr:spPr>
        <a:xfrm>
          <a:off x="304361515"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247</xdr:col>
      <xdr:colOff>404218</xdr:colOff>
      <xdr:row>1</xdr:row>
      <xdr:rowOff>59690</xdr:rowOff>
    </xdr:from>
    <xdr:to>
      <xdr:col>248</xdr:col>
      <xdr:colOff>291696</xdr:colOff>
      <xdr:row>1</xdr:row>
      <xdr:rowOff>553466</xdr:rowOff>
    </xdr:to>
    <xdr:sp macro="" textlink="">
      <xdr:nvSpPr>
        <xdr:cNvPr id="871" name="B GEN DATA PAGE">
          <a:hlinkClick xmlns:r="http://schemas.openxmlformats.org/officeDocument/2006/relationships" r:id="rId6" tooltip="Back to Navigation Page"/>
          <a:extLst>
            <a:ext uri="{FF2B5EF4-FFF2-40B4-BE49-F238E27FC236}">
              <a16:creationId xmlns:a16="http://schemas.microsoft.com/office/drawing/2014/main" id="{0C6282DE-86D2-46B8-AF0A-B88A99471AB4}"/>
            </a:ext>
          </a:extLst>
        </xdr:cNvPr>
        <xdr:cNvSpPr/>
      </xdr:nvSpPr>
      <xdr:spPr>
        <a:xfrm>
          <a:off x="299791478"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257</xdr:col>
      <xdr:colOff>973729</xdr:colOff>
      <xdr:row>1</xdr:row>
      <xdr:rowOff>59690</xdr:rowOff>
    </xdr:from>
    <xdr:to>
      <xdr:col>258</xdr:col>
      <xdr:colOff>863202</xdr:colOff>
      <xdr:row>1</xdr:row>
      <xdr:rowOff>557276</xdr:rowOff>
    </xdr:to>
    <xdr:sp macro="" textlink="">
      <xdr:nvSpPr>
        <xdr:cNvPr id="872" name="B ALL DATA PAGE">
          <a:hlinkClick xmlns:r="http://schemas.openxmlformats.org/officeDocument/2006/relationships" r:id="rId7" tooltip="Back to All Data Page"/>
          <a:extLst>
            <a:ext uri="{FF2B5EF4-FFF2-40B4-BE49-F238E27FC236}">
              <a16:creationId xmlns:a16="http://schemas.microsoft.com/office/drawing/2014/main" id="{070CC382-5AAF-4F4C-978A-858EDAFB6540}"/>
            </a:ext>
          </a:extLst>
        </xdr:cNvPr>
        <xdr:cNvSpPr/>
      </xdr:nvSpPr>
      <xdr:spPr>
        <a:xfrm>
          <a:off x="312409479"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256</xdr:col>
      <xdr:colOff>1051155</xdr:colOff>
      <xdr:row>1</xdr:row>
      <xdr:rowOff>59690</xdr:rowOff>
    </xdr:from>
    <xdr:to>
      <xdr:col>257</xdr:col>
      <xdr:colOff>898840</xdr:colOff>
      <xdr:row>1</xdr:row>
      <xdr:rowOff>553466</xdr:rowOff>
    </xdr:to>
    <xdr:sp macro="" textlink="">
      <xdr:nvSpPr>
        <xdr:cNvPr id="873" name="B TERMS PAGE">
          <a:hlinkClick xmlns:r="http://schemas.openxmlformats.org/officeDocument/2006/relationships" r:id="rId8" tooltip="Back to Appendix &amp; Terms Page"/>
          <a:extLst>
            <a:ext uri="{FF2B5EF4-FFF2-40B4-BE49-F238E27FC236}">
              <a16:creationId xmlns:a16="http://schemas.microsoft.com/office/drawing/2014/main" id="{9A4A9F14-BAE7-4B3B-B870-C0CD106A52F8}"/>
            </a:ext>
          </a:extLst>
        </xdr:cNvPr>
        <xdr:cNvSpPr/>
      </xdr:nvSpPr>
      <xdr:spPr>
        <a:xfrm>
          <a:off x="311276595"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255</xdr:col>
      <xdr:colOff>1087826</xdr:colOff>
      <xdr:row>1</xdr:row>
      <xdr:rowOff>59690</xdr:rowOff>
    </xdr:from>
    <xdr:to>
      <xdr:col>256</xdr:col>
      <xdr:colOff>978388</xdr:colOff>
      <xdr:row>1</xdr:row>
      <xdr:rowOff>553466</xdr:rowOff>
    </xdr:to>
    <xdr:sp macro="" textlink="">
      <xdr:nvSpPr>
        <xdr:cNvPr id="874" name="B PROV DET PAGE">
          <a:hlinkClick xmlns:r="http://schemas.openxmlformats.org/officeDocument/2006/relationships" r:id="rId9" tooltip="Back to Provider Page"/>
          <a:extLst>
            <a:ext uri="{FF2B5EF4-FFF2-40B4-BE49-F238E27FC236}">
              <a16:creationId xmlns:a16="http://schemas.microsoft.com/office/drawing/2014/main" id="{D74228A2-A858-4DF8-8ABC-369235BB531A}"/>
            </a:ext>
          </a:extLst>
        </xdr:cNvPr>
        <xdr:cNvSpPr/>
      </xdr:nvSpPr>
      <xdr:spPr>
        <a:xfrm>
          <a:off x="310133436"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252</xdr:col>
      <xdr:colOff>134748</xdr:colOff>
      <xdr:row>1</xdr:row>
      <xdr:rowOff>59690</xdr:rowOff>
    </xdr:from>
    <xdr:to>
      <xdr:col>252</xdr:col>
      <xdr:colOff>1168612</xdr:colOff>
      <xdr:row>1</xdr:row>
      <xdr:rowOff>553466</xdr:rowOff>
    </xdr:to>
    <xdr:sp macro="" textlink="">
      <xdr:nvSpPr>
        <xdr:cNvPr id="875" name="B IHSS PROG PAGE">
          <a:hlinkClick xmlns:r="http://schemas.openxmlformats.org/officeDocument/2006/relationships" r:id="rId10" tooltip="Back to Program Equity Page"/>
          <a:extLst>
            <a:ext uri="{FF2B5EF4-FFF2-40B4-BE49-F238E27FC236}">
              <a16:creationId xmlns:a16="http://schemas.microsoft.com/office/drawing/2014/main" id="{2451ECCF-EBB7-47FB-B071-FBAD96C3BFA0}"/>
            </a:ext>
          </a:extLst>
        </xdr:cNvPr>
        <xdr:cNvSpPr/>
      </xdr:nvSpPr>
      <xdr:spPr>
        <a:xfrm>
          <a:off x="305532918"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254</xdr:col>
      <xdr:colOff>1128004</xdr:colOff>
      <xdr:row>1</xdr:row>
      <xdr:rowOff>59690</xdr:rowOff>
    </xdr:from>
    <xdr:to>
      <xdr:col>255</xdr:col>
      <xdr:colOff>1016026</xdr:colOff>
      <xdr:row>1</xdr:row>
      <xdr:rowOff>553466</xdr:rowOff>
    </xdr:to>
    <xdr:sp macro="" textlink="">
      <xdr:nvSpPr>
        <xdr:cNvPr id="876" name="B ETHNICITY PAGE">
          <a:hlinkClick xmlns:r="http://schemas.openxmlformats.org/officeDocument/2006/relationships" r:id="rId11" tooltip="Back to Ethnicity &amp; Language Page"/>
          <a:extLst>
            <a:ext uri="{FF2B5EF4-FFF2-40B4-BE49-F238E27FC236}">
              <a16:creationId xmlns:a16="http://schemas.microsoft.com/office/drawing/2014/main" id="{412EDC75-E5C2-4449-96C2-495065A0F57B}"/>
            </a:ext>
          </a:extLst>
        </xdr:cNvPr>
        <xdr:cNvSpPr/>
      </xdr:nvSpPr>
      <xdr:spPr>
        <a:xfrm>
          <a:off x="308960764"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250</xdr:col>
      <xdr:colOff>254474</xdr:colOff>
      <xdr:row>1</xdr:row>
      <xdr:rowOff>59690</xdr:rowOff>
    </xdr:from>
    <xdr:to>
      <xdr:col>251</xdr:col>
      <xdr:colOff>98771</xdr:colOff>
      <xdr:row>1</xdr:row>
      <xdr:rowOff>553466</xdr:rowOff>
    </xdr:to>
    <xdr:sp macro="" textlink="">
      <xdr:nvSpPr>
        <xdr:cNvPr id="877" name="B GEN DATA PAGE">
          <a:hlinkClick xmlns:r="http://schemas.openxmlformats.org/officeDocument/2006/relationships" r:id="rId12" tooltip="IHSS Applicants Page (Current)"/>
          <a:extLst>
            <a:ext uri="{FF2B5EF4-FFF2-40B4-BE49-F238E27FC236}">
              <a16:creationId xmlns:a16="http://schemas.microsoft.com/office/drawing/2014/main" id="{8FDC1B84-A698-45AB-8C93-3762B36756AD}"/>
            </a:ext>
          </a:extLst>
        </xdr:cNvPr>
        <xdr:cNvSpPr/>
      </xdr:nvSpPr>
      <xdr:spPr>
        <a:xfrm>
          <a:off x="303234564"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253</xdr:col>
      <xdr:colOff>59010</xdr:colOff>
      <xdr:row>1</xdr:row>
      <xdr:rowOff>59690</xdr:rowOff>
    </xdr:from>
    <xdr:to>
      <xdr:col>253</xdr:col>
      <xdr:colOff>1125048</xdr:colOff>
      <xdr:row>1</xdr:row>
      <xdr:rowOff>553466</xdr:rowOff>
    </xdr:to>
    <xdr:sp macro="" textlink="">
      <xdr:nvSpPr>
        <xdr:cNvPr id="878" name="B IHSS SERV PAGE">
          <a:hlinkClick xmlns:r="http://schemas.openxmlformats.org/officeDocument/2006/relationships" r:id="rId13" tooltip="IHSS Services Page (Current)"/>
          <a:extLst>
            <a:ext uri="{FF2B5EF4-FFF2-40B4-BE49-F238E27FC236}">
              <a16:creationId xmlns:a16="http://schemas.microsoft.com/office/drawing/2014/main" id="{A750A5D5-7876-4209-86EC-6BC56B9A485A}"/>
            </a:ext>
          </a:extLst>
        </xdr:cNvPr>
        <xdr:cNvSpPr/>
      </xdr:nvSpPr>
      <xdr:spPr>
        <a:xfrm>
          <a:off x="306663680"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268</xdr:col>
      <xdr:colOff>173983</xdr:colOff>
      <xdr:row>1</xdr:row>
      <xdr:rowOff>59690</xdr:rowOff>
    </xdr:from>
    <xdr:to>
      <xdr:col>269</xdr:col>
      <xdr:colOff>25901</xdr:colOff>
      <xdr:row>1</xdr:row>
      <xdr:rowOff>553466</xdr:rowOff>
    </xdr:to>
    <xdr:sp macro="" textlink="">
      <xdr:nvSpPr>
        <xdr:cNvPr id="879" name="B AGE PAGE">
          <a:hlinkClick xmlns:r="http://schemas.openxmlformats.org/officeDocument/2006/relationships" r:id="rId2" tooltip="Age &amp; Gender Page (Current)"/>
          <a:extLst>
            <a:ext uri="{FF2B5EF4-FFF2-40B4-BE49-F238E27FC236}">
              <a16:creationId xmlns:a16="http://schemas.microsoft.com/office/drawing/2014/main" id="{999856CD-2101-41EA-9F7B-82F48AF77797}"/>
            </a:ext>
          </a:extLst>
        </xdr:cNvPr>
        <xdr:cNvSpPr/>
      </xdr:nvSpPr>
      <xdr:spPr>
        <a:xfrm>
          <a:off x="324888853"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262</xdr:col>
      <xdr:colOff>517921</xdr:colOff>
      <xdr:row>1</xdr:row>
      <xdr:rowOff>59690</xdr:rowOff>
    </xdr:from>
    <xdr:to>
      <xdr:col>263</xdr:col>
      <xdr:colOff>404129</xdr:colOff>
      <xdr:row>1</xdr:row>
      <xdr:rowOff>553466</xdr:rowOff>
    </xdr:to>
    <xdr:sp macro="" textlink="">
      <xdr:nvSpPr>
        <xdr:cNvPr id="880" name="B HOME PAGE">
          <a:hlinkClick xmlns:r="http://schemas.openxmlformats.org/officeDocument/2006/relationships" r:id="rId3" tooltip="Back to Dashboard Page"/>
          <a:extLst>
            <a:ext uri="{FF2B5EF4-FFF2-40B4-BE49-F238E27FC236}">
              <a16:creationId xmlns:a16="http://schemas.microsoft.com/office/drawing/2014/main" id="{020AFB8C-87F9-4A0F-8EB2-564DE11CD25F}"/>
            </a:ext>
          </a:extLst>
        </xdr:cNvPr>
        <xdr:cNvSpPr/>
      </xdr:nvSpPr>
      <xdr:spPr>
        <a:xfrm>
          <a:off x="317992521"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263</xdr:col>
      <xdr:colOff>442183</xdr:colOff>
      <xdr:row>1</xdr:row>
      <xdr:rowOff>59690</xdr:rowOff>
    </xdr:from>
    <xdr:to>
      <xdr:col>264</xdr:col>
      <xdr:colOff>325851</xdr:colOff>
      <xdr:row>1</xdr:row>
      <xdr:rowOff>553466</xdr:rowOff>
    </xdr:to>
    <xdr:sp macro="" textlink="">
      <xdr:nvSpPr>
        <xdr:cNvPr id="881" name="B GEN DATA PAGE">
          <a:hlinkClick xmlns:r="http://schemas.openxmlformats.org/officeDocument/2006/relationships" r:id="rId4" tooltip="Back to General Data Page"/>
          <a:extLst>
            <a:ext uri="{FF2B5EF4-FFF2-40B4-BE49-F238E27FC236}">
              <a16:creationId xmlns:a16="http://schemas.microsoft.com/office/drawing/2014/main" id="{EF694E2A-BEC9-42CD-8A94-C8E303E50A17}"/>
            </a:ext>
          </a:extLst>
        </xdr:cNvPr>
        <xdr:cNvSpPr/>
      </xdr:nvSpPr>
      <xdr:spPr>
        <a:xfrm>
          <a:off x="319133443"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265</xdr:col>
      <xdr:colOff>330076</xdr:colOff>
      <xdr:row>1</xdr:row>
      <xdr:rowOff>59690</xdr:rowOff>
    </xdr:from>
    <xdr:to>
      <xdr:col>266</xdr:col>
      <xdr:colOff>212475</xdr:colOff>
      <xdr:row>1</xdr:row>
      <xdr:rowOff>553466</xdr:rowOff>
    </xdr:to>
    <xdr:sp macro="" textlink="">
      <xdr:nvSpPr>
        <xdr:cNvPr id="882" name="B ABD PAGE">
          <a:hlinkClick xmlns:r="http://schemas.openxmlformats.org/officeDocument/2006/relationships" r:id="rId5" tooltip="Aged, Blind, or Disabled Page (Current)"/>
          <a:extLst>
            <a:ext uri="{FF2B5EF4-FFF2-40B4-BE49-F238E27FC236}">
              <a16:creationId xmlns:a16="http://schemas.microsoft.com/office/drawing/2014/main" id="{7324F27D-3284-4BB6-B9C5-3E20910C032E}"/>
            </a:ext>
          </a:extLst>
        </xdr:cNvPr>
        <xdr:cNvSpPr/>
      </xdr:nvSpPr>
      <xdr:spPr>
        <a:xfrm>
          <a:off x="321416556"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261</xdr:col>
      <xdr:colOff>573339</xdr:colOff>
      <xdr:row>1</xdr:row>
      <xdr:rowOff>59690</xdr:rowOff>
    </xdr:from>
    <xdr:to>
      <xdr:col>262</xdr:col>
      <xdr:colOff>440497</xdr:colOff>
      <xdr:row>1</xdr:row>
      <xdr:rowOff>553466</xdr:rowOff>
    </xdr:to>
    <xdr:sp macro="" textlink="">
      <xdr:nvSpPr>
        <xdr:cNvPr id="883" name="B GEN DATA PAGE">
          <a:hlinkClick xmlns:r="http://schemas.openxmlformats.org/officeDocument/2006/relationships" r:id="rId6" tooltip="Back to Navigation Page"/>
          <a:extLst>
            <a:ext uri="{FF2B5EF4-FFF2-40B4-BE49-F238E27FC236}">
              <a16:creationId xmlns:a16="http://schemas.microsoft.com/office/drawing/2014/main" id="{9E901BBB-1948-4CC0-85C5-DE17C04F122F}"/>
            </a:ext>
          </a:extLst>
        </xdr:cNvPr>
        <xdr:cNvSpPr/>
      </xdr:nvSpPr>
      <xdr:spPr>
        <a:xfrm>
          <a:off x="316846519"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271</xdr:col>
      <xdr:colOff>1126340</xdr:colOff>
      <xdr:row>1</xdr:row>
      <xdr:rowOff>59690</xdr:rowOff>
    </xdr:from>
    <xdr:to>
      <xdr:col>272</xdr:col>
      <xdr:colOff>1013273</xdr:colOff>
      <xdr:row>1</xdr:row>
      <xdr:rowOff>557276</xdr:rowOff>
    </xdr:to>
    <xdr:sp macro="" textlink="">
      <xdr:nvSpPr>
        <xdr:cNvPr id="884" name="B ALL DATA PAGE">
          <a:hlinkClick xmlns:r="http://schemas.openxmlformats.org/officeDocument/2006/relationships" r:id="rId7" tooltip="Back to All Data Page"/>
          <a:extLst>
            <a:ext uri="{FF2B5EF4-FFF2-40B4-BE49-F238E27FC236}">
              <a16:creationId xmlns:a16="http://schemas.microsoft.com/office/drawing/2014/main" id="{7DAE549E-0957-46D7-80FA-F28AAA88D452}"/>
            </a:ext>
          </a:extLst>
        </xdr:cNvPr>
        <xdr:cNvSpPr/>
      </xdr:nvSpPr>
      <xdr:spPr>
        <a:xfrm>
          <a:off x="329464520"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271</xdr:col>
      <xdr:colOff>21396</xdr:colOff>
      <xdr:row>1</xdr:row>
      <xdr:rowOff>59690</xdr:rowOff>
    </xdr:from>
    <xdr:to>
      <xdr:col>271</xdr:col>
      <xdr:colOff>1051451</xdr:colOff>
      <xdr:row>1</xdr:row>
      <xdr:rowOff>553466</xdr:rowOff>
    </xdr:to>
    <xdr:sp macro="" textlink="">
      <xdr:nvSpPr>
        <xdr:cNvPr id="885" name="B TERMS PAGE">
          <a:hlinkClick xmlns:r="http://schemas.openxmlformats.org/officeDocument/2006/relationships" r:id="rId8" tooltip="Back to Appendix &amp; Terms Page"/>
          <a:extLst>
            <a:ext uri="{FF2B5EF4-FFF2-40B4-BE49-F238E27FC236}">
              <a16:creationId xmlns:a16="http://schemas.microsoft.com/office/drawing/2014/main" id="{048C92A9-D60C-44B0-A188-B2823008A2E2}"/>
            </a:ext>
          </a:extLst>
        </xdr:cNvPr>
        <xdr:cNvSpPr/>
      </xdr:nvSpPr>
      <xdr:spPr>
        <a:xfrm>
          <a:off x="328331636"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270</xdr:col>
      <xdr:colOff>63147</xdr:colOff>
      <xdr:row>1</xdr:row>
      <xdr:rowOff>59690</xdr:rowOff>
    </xdr:from>
    <xdr:to>
      <xdr:col>270</xdr:col>
      <xdr:colOff>1129729</xdr:colOff>
      <xdr:row>1</xdr:row>
      <xdr:rowOff>553466</xdr:rowOff>
    </xdr:to>
    <xdr:sp macro="" textlink="">
      <xdr:nvSpPr>
        <xdr:cNvPr id="886" name="B PROV DET PAGE">
          <a:hlinkClick xmlns:r="http://schemas.openxmlformats.org/officeDocument/2006/relationships" r:id="rId9" tooltip="Back to Provider Page"/>
          <a:extLst>
            <a:ext uri="{FF2B5EF4-FFF2-40B4-BE49-F238E27FC236}">
              <a16:creationId xmlns:a16="http://schemas.microsoft.com/office/drawing/2014/main" id="{C5C69509-BB12-462C-9994-72909642395F}"/>
            </a:ext>
          </a:extLst>
        </xdr:cNvPr>
        <xdr:cNvSpPr/>
      </xdr:nvSpPr>
      <xdr:spPr>
        <a:xfrm>
          <a:off x="327188477"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266</xdr:col>
      <xdr:colOff>288629</xdr:colOff>
      <xdr:row>1</xdr:row>
      <xdr:rowOff>59690</xdr:rowOff>
    </xdr:from>
    <xdr:to>
      <xdr:col>267</xdr:col>
      <xdr:colOff>134197</xdr:colOff>
      <xdr:row>1</xdr:row>
      <xdr:rowOff>553466</xdr:rowOff>
    </xdr:to>
    <xdr:sp macro="" textlink="">
      <xdr:nvSpPr>
        <xdr:cNvPr id="887" name="B IHSS PROG PAGE">
          <a:hlinkClick xmlns:r="http://schemas.openxmlformats.org/officeDocument/2006/relationships" r:id="rId10" tooltip="Back to Program Equity Page"/>
          <a:extLst>
            <a:ext uri="{FF2B5EF4-FFF2-40B4-BE49-F238E27FC236}">
              <a16:creationId xmlns:a16="http://schemas.microsoft.com/office/drawing/2014/main" id="{8FE24BC8-1B94-4A11-AC11-3AE751BBB097}"/>
            </a:ext>
          </a:extLst>
        </xdr:cNvPr>
        <xdr:cNvSpPr/>
      </xdr:nvSpPr>
      <xdr:spPr>
        <a:xfrm>
          <a:off x="322587959"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269</xdr:col>
      <xdr:colOff>99515</xdr:colOff>
      <xdr:row>1</xdr:row>
      <xdr:rowOff>59690</xdr:rowOff>
    </xdr:from>
    <xdr:to>
      <xdr:col>269</xdr:col>
      <xdr:colOff>1166944</xdr:colOff>
      <xdr:row>1</xdr:row>
      <xdr:rowOff>553466</xdr:rowOff>
    </xdr:to>
    <xdr:sp macro="" textlink="">
      <xdr:nvSpPr>
        <xdr:cNvPr id="888" name="B ETHNICITY PAGE">
          <a:hlinkClick xmlns:r="http://schemas.openxmlformats.org/officeDocument/2006/relationships" r:id="rId11" tooltip="Back to Ethnicity &amp; Language Page"/>
          <a:extLst>
            <a:ext uri="{FF2B5EF4-FFF2-40B4-BE49-F238E27FC236}">
              <a16:creationId xmlns:a16="http://schemas.microsoft.com/office/drawing/2014/main" id="{F5D707B3-B1C8-401A-B9EF-8138EEE855C2}"/>
            </a:ext>
          </a:extLst>
        </xdr:cNvPr>
        <xdr:cNvSpPr/>
      </xdr:nvSpPr>
      <xdr:spPr>
        <a:xfrm>
          <a:off x="326015805"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264</xdr:col>
      <xdr:colOff>405815</xdr:colOff>
      <xdr:row>1</xdr:row>
      <xdr:rowOff>59690</xdr:rowOff>
    </xdr:from>
    <xdr:to>
      <xdr:col>265</xdr:col>
      <xdr:colOff>267892</xdr:colOff>
      <xdr:row>1</xdr:row>
      <xdr:rowOff>553466</xdr:rowOff>
    </xdr:to>
    <xdr:sp macro="" textlink="">
      <xdr:nvSpPr>
        <xdr:cNvPr id="889" name="B GEN DATA PAGE">
          <a:hlinkClick xmlns:r="http://schemas.openxmlformats.org/officeDocument/2006/relationships" r:id="rId12" tooltip="IHSS Applicants Page (Current)"/>
          <a:extLst>
            <a:ext uri="{FF2B5EF4-FFF2-40B4-BE49-F238E27FC236}">
              <a16:creationId xmlns:a16="http://schemas.microsoft.com/office/drawing/2014/main" id="{A6388E9C-6195-428F-91C8-A26B66E09054}"/>
            </a:ext>
          </a:extLst>
        </xdr:cNvPr>
        <xdr:cNvSpPr/>
      </xdr:nvSpPr>
      <xdr:spPr>
        <a:xfrm>
          <a:off x="320289605"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267</xdr:col>
      <xdr:colOff>210351</xdr:colOff>
      <xdr:row>1</xdr:row>
      <xdr:rowOff>59690</xdr:rowOff>
    </xdr:from>
    <xdr:to>
      <xdr:col>268</xdr:col>
      <xdr:colOff>101639</xdr:colOff>
      <xdr:row>1</xdr:row>
      <xdr:rowOff>553466</xdr:rowOff>
    </xdr:to>
    <xdr:sp macro="" textlink="">
      <xdr:nvSpPr>
        <xdr:cNvPr id="890" name="B IHSS SERV PAGE">
          <a:hlinkClick xmlns:r="http://schemas.openxmlformats.org/officeDocument/2006/relationships" r:id="rId13" tooltip="IHSS Services Page (Current)"/>
          <a:extLst>
            <a:ext uri="{FF2B5EF4-FFF2-40B4-BE49-F238E27FC236}">
              <a16:creationId xmlns:a16="http://schemas.microsoft.com/office/drawing/2014/main" id="{8B5864BE-5F00-4167-97E5-04E1283567B8}"/>
            </a:ext>
          </a:extLst>
        </xdr:cNvPr>
        <xdr:cNvSpPr/>
      </xdr:nvSpPr>
      <xdr:spPr>
        <a:xfrm>
          <a:off x="323718721"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268</xdr:col>
      <xdr:colOff>173348</xdr:colOff>
      <xdr:row>1</xdr:row>
      <xdr:rowOff>59690</xdr:rowOff>
    </xdr:from>
    <xdr:to>
      <xdr:col>269</xdr:col>
      <xdr:colOff>2406</xdr:colOff>
      <xdr:row>1</xdr:row>
      <xdr:rowOff>553466</xdr:rowOff>
    </xdr:to>
    <xdr:sp macro="" textlink="">
      <xdr:nvSpPr>
        <xdr:cNvPr id="891" name="B AGE PAGE">
          <a:hlinkClick xmlns:r="http://schemas.openxmlformats.org/officeDocument/2006/relationships" r:id="rId2" tooltip="Age &amp; Gender Page (Current)"/>
          <a:extLst>
            <a:ext uri="{FF2B5EF4-FFF2-40B4-BE49-F238E27FC236}">
              <a16:creationId xmlns:a16="http://schemas.microsoft.com/office/drawing/2014/main" id="{A28A12A6-5912-4B4E-BC8D-0CA9A62C39FE}"/>
            </a:ext>
          </a:extLst>
        </xdr:cNvPr>
        <xdr:cNvSpPr/>
      </xdr:nvSpPr>
      <xdr:spPr>
        <a:xfrm>
          <a:off x="324872978"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262</xdr:col>
      <xdr:colOff>496966</xdr:colOff>
      <xdr:row>1</xdr:row>
      <xdr:rowOff>59690</xdr:rowOff>
    </xdr:from>
    <xdr:to>
      <xdr:col>263</xdr:col>
      <xdr:colOff>365394</xdr:colOff>
      <xdr:row>1</xdr:row>
      <xdr:rowOff>553466</xdr:rowOff>
    </xdr:to>
    <xdr:sp macro="" textlink="">
      <xdr:nvSpPr>
        <xdr:cNvPr id="892" name="B HOME PAGE">
          <a:hlinkClick xmlns:r="http://schemas.openxmlformats.org/officeDocument/2006/relationships" r:id="rId3" tooltip="Back to Dashboard Page"/>
          <a:extLst>
            <a:ext uri="{FF2B5EF4-FFF2-40B4-BE49-F238E27FC236}">
              <a16:creationId xmlns:a16="http://schemas.microsoft.com/office/drawing/2014/main" id="{CC15DD55-C59E-4755-8527-45B902A119B5}"/>
            </a:ext>
          </a:extLst>
        </xdr:cNvPr>
        <xdr:cNvSpPr/>
      </xdr:nvSpPr>
      <xdr:spPr>
        <a:xfrm>
          <a:off x="317976646"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263</xdr:col>
      <xdr:colOff>444088</xdr:colOff>
      <xdr:row>1</xdr:row>
      <xdr:rowOff>59690</xdr:rowOff>
    </xdr:from>
    <xdr:to>
      <xdr:col>264</xdr:col>
      <xdr:colOff>289656</xdr:colOff>
      <xdr:row>1</xdr:row>
      <xdr:rowOff>553466</xdr:rowOff>
    </xdr:to>
    <xdr:sp macro="" textlink="">
      <xdr:nvSpPr>
        <xdr:cNvPr id="893" name="B GEN DATA PAGE">
          <a:hlinkClick xmlns:r="http://schemas.openxmlformats.org/officeDocument/2006/relationships" r:id="rId4" tooltip="Back to General Data Page"/>
          <a:extLst>
            <a:ext uri="{FF2B5EF4-FFF2-40B4-BE49-F238E27FC236}">
              <a16:creationId xmlns:a16="http://schemas.microsoft.com/office/drawing/2014/main" id="{F0ABC680-FDE4-472D-9567-3B4DE7D8DDE6}"/>
            </a:ext>
          </a:extLst>
        </xdr:cNvPr>
        <xdr:cNvSpPr/>
      </xdr:nvSpPr>
      <xdr:spPr>
        <a:xfrm>
          <a:off x="319117568"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265</xdr:col>
      <xdr:colOff>291341</xdr:colOff>
      <xdr:row>1</xdr:row>
      <xdr:rowOff>59690</xdr:rowOff>
    </xdr:from>
    <xdr:to>
      <xdr:col>266</xdr:col>
      <xdr:colOff>215650</xdr:colOff>
      <xdr:row>1</xdr:row>
      <xdr:rowOff>553466</xdr:rowOff>
    </xdr:to>
    <xdr:sp macro="" textlink="">
      <xdr:nvSpPr>
        <xdr:cNvPr id="894" name="B ABD PAGE">
          <a:hlinkClick xmlns:r="http://schemas.openxmlformats.org/officeDocument/2006/relationships" r:id="rId5" tooltip="Aged, Blind, or Disabled Page (Current)"/>
          <a:extLst>
            <a:ext uri="{FF2B5EF4-FFF2-40B4-BE49-F238E27FC236}">
              <a16:creationId xmlns:a16="http://schemas.microsoft.com/office/drawing/2014/main" id="{8293BBA1-65C1-44EC-B305-13EADCB8C6D5}"/>
            </a:ext>
          </a:extLst>
        </xdr:cNvPr>
        <xdr:cNvSpPr/>
      </xdr:nvSpPr>
      <xdr:spPr>
        <a:xfrm>
          <a:off x="321400681"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261</xdr:col>
      <xdr:colOff>558734</xdr:colOff>
      <xdr:row>1</xdr:row>
      <xdr:rowOff>59690</xdr:rowOff>
    </xdr:from>
    <xdr:to>
      <xdr:col>262</xdr:col>
      <xdr:colOff>404302</xdr:colOff>
      <xdr:row>1</xdr:row>
      <xdr:rowOff>553466</xdr:rowOff>
    </xdr:to>
    <xdr:sp macro="" textlink="">
      <xdr:nvSpPr>
        <xdr:cNvPr id="895" name="B GEN DATA PAGE">
          <a:hlinkClick xmlns:r="http://schemas.openxmlformats.org/officeDocument/2006/relationships" r:id="rId6" tooltip="Back to Navigation Page"/>
          <a:extLst>
            <a:ext uri="{FF2B5EF4-FFF2-40B4-BE49-F238E27FC236}">
              <a16:creationId xmlns:a16="http://schemas.microsoft.com/office/drawing/2014/main" id="{61FD3E44-2991-4E4D-A75D-3E4304EBCEFC}"/>
            </a:ext>
          </a:extLst>
        </xdr:cNvPr>
        <xdr:cNvSpPr/>
      </xdr:nvSpPr>
      <xdr:spPr>
        <a:xfrm>
          <a:off x="316830644"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271</xdr:col>
      <xdr:colOff>1128245</xdr:colOff>
      <xdr:row>1</xdr:row>
      <xdr:rowOff>59690</xdr:rowOff>
    </xdr:from>
    <xdr:to>
      <xdr:col>272</xdr:col>
      <xdr:colOff>992318</xdr:colOff>
      <xdr:row>1</xdr:row>
      <xdr:rowOff>557276</xdr:rowOff>
    </xdr:to>
    <xdr:sp macro="" textlink="">
      <xdr:nvSpPr>
        <xdr:cNvPr id="896" name="B ALL DATA PAGE">
          <a:hlinkClick xmlns:r="http://schemas.openxmlformats.org/officeDocument/2006/relationships" r:id="rId7" tooltip="Back to All Data Page"/>
          <a:extLst>
            <a:ext uri="{FF2B5EF4-FFF2-40B4-BE49-F238E27FC236}">
              <a16:creationId xmlns:a16="http://schemas.microsoft.com/office/drawing/2014/main" id="{2FEDE875-6D80-43ED-84E1-59FD99EECDED}"/>
            </a:ext>
          </a:extLst>
        </xdr:cNvPr>
        <xdr:cNvSpPr/>
      </xdr:nvSpPr>
      <xdr:spPr>
        <a:xfrm>
          <a:off x="329448645"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270</xdr:col>
      <xdr:colOff>1165877</xdr:colOff>
      <xdr:row>1</xdr:row>
      <xdr:rowOff>59690</xdr:rowOff>
    </xdr:from>
    <xdr:to>
      <xdr:col>271</xdr:col>
      <xdr:colOff>1054626</xdr:colOff>
      <xdr:row>1</xdr:row>
      <xdr:rowOff>553466</xdr:rowOff>
    </xdr:to>
    <xdr:sp macro="" textlink="">
      <xdr:nvSpPr>
        <xdr:cNvPr id="897" name="B TERMS PAGE">
          <a:hlinkClick xmlns:r="http://schemas.openxmlformats.org/officeDocument/2006/relationships" r:id="rId8" tooltip="Back to Appendix &amp; Terms Page"/>
          <a:extLst>
            <a:ext uri="{FF2B5EF4-FFF2-40B4-BE49-F238E27FC236}">
              <a16:creationId xmlns:a16="http://schemas.microsoft.com/office/drawing/2014/main" id="{52AD250A-1ECE-4957-9CB9-458C36DABBF8}"/>
            </a:ext>
          </a:extLst>
        </xdr:cNvPr>
        <xdr:cNvSpPr/>
      </xdr:nvSpPr>
      <xdr:spPr>
        <a:xfrm>
          <a:off x="328315761"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270</xdr:col>
      <xdr:colOff>63782</xdr:colOff>
      <xdr:row>1</xdr:row>
      <xdr:rowOff>59690</xdr:rowOff>
    </xdr:from>
    <xdr:to>
      <xdr:col>270</xdr:col>
      <xdr:colOff>1103694</xdr:colOff>
      <xdr:row>1</xdr:row>
      <xdr:rowOff>553466</xdr:rowOff>
    </xdr:to>
    <xdr:sp macro="" textlink="">
      <xdr:nvSpPr>
        <xdr:cNvPr id="898" name="B PROV DET PAGE">
          <a:hlinkClick xmlns:r="http://schemas.openxmlformats.org/officeDocument/2006/relationships" r:id="rId9" tooltip="Back to Provider Page"/>
          <a:extLst>
            <a:ext uri="{FF2B5EF4-FFF2-40B4-BE49-F238E27FC236}">
              <a16:creationId xmlns:a16="http://schemas.microsoft.com/office/drawing/2014/main" id="{2DBCA990-BF23-45BC-B88B-7E83FA6E18A0}"/>
            </a:ext>
          </a:extLst>
        </xdr:cNvPr>
        <xdr:cNvSpPr/>
      </xdr:nvSpPr>
      <xdr:spPr>
        <a:xfrm>
          <a:off x="327172602"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266</xdr:col>
      <xdr:colOff>265134</xdr:colOff>
      <xdr:row>1</xdr:row>
      <xdr:rowOff>59690</xdr:rowOff>
    </xdr:from>
    <xdr:to>
      <xdr:col>267</xdr:col>
      <xdr:colOff>134832</xdr:colOff>
      <xdr:row>1</xdr:row>
      <xdr:rowOff>553466</xdr:rowOff>
    </xdr:to>
    <xdr:sp macro="" textlink="">
      <xdr:nvSpPr>
        <xdr:cNvPr id="899" name="B IHSS PROG PAGE">
          <a:hlinkClick xmlns:r="http://schemas.openxmlformats.org/officeDocument/2006/relationships" r:id="rId10" tooltip="Back to Program Equity Page"/>
          <a:extLst>
            <a:ext uri="{FF2B5EF4-FFF2-40B4-BE49-F238E27FC236}">
              <a16:creationId xmlns:a16="http://schemas.microsoft.com/office/drawing/2014/main" id="{869EA0DE-5F31-4676-93D4-766549AC7848}"/>
            </a:ext>
          </a:extLst>
        </xdr:cNvPr>
        <xdr:cNvSpPr/>
      </xdr:nvSpPr>
      <xdr:spPr>
        <a:xfrm>
          <a:off x="322572084"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269</xdr:col>
      <xdr:colOff>76020</xdr:colOff>
      <xdr:row>1</xdr:row>
      <xdr:rowOff>59690</xdr:rowOff>
    </xdr:from>
    <xdr:to>
      <xdr:col>269</xdr:col>
      <xdr:colOff>1168002</xdr:colOff>
      <xdr:row>1</xdr:row>
      <xdr:rowOff>553466</xdr:rowOff>
    </xdr:to>
    <xdr:sp macro="" textlink="">
      <xdr:nvSpPr>
        <xdr:cNvPr id="900" name="B ETHNICITY PAGE">
          <a:hlinkClick xmlns:r="http://schemas.openxmlformats.org/officeDocument/2006/relationships" r:id="rId11" tooltip="Back to Ethnicity &amp; Language Page"/>
          <a:extLst>
            <a:ext uri="{FF2B5EF4-FFF2-40B4-BE49-F238E27FC236}">
              <a16:creationId xmlns:a16="http://schemas.microsoft.com/office/drawing/2014/main" id="{3DE3605A-29A0-4F2A-8A74-F0ACF80D8F23}"/>
            </a:ext>
          </a:extLst>
        </xdr:cNvPr>
        <xdr:cNvSpPr/>
      </xdr:nvSpPr>
      <xdr:spPr>
        <a:xfrm>
          <a:off x="325999930"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264</xdr:col>
      <xdr:colOff>379780</xdr:colOff>
      <xdr:row>1</xdr:row>
      <xdr:rowOff>59690</xdr:rowOff>
    </xdr:from>
    <xdr:to>
      <xdr:col>265</xdr:col>
      <xdr:colOff>254557</xdr:colOff>
      <xdr:row>1</xdr:row>
      <xdr:rowOff>553466</xdr:rowOff>
    </xdr:to>
    <xdr:sp macro="" textlink="">
      <xdr:nvSpPr>
        <xdr:cNvPr id="901" name="B GEN DATA PAGE">
          <a:hlinkClick xmlns:r="http://schemas.openxmlformats.org/officeDocument/2006/relationships" r:id="rId12" tooltip="IHSS Applicants Page (Current)"/>
          <a:extLst>
            <a:ext uri="{FF2B5EF4-FFF2-40B4-BE49-F238E27FC236}">
              <a16:creationId xmlns:a16="http://schemas.microsoft.com/office/drawing/2014/main" id="{77864738-ED2E-48F7-9817-7AE565BCED24}"/>
            </a:ext>
          </a:extLst>
        </xdr:cNvPr>
        <xdr:cNvSpPr/>
      </xdr:nvSpPr>
      <xdr:spPr>
        <a:xfrm>
          <a:off x="320273730"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267</xdr:col>
      <xdr:colOff>193206</xdr:colOff>
      <xdr:row>1</xdr:row>
      <xdr:rowOff>59690</xdr:rowOff>
    </xdr:from>
    <xdr:to>
      <xdr:col>268</xdr:col>
      <xdr:colOff>78144</xdr:colOff>
      <xdr:row>1</xdr:row>
      <xdr:rowOff>553466</xdr:rowOff>
    </xdr:to>
    <xdr:sp macro="" textlink="">
      <xdr:nvSpPr>
        <xdr:cNvPr id="902" name="B IHSS SERV PAGE">
          <a:hlinkClick xmlns:r="http://schemas.openxmlformats.org/officeDocument/2006/relationships" r:id="rId13" tooltip="IHSS Services Page (Current)"/>
          <a:extLst>
            <a:ext uri="{FF2B5EF4-FFF2-40B4-BE49-F238E27FC236}">
              <a16:creationId xmlns:a16="http://schemas.microsoft.com/office/drawing/2014/main" id="{6C77D83A-D23B-4170-AF53-AB6B8C5F3AB5}"/>
            </a:ext>
          </a:extLst>
        </xdr:cNvPr>
        <xdr:cNvSpPr/>
      </xdr:nvSpPr>
      <xdr:spPr>
        <a:xfrm>
          <a:off x="323702846"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281</xdr:col>
      <xdr:colOff>784853</xdr:colOff>
      <xdr:row>1</xdr:row>
      <xdr:rowOff>59690</xdr:rowOff>
    </xdr:from>
    <xdr:to>
      <xdr:col>282</xdr:col>
      <xdr:colOff>630421</xdr:colOff>
      <xdr:row>1</xdr:row>
      <xdr:rowOff>553466</xdr:rowOff>
    </xdr:to>
    <xdr:sp macro="" textlink="">
      <xdr:nvSpPr>
        <xdr:cNvPr id="903" name="B AGE PAGE">
          <a:hlinkClick xmlns:r="http://schemas.openxmlformats.org/officeDocument/2006/relationships" r:id="rId2" tooltip="Age &amp; Gender Page (Current)"/>
          <a:extLst>
            <a:ext uri="{FF2B5EF4-FFF2-40B4-BE49-F238E27FC236}">
              <a16:creationId xmlns:a16="http://schemas.microsoft.com/office/drawing/2014/main" id="{97371DA6-F5BE-498F-8580-5AE4322D3E3A}"/>
            </a:ext>
          </a:extLst>
        </xdr:cNvPr>
        <xdr:cNvSpPr/>
      </xdr:nvSpPr>
      <xdr:spPr>
        <a:xfrm>
          <a:off x="341170253"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275</xdr:col>
      <xdr:colOff>1127521</xdr:colOff>
      <xdr:row>1</xdr:row>
      <xdr:rowOff>59690</xdr:rowOff>
    </xdr:from>
    <xdr:to>
      <xdr:col>276</xdr:col>
      <xdr:colOff>974359</xdr:colOff>
      <xdr:row>1</xdr:row>
      <xdr:rowOff>553466</xdr:rowOff>
    </xdr:to>
    <xdr:sp macro="" textlink="">
      <xdr:nvSpPr>
        <xdr:cNvPr id="904" name="B HOME PAGE">
          <a:hlinkClick xmlns:r="http://schemas.openxmlformats.org/officeDocument/2006/relationships" r:id="rId3" tooltip="Back to Dashboard Page"/>
          <a:extLst>
            <a:ext uri="{FF2B5EF4-FFF2-40B4-BE49-F238E27FC236}">
              <a16:creationId xmlns:a16="http://schemas.microsoft.com/office/drawing/2014/main" id="{7496366D-34DD-402E-8219-A519647EAE40}"/>
            </a:ext>
          </a:extLst>
        </xdr:cNvPr>
        <xdr:cNvSpPr/>
      </xdr:nvSpPr>
      <xdr:spPr>
        <a:xfrm>
          <a:off x="334273921"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276</xdr:col>
      <xdr:colOff>1050513</xdr:colOff>
      <xdr:row>1</xdr:row>
      <xdr:rowOff>59690</xdr:rowOff>
    </xdr:from>
    <xdr:to>
      <xdr:col>277</xdr:col>
      <xdr:colOff>936721</xdr:colOff>
      <xdr:row>1</xdr:row>
      <xdr:rowOff>553466</xdr:rowOff>
    </xdr:to>
    <xdr:sp macro="" textlink="">
      <xdr:nvSpPr>
        <xdr:cNvPr id="905" name="B GEN DATA PAGE">
          <a:hlinkClick xmlns:r="http://schemas.openxmlformats.org/officeDocument/2006/relationships" r:id="rId4" tooltip="Back to General Data Page"/>
          <a:extLst>
            <a:ext uri="{FF2B5EF4-FFF2-40B4-BE49-F238E27FC236}">
              <a16:creationId xmlns:a16="http://schemas.microsoft.com/office/drawing/2014/main" id="{E5C1939C-1D1F-48F9-B5D3-53D3F34C9D75}"/>
            </a:ext>
          </a:extLst>
        </xdr:cNvPr>
        <xdr:cNvSpPr/>
      </xdr:nvSpPr>
      <xdr:spPr>
        <a:xfrm>
          <a:off x="335414843"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278</xdr:col>
      <xdr:colOff>913006</xdr:colOff>
      <xdr:row>1</xdr:row>
      <xdr:rowOff>59690</xdr:rowOff>
    </xdr:from>
    <xdr:to>
      <xdr:col>279</xdr:col>
      <xdr:colOff>823345</xdr:colOff>
      <xdr:row>1</xdr:row>
      <xdr:rowOff>553466</xdr:rowOff>
    </xdr:to>
    <xdr:sp macro="" textlink="">
      <xdr:nvSpPr>
        <xdr:cNvPr id="906" name="B ABD PAGE">
          <a:hlinkClick xmlns:r="http://schemas.openxmlformats.org/officeDocument/2006/relationships" r:id="rId5" tooltip="Aged, Blind, or Disabled Page (Current)"/>
          <a:extLst>
            <a:ext uri="{FF2B5EF4-FFF2-40B4-BE49-F238E27FC236}">
              <a16:creationId xmlns:a16="http://schemas.microsoft.com/office/drawing/2014/main" id="{A0C2750D-7F9F-4443-951B-92A93D485BFB}"/>
            </a:ext>
          </a:extLst>
        </xdr:cNvPr>
        <xdr:cNvSpPr/>
      </xdr:nvSpPr>
      <xdr:spPr>
        <a:xfrm>
          <a:off x="337697956"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274</xdr:col>
      <xdr:colOff>1167276</xdr:colOff>
      <xdr:row>1</xdr:row>
      <xdr:rowOff>59690</xdr:rowOff>
    </xdr:from>
    <xdr:to>
      <xdr:col>275</xdr:col>
      <xdr:colOff>1051367</xdr:colOff>
      <xdr:row>1</xdr:row>
      <xdr:rowOff>553466</xdr:rowOff>
    </xdr:to>
    <xdr:sp macro="" textlink="">
      <xdr:nvSpPr>
        <xdr:cNvPr id="907" name="B GEN DATA PAGE">
          <a:hlinkClick xmlns:r="http://schemas.openxmlformats.org/officeDocument/2006/relationships" r:id="rId6" tooltip="Back to Navigation Page"/>
          <a:extLst>
            <a:ext uri="{FF2B5EF4-FFF2-40B4-BE49-F238E27FC236}">
              <a16:creationId xmlns:a16="http://schemas.microsoft.com/office/drawing/2014/main" id="{1BF91871-82E5-44D3-A539-FA2C2D51AC77}"/>
            </a:ext>
          </a:extLst>
        </xdr:cNvPr>
        <xdr:cNvSpPr/>
      </xdr:nvSpPr>
      <xdr:spPr>
        <a:xfrm>
          <a:off x="333127919"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285</xdr:col>
      <xdr:colOff>516740</xdr:colOff>
      <xdr:row>1</xdr:row>
      <xdr:rowOff>59690</xdr:rowOff>
    </xdr:from>
    <xdr:to>
      <xdr:col>286</xdr:col>
      <xdr:colOff>403673</xdr:colOff>
      <xdr:row>1</xdr:row>
      <xdr:rowOff>557276</xdr:rowOff>
    </xdr:to>
    <xdr:sp macro="" textlink="">
      <xdr:nvSpPr>
        <xdr:cNvPr id="908" name="B ALL DATA PAGE">
          <a:hlinkClick xmlns:r="http://schemas.openxmlformats.org/officeDocument/2006/relationships" r:id="rId7" tooltip="Back to All Data Page"/>
          <a:extLst>
            <a:ext uri="{FF2B5EF4-FFF2-40B4-BE49-F238E27FC236}">
              <a16:creationId xmlns:a16="http://schemas.microsoft.com/office/drawing/2014/main" id="{E18A44C3-20E7-4FEA-BC95-2CC7EC542339}"/>
            </a:ext>
          </a:extLst>
        </xdr:cNvPr>
        <xdr:cNvSpPr/>
      </xdr:nvSpPr>
      <xdr:spPr>
        <a:xfrm>
          <a:off x="345745920"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284</xdr:col>
      <xdr:colOff>596706</xdr:colOff>
      <xdr:row>1</xdr:row>
      <xdr:rowOff>59690</xdr:rowOff>
    </xdr:from>
    <xdr:to>
      <xdr:col>285</xdr:col>
      <xdr:colOff>441851</xdr:colOff>
      <xdr:row>1</xdr:row>
      <xdr:rowOff>553466</xdr:rowOff>
    </xdr:to>
    <xdr:sp macro="" textlink="">
      <xdr:nvSpPr>
        <xdr:cNvPr id="909" name="B TERMS PAGE">
          <a:hlinkClick xmlns:r="http://schemas.openxmlformats.org/officeDocument/2006/relationships" r:id="rId8" tooltip="Back to Appendix &amp; Terms Page"/>
          <a:extLst>
            <a:ext uri="{FF2B5EF4-FFF2-40B4-BE49-F238E27FC236}">
              <a16:creationId xmlns:a16="http://schemas.microsoft.com/office/drawing/2014/main" id="{2C98607B-64CA-4BEA-A67F-B08E634037B5}"/>
            </a:ext>
          </a:extLst>
        </xdr:cNvPr>
        <xdr:cNvSpPr/>
      </xdr:nvSpPr>
      <xdr:spPr>
        <a:xfrm>
          <a:off x="344613036"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283</xdr:col>
      <xdr:colOff>672747</xdr:colOff>
      <xdr:row>1</xdr:row>
      <xdr:rowOff>59690</xdr:rowOff>
    </xdr:from>
    <xdr:to>
      <xdr:col>284</xdr:col>
      <xdr:colOff>520129</xdr:colOff>
      <xdr:row>1</xdr:row>
      <xdr:rowOff>553466</xdr:rowOff>
    </xdr:to>
    <xdr:sp macro="" textlink="">
      <xdr:nvSpPr>
        <xdr:cNvPr id="910" name="B PROV DET PAGE">
          <a:hlinkClick xmlns:r="http://schemas.openxmlformats.org/officeDocument/2006/relationships" r:id="rId9" tooltip="Back to Provider Page"/>
          <a:extLst>
            <a:ext uri="{FF2B5EF4-FFF2-40B4-BE49-F238E27FC236}">
              <a16:creationId xmlns:a16="http://schemas.microsoft.com/office/drawing/2014/main" id="{90074224-EEA4-4FE6-8AEF-7E685BEAC08F}"/>
            </a:ext>
          </a:extLst>
        </xdr:cNvPr>
        <xdr:cNvSpPr/>
      </xdr:nvSpPr>
      <xdr:spPr>
        <a:xfrm>
          <a:off x="343469877"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279</xdr:col>
      <xdr:colOff>896959</xdr:colOff>
      <xdr:row>1</xdr:row>
      <xdr:rowOff>59690</xdr:rowOff>
    </xdr:from>
    <xdr:to>
      <xdr:col>280</xdr:col>
      <xdr:colOff>745067</xdr:colOff>
      <xdr:row>1</xdr:row>
      <xdr:rowOff>553466</xdr:rowOff>
    </xdr:to>
    <xdr:sp macro="" textlink="">
      <xdr:nvSpPr>
        <xdr:cNvPr id="911" name="B IHSS PROG PAGE">
          <a:hlinkClick xmlns:r="http://schemas.openxmlformats.org/officeDocument/2006/relationships" r:id="rId10" tooltip="Back to Program Equity Page"/>
          <a:extLst>
            <a:ext uri="{FF2B5EF4-FFF2-40B4-BE49-F238E27FC236}">
              <a16:creationId xmlns:a16="http://schemas.microsoft.com/office/drawing/2014/main" id="{955902EC-FEA8-47D5-9765-A9E9FCFB050D}"/>
            </a:ext>
          </a:extLst>
        </xdr:cNvPr>
        <xdr:cNvSpPr/>
      </xdr:nvSpPr>
      <xdr:spPr>
        <a:xfrm>
          <a:off x="338869359"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282</xdr:col>
      <xdr:colOff>687525</xdr:colOff>
      <xdr:row>1</xdr:row>
      <xdr:rowOff>59690</xdr:rowOff>
    </xdr:from>
    <xdr:to>
      <xdr:col>283</xdr:col>
      <xdr:colOff>556497</xdr:colOff>
      <xdr:row>1</xdr:row>
      <xdr:rowOff>553466</xdr:rowOff>
    </xdr:to>
    <xdr:sp macro="" textlink="">
      <xdr:nvSpPr>
        <xdr:cNvPr id="912" name="B ETHNICITY PAGE">
          <a:hlinkClick xmlns:r="http://schemas.openxmlformats.org/officeDocument/2006/relationships" r:id="rId11" tooltip="Back to Ethnicity &amp; Language Page"/>
          <a:extLst>
            <a:ext uri="{FF2B5EF4-FFF2-40B4-BE49-F238E27FC236}">
              <a16:creationId xmlns:a16="http://schemas.microsoft.com/office/drawing/2014/main" id="{F0A3CC31-4F5E-43AB-A0F9-82D7CDDA05BC}"/>
            </a:ext>
          </a:extLst>
        </xdr:cNvPr>
        <xdr:cNvSpPr/>
      </xdr:nvSpPr>
      <xdr:spPr>
        <a:xfrm>
          <a:off x="342297205"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277</xdr:col>
      <xdr:colOff>1015415</xdr:colOff>
      <xdr:row>1</xdr:row>
      <xdr:rowOff>59690</xdr:rowOff>
    </xdr:from>
    <xdr:to>
      <xdr:col>278</xdr:col>
      <xdr:colOff>860982</xdr:colOff>
      <xdr:row>1</xdr:row>
      <xdr:rowOff>553466</xdr:rowOff>
    </xdr:to>
    <xdr:sp macro="" textlink="">
      <xdr:nvSpPr>
        <xdr:cNvPr id="913" name="B GEN DATA PAGE">
          <a:hlinkClick xmlns:r="http://schemas.openxmlformats.org/officeDocument/2006/relationships" r:id="rId12" tooltip="IHSS Applicants Page (Current)"/>
          <a:extLst>
            <a:ext uri="{FF2B5EF4-FFF2-40B4-BE49-F238E27FC236}">
              <a16:creationId xmlns:a16="http://schemas.microsoft.com/office/drawing/2014/main" id="{659D25DA-993E-4299-90F2-EABCC640CF0B}"/>
            </a:ext>
          </a:extLst>
        </xdr:cNvPr>
        <xdr:cNvSpPr/>
      </xdr:nvSpPr>
      <xdr:spPr>
        <a:xfrm>
          <a:off x="336571005"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280</xdr:col>
      <xdr:colOff>825031</xdr:colOff>
      <xdr:row>1</xdr:row>
      <xdr:rowOff>59690</xdr:rowOff>
    </xdr:from>
    <xdr:to>
      <xdr:col>281</xdr:col>
      <xdr:colOff>708699</xdr:colOff>
      <xdr:row>1</xdr:row>
      <xdr:rowOff>553466</xdr:rowOff>
    </xdr:to>
    <xdr:sp macro="" textlink="">
      <xdr:nvSpPr>
        <xdr:cNvPr id="914" name="B IHSS SERV PAGE">
          <a:hlinkClick xmlns:r="http://schemas.openxmlformats.org/officeDocument/2006/relationships" r:id="rId13" tooltip="IHSS Services Page (Current)"/>
          <a:extLst>
            <a:ext uri="{FF2B5EF4-FFF2-40B4-BE49-F238E27FC236}">
              <a16:creationId xmlns:a16="http://schemas.microsoft.com/office/drawing/2014/main" id="{2DCEB566-5F2B-4E7F-A336-84E540000CBF}"/>
            </a:ext>
          </a:extLst>
        </xdr:cNvPr>
        <xdr:cNvSpPr/>
      </xdr:nvSpPr>
      <xdr:spPr>
        <a:xfrm>
          <a:off x="340000121"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281</xdr:col>
      <xdr:colOff>747388</xdr:colOff>
      <xdr:row>1</xdr:row>
      <xdr:rowOff>59690</xdr:rowOff>
    </xdr:from>
    <xdr:to>
      <xdr:col>282</xdr:col>
      <xdr:colOff>592956</xdr:colOff>
      <xdr:row>1</xdr:row>
      <xdr:rowOff>553466</xdr:rowOff>
    </xdr:to>
    <xdr:sp macro="" textlink="">
      <xdr:nvSpPr>
        <xdr:cNvPr id="915" name="B AGE PAGE">
          <a:hlinkClick xmlns:r="http://schemas.openxmlformats.org/officeDocument/2006/relationships" r:id="rId2" tooltip="Age &amp; Gender Page (Current)"/>
          <a:extLst>
            <a:ext uri="{FF2B5EF4-FFF2-40B4-BE49-F238E27FC236}">
              <a16:creationId xmlns:a16="http://schemas.microsoft.com/office/drawing/2014/main" id="{0B566B99-DA42-4905-91FA-77B6223BEE95}"/>
            </a:ext>
          </a:extLst>
        </xdr:cNvPr>
        <xdr:cNvSpPr/>
      </xdr:nvSpPr>
      <xdr:spPr>
        <a:xfrm>
          <a:off x="341154378"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275</xdr:col>
      <xdr:colOff>1090056</xdr:colOff>
      <xdr:row>1</xdr:row>
      <xdr:rowOff>59690</xdr:rowOff>
    </xdr:from>
    <xdr:to>
      <xdr:col>276</xdr:col>
      <xdr:colOff>974994</xdr:colOff>
      <xdr:row>1</xdr:row>
      <xdr:rowOff>553466</xdr:rowOff>
    </xdr:to>
    <xdr:sp macro="" textlink="">
      <xdr:nvSpPr>
        <xdr:cNvPr id="916" name="B HOME PAGE">
          <a:hlinkClick xmlns:r="http://schemas.openxmlformats.org/officeDocument/2006/relationships" r:id="rId3" tooltip="Back to Dashboard Page"/>
          <a:extLst>
            <a:ext uri="{FF2B5EF4-FFF2-40B4-BE49-F238E27FC236}">
              <a16:creationId xmlns:a16="http://schemas.microsoft.com/office/drawing/2014/main" id="{B596E4B9-37AC-4320-9E1E-1F00A66B0751}"/>
            </a:ext>
          </a:extLst>
        </xdr:cNvPr>
        <xdr:cNvSpPr/>
      </xdr:nvSpPr>
      <xdr:spPr>
        <a:xfrm>
          <a:off x="334258046"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276</xdr:col>
      <xdr:colOff>1027018</xdr:colOff>
      <xdr:row>1</xdr:row>
      <xdr:rowOff>59690</xdr:rowOff>
    </xdr:from>
    <xdr:to>
      <xdr:col>277</xdr:col>
      <xdr:colOff>901796</xdr:colOff>
      <xdr:row>1</xdr:row>
      <xdr:rowOff>553466</xdr:rowOff>
    </xdr:to>
    <xdr:sp macro="" textlink="">
      <xdr:nvSpPr>
        <xdr:cNvPr id="917" name="B GEN DATA PAGE">
          <a:hlinkClick xmlns:r="http://schemas.openxmlformats.org/officeDocument/2006/relationships" r:id="rId4" tooltip="Back to General Data Page"/>
          <a:extLst>
            <a:ext uri="{FF2B5EF4-FFF2-40B4-BE49-F238E27FC236}">
              <a16:creationId xmlns:a16="http://schemas.microsoft.com/office/drawing/2014/main" id="{7F12BF86-3AAE-48A3-A3CA-42EFF96A3549}"/>
            </a:ext>
          </a:extLst>
        </xdr:cNvPr>
        <xdr:cNvSpPr/>
      </xdr:nvSpPr>
      <xdr:spPr>
        <a:xfrm>
          <a:off x="335398968"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278</xdr:col>
      <xdr:colOff>898401</xdr:colOff>
      <xdr:row>1</xdr:row>
      <xdr:rowOff>59690</xdr:rowOff>
    </xdr:from>
    <xdr:to>
      <xdr:col>279</xdr:col>
      <xdr:colOff>784610</xdr:colOff>
      <xdr:row>1</xdr:row>
      <xdr:rowOff>553466</xdr:rowOff>
    </xdr:to>
    <xdr:sp macro="" textlink="">
      <xdr:nvSpPr>
        <xdr:cNvPr id="918" name="B ABD PAGE">
          <a:hlinkClick xmlns:r="http://schemas.openxmlformats.org/officeDocument/2006/relationships" r:id="rId5" tooltip="Aged, Blind, or Disabled Page (Current)"/>
          <a:extLst>
            <a:ext uri="{FF2B5EF4-FFF2-40B4-BE49-F238E27FC236}">
              <a16:creationId xmlns:a16="http://schemas.microsoft.com/office/drawing/2014/main" id="{41D161FD-DA56-4F13-AC1E-EE489AD22D89}"/>
            </a:ext>
          </a:extLst>
        </xdr:cNvPr>
        <xdr:cNvSpPr/>
      </xdr:nvSpPr>
      <xdr:spPr>
        <a:xfrm>
          <a:off x="337682081"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274</xdr:col>
      <xdr:colOff>1168334</xdr:colOff>
      <xdr:row>1</xdr:row>
      <xdr:rowOff>59690</xdr:rowOff>
    </xdr:from>
    <xdr:to>
      <xdr:col>275</xdr:col>
      <xdr:colOff>1011362</xdr:colOff>
      <xdr:row>1</xdr:row>
      <xdr:rowOff>553466</xdr:rowOff>
    </xdr:to>
    <xdr:sp macro="" textlink="">
      <xdr:nvSpPr>
        <xdr:cNvPr id="919" name="B GEN DATA PAGE">
          <a:hlinkClick xmlns:r="http://schemas.openxmlformats.org/officeDocument/2006/relationships" r:id="rId6" tooltip="Back to Navigation Page"/>
          <a:extLst>
            <a:ext uri="{FF2B5EF4-FFF2-40B4-BE49-F238E27FC236}">
              <a16:creationId xmlns:a16="http://schemas.microsoft.com/office/drawing/2014/main" id="{DA37A8AC-9F47-44D7-821E-284505F92892}"/>
            </a:ext>
          </a:extLst>
        </xdr:cNvPr>
        <xdr:cNvSpPr/>
      </xdr:nvSpPr>
      <xdr:spPr>
        <a:xfrm>
          <a:off x="333112044"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285</xdr:col>
      <xdr:colOff>518645</xdr:colOff>
      <xdr:row>1</xdr:row>
      <xdr:rowOff>59690</xdr:rowOff>
    </xdr:from>
    <xdr:to>
      <xdr:col>286</xdr:col>
      <xdr:colOff>382718</xdr:colOff>
      <xdr:row>1</xdr:row>
      <xdr:rowOff>557276</xdr:rowOff>
    </xdr:to>
    <xdr:sp macro="" textlink="">
      <xdr:nvSpPr>
        <xdr:cNvPr id="920" name="B ALL DATA PAGE">
          <a:hlinkClick xmlns:r="http://schemas.openxmlformats.org/officeDocument/2006/relationships" r:id="rId7" tooltip="Back to All Data Page"/>
          <a:extLst>
            <a:ext uri="{FF2B5EF4-FFF2-40B4-BE49-F238E27FC236}">
              <a16:creationId xmlns:a16="http://schemas.microsoft.com/office/drawing/2014/main" id="{770957AB-79B6-416D-928B-376A138B97E8}"/>
            </a:ext>
          </a:extLst>
        </xdr:cNvPr>
        <xdr:cNvSpPr/>
      </xdr:nvSpPr>
      <xdr:spPr>
        <a:xfrm>
          <a:off x="345730045"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284</xdr:col>
      <xdr:colOff>592261</xdr:colOff>
      <xdr:row>1</xdr:row>
      <xdr:rowOff>59690</xdr:rowOff>
    </xdr:from>
    <xdr:to>
      <xdr:col>285</xdr:col>
      <xdr:colOff>445026</xdr:colOff>
      <xdr:row>1</xdr:row>
      <xdr:rowOff>553466</xdr:rowOff>
    </xdr:to>
    <xdr:sp macro="" textlink="">
      <xdr:nvSpPr>
        <xdr:cNvPr id="921" name="B TERMS PAGE">
          <a:hlinkClick xmlns:r="http://schemas.openxmlformats.org/officeDocument/2006/relationships" r:id="rId8" tooltip="Back to Appendix &amp; Terms Page"/>
          <a:extLst>
            <a:ext uri="{FF2B5EF4-FFF2-40B4-BE49-F238E27FC236}">
              <a16:creationId xmlns:a16="http://schemas.microsoft.com/office/drawing/2014/main" id="{4D17093A-0128-4812-937B-CED1BE9F03B3}"/>
            </a:ext>
          </a:extLst>
        </xdr:cNvPr>
        <xdr:cNvSpPr/>
      </xdr:nvSpPr>
      <xdr:spPr>
        <a:xfrm>
          <a:off x="344597161"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283</xdr:col>
      <xdr:colOff>632742</xdr:colOff>
      <xdr:row>1</xdr:row>
      <xdr:rowOff>59690</xdr:rowOff>
    </xdr:from>
    <xdr:to>
      <xdr:col>284</xdr:col>
      <xdr:colOff>494094</xdr:colOff>
      <xdr:row>1</xdr:row>
      <xdr:rowOff>553466</xdr:rowOff>
    </xdr:to>
    <xdr:sp macro="" textlink="">
      <xdr:nvSpPr>
        <xdr:cNvPr id="922" name="B PROV DET PAGE">
          <a:hlinkClick xmlns:r="http://schemas.openxmlformats.org/officeDocument/2006/relationships" r:id="rId9" tooltip="Back to Provider Page"/>
          <a:extLst>
            <a:ext uri="{FF2B5EF4-FFF2-40B4-BE49-F238E27FC236}">
              <a16:creationId xmlns:a16="http://schemas.microsoft.com/office/drawing/2014/main" id="{BEC3E8DC-8D83-4A48-B38D-A5ACC1B5F3BE}"/>
            </a:ext>
          </a:extLst>
        </xdr:cNvPr>
        <xdr:cNvSpPr/>
      </xdr:nvSpPr>
      <xdr:spPr>
        <a:xfrm>
          <a:off x="343454002"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279</xdr:col>
      <xdr:colOff>859494</xdr:colOff>
      <xdr:row>1</xdr:row>
      <xdr:rowOff>59690</xdr:rowOff>
    </xdr:from>
    <xdr:to>
      <xdr:col>280</xdr:col>
      <xdr:colOff>711412</xdr:colOff>
      <xdr:row>1</xdr:row>
      <xdr:rowOff>553466</xdr:rowOff>
    </xdr:to>
    <xdr:sp macro="" textlink="">
      <xdr:nvSpPr>
        <xdr:cNvPr id="923" name="B IHSS PROG PAGE">
          <a:hlinkClick xmlns:r="http://schemas.openxmlformats.org/officeDocument/2006/relationships" r:id="rId10" tooltip="Back to Program Equity Page"/>
          <a:extLst>
            <a:ext uri="{FF2B5EF4-FFF2-40B4-BE49-F238E27FC236}">
              <a16:creationId xmlns:a16="http://schemas.microsoft.com/office/drawing/2014/main" id="{334199DA-3404-4F3E-A6E7-555D5CACC5E2}"/>
            </a:ext>
          </a:extLst>
        </xdr:cNvPr>
        <xdr:cNvSpPr/>
      </xdr:nvSpPr>
      <xdr:spPr>
        <a:xfrm>
          <a:off x="338853484"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282</xdr:col>
      <xdr:colOff>672920</xdr:colOff>
      <xdr:row>1</xdr:row>
      <xdr:rowOff>59690</xdr:rowOff>
    </xdr:from>
    <xdr:to>
      <xdr:col>283</xdr:col>
      <xdr:colOff>558402</xdr:colOff>
      <xdr:row>1</xdr:row>
      <xdr:rowOff>553466</xdr:rowOff>
    </xdr:to>
    <xdr:sp macro="" textlink="">
      <xdr:nvSpPr>
        <xdr:cNvPr id="924" name="B ETHNICITY PAGE">
          <a:hlinkClick xmlns:r="http://schemas.openxmlformats.org/officeDocument/2006/relationships" r:id="rId11" tooltip="Back to Ethnicity &amp; Language Page"/>
          <a:extLst>
            <a:ext uri="{FF2B5EF4-FFF2-40B4-BE49-F238E27FC236}">
              <a16:creationId xmlns:a16="http://schemas.microsoft.com/office/drawing/2014/main" id="{699260B1-8216-4E70-8BD4-AFED692DD36C}"/>
            </a:ext>
          </a:extLst>
        </xdr:cNvPr>
        <xdr:cNvSpPr/>
      </xdr:nvSpPr>
      <xdr:spPr>
        <a:xfrm>
          <a:off x="342281330"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277</xdr:col>
      <xdr:colOff>974140</xdr:colOff>
      <xdr:row>1</xdr:row>
      <xdr:rowOff>59690</xdr:rowOff>
    </xdr:from>
    <xdr:to>
      <xdr:col>278</xdr:col>
      <xdr:colOff>860347</xdr:colOff>
      <xdr:row>1</xdr:row>
      <xdr:rowOff>553466</xdr:rowOff>
    </xdr:to>
    <xdr:sp macro="" textlink="">
      <xdr:nvSpPr>
        <xdr:cNvPr id="925" name="B GEN DATA PAGE">
          <a:hlinkClick xmlns:r="http://schemas.openxmlformats.org/officeDocument/2006/relationships" r:id="rId12" tooltip="IHSS Applicants Page (Current)"/>
          <a:extLst>
            <a:ext uri="{FF2B5EF4-FFF2-40B4-BE49-F238E27FC236}">
              <a16:creationId xmlns:a16="http://schemas.microsoft.com/office/drawing/2014/main" id="{820DC2E7-A023-469C-8BA8-C140F96EBE4D}"/>
            </a:ext>
          </a:extLst>
        </xdr:cNvPr>
        <xdr:cNvSpPr/>
      </xdr:nvSpPr>
      <xdr:spPr>
        <a:xfrm>
          <a:off x="336555130"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280</xdr:col>
      <xdr:colOff>783756</xdr:colOff>
      <xdr:row>1</xdr:row>
      <xdr:rowOff>59690</xdr:rowOff>
    </xdr:from>
    <xdr:to>
      <xdr:col>281</xdr:col>
      <xdr:colOff>668694</xdr:colOff>
      <xdr:row>1</xdr:row>
      <xdr:rowOff>553466</xdr:rowOff>
    </xdr:to>
    <xdr:sp macro="" textlink="">
      <xdr:nvSpPr>
        <xdr:cNvPr id="926" name="B IHSS SERV PAGE">
          <a:hlinkClick xmlns:r="http://schemas.openxmlformats.org/officeDocument/2006/relationships" r:id="rId13" tooltip="IHSS Services Page (Current)"/>
          <a:extLst>
            <a:ext uri="{FF2B5EF4-FFF2-40B4-BE49-F238E27FC236}">
              <a16:creationId xmlns:a16="http://schemas.microsoft.com/office/drawing/2014/main" id="{EA1B22E5-33C1-4AA1-9C56-40D477DA5FBC}"/>
            </a:ext>
          </a:extLst>
        </xdr:cNvPr>
        <xdr:cNvSpPr/>
      </xdr:nvSpPr>
      <xdr:spPr>
        <a:xfrm>
          <a:off x="339984246"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295</xdr:col>
      <xdr:colOff>1166276</xdr:colOff>
      <xdr:row>1</xdr:row>
      <xdr:rowOff>59690</xdr:rowOff>
    </xdr:from>
    <xdr:to>
      <xdr:col>296</xdr:col>
      <xdr:colOff>1016077</xdr:colOff>
      <xdr:row>1</xdr:row>
      <xdr:rowOff>553466</xdr:rowOff>
    </xdr:to>
    <xdr:sp macro="" textlink="">
      <xdr:nvSpPr>
        <xdr:cNvPr id="927" name="B AGE PAGE">
          <a:hlinkClick xmlns:r="http://schemas.openxmlformats.org/officeDocument/2006/relationships" r:id="rId2" tooltip="Age &amp; Gender Page (Current)"/>
          <a:extLst>
            <a:ext uri="{FF2B5EF4-FFF2-40B4-BE49-F238E27FC236}">
              <a16:creationId xmlns:a16="http://schemas.microsoft.com/office/drawing/2014/main" id="{5F3757C1-057B-4E25-A851-C782572A47D2}"/>
            </a:ext>
          </a:extLst>
        </xdr:cNvPr>
        <xdr:cNvSpPr/>
      </xdr:nvSpPr>
      <xdr:spPr>
        <a:xfrm>
          <a:off x="358463419"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290</xdr:col>
      <xdr:colOff>304137</xdr:colOff>
      <xdr:row>1</xdr:row>
      <xdr:rowOff>59690</xdr:rowOff>
    </xdr:from>
    <xdr:to>
      <xdr:col>291</xdr:col>
      <xdr:colOff>172565</xdr:colOff>
      <xdr:row>1</xdr:row>
      <xdr:rowOff>553466</xdr:rowOff>
    </xdr:to>
    <xdr:sp macro="" textlink="">
      <xdr:nvSpPr>
        <xdr:cNvPr id="928" name="B HOME PAGE">
          <a:hlinkClick xmlns:r="http://schemas.openxmlformats.org/officeDocument/2006/relationships" r:id="rId3" tooltip="Back to Dashboard Page"/>
          <a:extLst>
            <a:ext uri="{FF2B5EF4-FFF2-40B4-BE49-F238E27FC236}">
              <a16:creationId xmlns:a16="http://schemas.microsoft.com/office/drawing/2014/main" id="{D08744AD-0FD2-4114-BB75-84ECEB600C5A}"/>
            </a:ext>
          </a:extLst>
        </xdr:cNvPr>
        <xdr:cNvSpPr/>
      </xdr:nvSpPr>
      <xdr:spPr>
        <a:xfrm>
          <a:off x="351567087"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291</xdr:col>
      <xdr:colOff>251259</xdr:colOff>
      <xdr:row>1</xdr:row>
      <xdr:rowOff>59690</xdr:rowOff>
    </xdr:from>
    <xdr:to>
      <xdr:col>292</xdr:col>
      <xdr:colOff>101907</xdr:colOff>
      <xdr:row>1</xdr:row>
      <xdr:rowOff>553466</xdr:rowOff>
    </xdr:to>
    <xdr:sp macro="" textlink="">
      <xdr:nvSpPr>
        <xdr:cNvPr id="929" name="B GEN DATA PAGE">
          <a:hlinkClick xmlns:r="http://schemas.openxmlformats.org/officeDocument/2006/relationships" r:id="rId4" tooltip="Back to General Data Page"/>
          <a:extLst>
            <a:ext uri="{FF2B5EF4-FFF2-40B4-BE49-F238E27FC236}">
              <a16:creationId xmlns:a16="http://schemas.microsoft.com/office/drawing/2014/main" id="{948C26C2-08E0-4EFC-A100-DB8BB3F3B892}"/>
            </a:ext>
          </a:extLst>
        </xdr:cNvPr>
        <xdr:cNvSpPr/>
      </xdr:nvSpPr>
      <xdr:spPr>
        <a:xfrm>
          <a:off x="352708009"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293</xdr:col>
      <xdr:colOff>99782</xdr:colOff>
      <xdr:row>1</xdr:row>
      <xdr:rowOff>59690</xdr:rowOff>
    </xdr:from>
    <xdr:to>
      <xdr:col>294</xdr:col>
      <xdr:colOff>20281</xdr:colOff>
      <xdr:row>1</xdr:row>
      <xdr:rowOff>553466</xdr:rowOff>
    </xdr:to>
    <xdr:sp macro="" textlink="">
      <xdr:nvSpPr>
        <xdr:cNvPr id="930" name="B ABD PAGE">
          <a:hlinkClick xmlns:r="http://schemas.openxmlformats.org/officeDocument/2006/relationships" r:id="rId5" tooltip="Aged, Blind, or Disabled Page (Current)"/>
          <a:extLst>
            <a:ext uri="{FF2B5EF4-FFF2-40B4-BE49-F238E27FC236}">
              <a16:creationId xmlns:a16="http://schemas.microsoft.com/office/drawing/2014/main" id="{56DEAE2F-A1FD-4C37-A806-49BB8137407B}"/>
            </a:ext>
          </a:extLst>
        </xdr:cNvPr>
        <xdr:cNvSpPr/>
      </xdr:nvSpPr>
      <xdr:spPr>
        <a:xfrm>
          <a:off x="354991122"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289</xdr:col>
      <xdr:colOff>368445</xdr:colOff>
      <xdr:row>1</xdr:row>
      <xdr:rowOff>59690</xdr:rowOff>
    </xdr:from>
    <xdr:to>
      <xdr:col>290</xdr:col>
      <xdr:colOff>227983</xdr:colOff>
      <xdr:row>1</xdr:row>
      <xdr:rowOff>553466</xdr:rowOff>
    </xdr:to>
    <xdr:sp macro="" textlink="">
      <xdr:nvSpPr>
        <xdr:cNvPr id="931" name="B GEN DATA PAGE">
          <a:hlinkClick xmlns:r="http://schemas.openxmlformats.org/officeDocument/2006/relationships" r:id="rId6" tooltip="Back to Navigation Page"/>
          <a:extLst>
            <a:ext uri="{FF2B5EF4-FFF2-40B4-BE49-F238E27FC236}">
              <a16:creationId xmlns:a16="http://schemas.microsoft.com/office/drawing/2014/main" id="{79A7FE6B-BAC4-47EC-A4C4-73971BBC6B61}"/>
            </a:ext>
          </a:extLst>
        </xdr:cNvPr>
        <xdr:cNvSpPr/>
      </xdr:nvSpPr>
      <xdr:spPr>
        <a:xfrm>
          <a:off x="350421085"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299</xdr:col>
      <xdr:colOff>936686</xdr:colOff>
      <xdr:row>1</xdr:row>
      <xdr:rowOff>59690</xdr:rowOff>
    </xdr:from>
    <xdr:to>
      <xdr:col>300</xdr:col>
      <xdr:colOff>800759</xdr:colOff>
      <xdr:row>1</xdr:row>
      <xdr:rowOff>557276</xdr:rowOff>
    </xdr:to>
    <xdr:sp macro="" textlink="">
      <xdr:nvSpPr>
        <xdr:cNvPr id="932" name="B ALL DATA PAGE">
          <a:hlinkClick xmlns:r="http://schemas.openxmlformats.org/officeDocument/2006/relationships" r:id="rId7" tooltip="Back to All Data Page"/>
          <a:extLst>
            <a:ext uri="{FF2B5EF4-FFF2-40B4-BE49-F238E27FC236}">
              <a16:creationId xmlns:a16="http://schemas.microsoft.com/office/drawing/2014/main" id="{21CE65BD-8211-44E0-888D-B675A138C11C}"/>
            </a:ext>
          </a:extLst>
        </xdr:cNvPr>
        <xdr:cNvSpPr/>
      </xdr:nvSpPr>
      <xdr:spPr>
        <a:xfrm>
          <a:off x="363039086"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298</xdr:col>
      <xdr:colOff>1012842</xdr:colOff>
      <xdr:row>1</xdr:row>
      <xdr:rowOff>59690</xdr:rowOff>
    </xdr:from>
    <xdr:to>
      <xdr:col>299</xdr:col>
      <xdr:colOff>863067</xdr:colOff>
      <xdr:row>1</xdr:row>
      <xdr:rowOff>553466</xdr:rowOff>
    </xdr:to>
    <xdr:sp macro="" textlink="">
      <xdr:nvSpPr>
        <xdr:cNvPr id="933" name="B TERMS PAGE">
          <a:hlinkClick xmlns:r="http://schemas.openxmlformats.org/officeDocument/2006/relationships" r:id="rId8" tooltip="Back to Appendix &amp; Terms Page"/>
          <a:extLst>
            <a:ext uri="{FF2B5EF4-FFF2-40B4-BE49-F238E27FC236}">
              <a16:creationId xmlns:a16="http://schemas.microsoft.com/office/drawing/2014/main" id="{D7A9D9DC-AB4F-4A6B-BC6B-DE5065183B8A}"/>
            </a:ext>
          </a:extLst>
        </xdr:cNvPr>
        <xdr:cNvSpPr/>
      </xdr:nvSpPr>
      <xdr:spPr>
        <a:xfrm>
          <a:off x="361906202"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297</xdr:col>
      <xdr:colOff>1052053</xdr:colOff>
      <xdr:row>1</xdr:row>
      <xdr:rowOff>59690</xdr:rowOff>
    </xdr:from>
    <xdr:to>
      <xdr:col>298</xdr:col>
      <xdr:colOff>899435</xdr:colOff>
      <xdr:row>1</xdr:row>
      <xdr:rowOff>553466</xdr:rowOff>
    </xdr:to>
    <xdr:sp macro="" textlink="">
      <xdr:nvSpPr>
        <xdr:cNvPr id="934" name="B PROV DET PAGE">
          <a:hlinkClick xmlns:r="http://schemas.openxmlformats.org/officeDocument/2006/relationships" r:id="rId9" tooltip="Back to Provider Page"/>
          <a:extLst>
            <a:ext uri="{FF2B5EF4-FFF2-40B4-BE49-F238E27FC236}">
              <a16:creationId xmlns:a16="http://schemas.microsoft.com/office/drawing/2014/main" id="{2D847B54-0F22-4D3B-9BA1-1A434D1F015A}"/>
            </a:ext>
          </a:extLst>
        </xdr:cNvPr>
        <xdr:cNvSpPr/>
      </xdr:nvSpPr>
      <xdr:spPr>
        <a:xfrm>
          <a:off x="360763043"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294</xdr:col>
      <xdr:colOff>76115</xdr:colOff>
      <xdr:row>1</xdr:row>
      <xdr:rowOff>59690</xdr:rowOff>
    </xdr:from>
    <xdr:to>
      <xdr:col>294</xdr:col>
      <xdr:colOff>1128183</xdr:colOff>
      <xdr:row>1</xdr:row>
      <xdr:rowOff>553466</xdr:rowOff>
    </xdr:to>
    <xdr:sp macro="" textlink="">
      <xdr:nvSpPr>
        <xdr:cNvPr id="935" name="B IHSS PROG PAGE">
          <a:hlinkClick xmlns:r="http://schemas.openxmlformats.org/officeDocument/2006/relationships" r:id="rId10" tooltip="Back to Program Equity Page"/>
          <a:extLst>
            <a:ext uri="{FF2B5EF4-FFF2-40B4-BE49-F238E27FC236}">
              <a16:creationId xmlns:a16="http://schemas.microsoft.com/office/drawing/2014/main" id="{90872943-FF61-4F6A-A7A7-9FD1E0A7C11B}"/>
            </a:ext>
          </a:extLst>
        </xdr:cNvPr>
        <xdr:cNvSpPr/>
      </xdr:nvSpPr>
      <xdr:spPr>
        <a:xfrm>
          <a:off x="356162525"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296</xdr:col>
      <xdr:colOff>1092231</xdr:colOff>
      <xdr:row>1</xdr:row>
      <xdr:rowOff>59690</xdr:rowOff>
    </xdr:from>
    <xdr:to>
      <xdr:col>297</xdr:col>
      <xdr:colOff>975173</xdr:colOff>
      <xdr:row>1</xdr:row>
      <xdr:rowOff>553466</xdr:rowOff>
    </xdr:to>
    <xdr:sp macro="" textlink="">
      <xdr:nvSpPr>
        <xdr:cNvPr id="936" name="B ETHNICITY PAGE">
          <a:hlinkClick xmlns:r="http://schemas.openxmlformats.org/officeDocument/2006/relationships" r:id="rId11" tooltip="Back to Ethnicity &amp; Language Page"/>
          <a:extLst>
            <a:ext uri="{FF2B5EF4-FFF2-40B4-BE49-F238E27FC236}">
              <a16:creationId xmlns:a16="http://schemas.microsoft.com/office/drawing/2014/main" id="{AB7A9F32-1DD8-419C-8D73-5EA7BA9D7880}"/>
            </a:ext>
          </a:extLst>
        </xdr:cNvPr>
        <xdr:cNvSpPr/>
      </xdr:nvSpPr>
      <xdr:spPr>
        <a:xfrm>
          <a:off x="359590371"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292</xdr:col>
      <xdr:colOff>190761</xdr:colOff>
      <xdr:row>1</xdr:row>
      <xdr:rowOff>59690</xdr:rowOff>
    </xdr:from>
    <xdr:to>
      <xdr:col>293</xdr:col>
      <xdr:colOff>57918</xdr:colOff>
      <xdr:row>1</xdr:row>
      <xdr:rowOff>553466</xdr:rowOff>
    </xdr:to>
    <xdr:sp macro="" textlink="">
      <xdr:nvSpPr>
        <xdr:cNvPr id="937" name="B GEN DATA PAGE">
          <a:hlinkClick xmlns:r="http://schemas.openxmlformats.org/officeDocument/2006/relationships" r:id="rId12" tooltip="IHSS Applicants Page (Current)"/>
          <a:extLst>
            <a:ext uri="{FF2B5EF4-FFF2-40B4-BE49-F238E27FC236}">
              <a16:creationId xmlns:a16="http://schemas.microsoft.com/office/drawing/2014/main" id="{CE0A9EC8-2063-4CF8-994E-F187EB70E2B1}"/>
            </a:ext>
          </a:extLst>
        </xdr:cNvPr>
        <xdr:cNvSpPr/>
      </xdr:nvSpPr>
      <xdr:spPr>
        <a:xfrm>
          <a:off x="353864171"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295</xdr:col>
      <xdr:colOff>377</xdr:colOff>
      <xdr:row>1</xdr:row>
      <xdr:rowOff>59690</xdr:rowOff>
    </xdr:from>
    <xdr:to>
      <xdr:col>295</xdr:col>
      <xdr:colOff>1091815</xdr:colOff>
      <xdr:row>1</xdr:row>
      <xdr:rowOff>553466</xdr:rowOff>
    </xdr:to>
    <xdr:sp macro="" textlink="">
      <xdr:nvSpPr>
        <xdr:cNvPr id="938" name="B IHSS SERV PAGE">
          <a:hlinkClick xmlns:r="http://schemas.openxmlformats.org/officeDocument/2006/relationships" r:id="rId13" tooltip="IHSS Services Page (Current)"/>
          <a:extLst>
            <a:ext uri="{FF2B5EF4-FFF2-40B4-BE49-F238E27FC236}">
              <a16:creationId xmlns:a16="http://schemas.microsoft.com/office/drawing/2014/main" id="{E531DCED-F13C-4F07-A299-BA75D21157BB}"/>
            </a:ext>
          </a:extLst>
        </xdr:cNvPr>
        <xdr:cNvSpPr/>
      </xdr:nvSpPr>
      <xdr:spPr>
        <a:xfrm>
          <a:off x="357293287"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295</xdr:col>
      <xdr:colOff>1168604</xdr:colOff>
      <xdr:row>1</xdr:row>
      <xdr:rowOff>59690</xdr:rowOff>
    </xdr:from>
    <xdr:to>
      <xdr:col>296</xdr:col>
      <xdr:colOff>1012902</xdr:colOff>
      <xdr:row>1</xdr:row>
      <xdr:rowOff>553466</xdr:rowOff>
    </xdr:to>
    <xdr:sp macro="" textlink="">
      <xdr:nvSpPr>
        <xdr:cNvPr id="939" name="B AGE PAGE">
          <a:hlinkClick xmlns:r="http://schemas.openxmlformats.org/officeDocument/2006/relationships" r:id="rId2" tooltip="Age &amp; Gender Page (Current)"/>
          <a:extLst>
            <a:ext uri="{FF2B5EF4-FFF2-40B4-BE49-F238E27FC236}">
              <a16:creationId xmlns:a16="http://schemas.microsoft.com/office/drawing/2014/main" id="{32D6CBDF-B64D-4F61-B661-C75F9BA42743}"/>
            </a:ext>
          </a:extLst>
        </xdr:cNvPr>
        <xdr:cNvSpPr/>
      </xdr:nvSpPr>
      <xdr:spPr>
        <a:xfrm>
          <a:off x="358447544"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290</xdr:col>
      <xdr:colOff>292072</xdr:colOff>
      <xdr:row>1</xdr:row>
      <xdr:rowOff>59690</xdr:rowOff>
    </xdr:from>
    <xdr:to>
      <xdr:col>291</xdr:col>
      <xdr:colOff>178280</xdr:colOff>
      <xdr:row>1</xdr:row>
      <xdr:rowOff>553466</xdr:rowOff>
    </xdr:to>
    <xdr:sp macro="" textlink="">
      <xdr:nvSpPr>
        <xdr:cNvPr id="940" name="B HOME PAGE">
          <a:hlinkClick xmlns:r="http://schemas.openxmlformats.org/officeDocument/2006/relationships" r:id="rId3" tooltip="Back to Dashboard Page"/>
          <a:extLst>
            <a:ext uri="{FF2B5EF4-FFF2-40B4-BE49-F238E27FC236}">
              <a16:creationId xmlns:a16="http://schemas.microsoft.com/office/drawing/2014/main" id="{BA010CFF-4E2D-4D7E-B87B-0844C1324706}"/>
            </a:ext>
          </a:extLst>
        </xdr:cNvPr>
        <xdr:cNvSpPr/>
      </xdr:nvSpPr>
      <xdr:spPr>
        <a:xfrm>
          <a:off x="351551212"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291</xdr:col>
      <xdr:colOff>213794</xdr:colOff>
      <xdr:row>1</xdr:row>
      <xdr:rowOff>59690</xdr:rowOff>
    </xdr:from>
    <xdr:to>
      <xdr:col>292</xdr:col>
      <xdr:colOff>98732</xdr:colOff>
      <xdr:row>1</xdr:row>
      <xdr:rowOff>553466</xdr:rowOff>
    </xdr:to>
    <xdr:sp macro="" textlink="">
      <xdr:nvSpPr>
        <xdr:cNvPr id="941" name="B GEN DATA PAGE">
          <a:hlinkClick xmlns:r="http://schemas.openxmlformats.org/officeDocument/2006/relationships" r:id="rId4" tooltip="Back to General Data Page"/>
          <a:extLst>
            <a:ext uri="{FF2B5EF4-FFF2-40B4-BE49-F238E27FC236}">
              <a16:creationId xmlns:a16="http://schemas.microsoft.com/office/drawing/2014/main" id="{FB03B5CF-20E9-4A8B-AEB5-3F6828DBECE9}"/>
            </a:ext>
          </a:extLst>
        </xdr:cNvPr>
        <xdr:cNvSpPr/>
      </xdr:nvSpPr>
      <xdr:spPr>
        <a:xfrm>
          <a:off x="352692134"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293</xdr:col>
      <xdr:colOff>97877</xdr:colOff>
      <xdr:row>1</xdr:row>
      <xdr:rowOff>59690</xdr:rowOff>
    </xdr:from>
    <xdr:to>
      <xdr:col>293</xdr:col>
      <xdr:colOff>1168573</xdr:colOff>
      <xdr:row>1</xdr:row>
      <xdr:rowOff>553466</xdr:rowOff>
    </xdr:to>
    <xdr:sp macro="" textlink="">
      <xdr:nvSpPr>
        <xdr:cNvPr id="942" name="B ABD PAGE">
          <a:hlinkClick xmlns:r="http://schemas.openxmlformats.org/officeDocument/2006/relationships" r:id="rId5" tooltip="Aged, Blind, or Disabled Page (Current)"/>
          <a:extLst>
            <a:ext uri="{FF2B5EF4-FFF2-40B4-BE49-F238E27FC236}">
              <a16:creationId xmlns:a16="http://schemas.microsoft.com/office/drawing/2014/main" id="{382B0546-939C-4A9E-A6FD-44ACF83950A2}"/>
            </a:ext>
          </a:extLst>
        </xdr:cNvPr>
        <xdr:cNvSpPr/>
      </xdr:nvSpPr>
      <xdr:spPr>
        <a:xfrm>
          <a:off x="354975247"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289</xdr:col>
      <xdr:colOff>365270</xdr:colOff>
      <xdr:row>1</xdr:row>
      <xdr:rowOff>59690</xdr:rowOff>
    </xdr:from>
    <xdr:to>
      <xdr:col>290</xdr:col>
      <xdr:colOff>213378</xdr:colOff>
      <xdr:row>1</xdr:row>
      <xdr:rowOff>553466</xdr:rowOff>
    </xdr:to>
    <xdr:sp macro="" textlink="">
      <xdr:nvSpPr>
        <xdr:cNvPr id="943" name="B GEN DATA PAGE">
          <a:hlinkClick xmlns:r="http://schemas.openxmlformats.org/officeDocument/2006/relationships" r:id="rId6" tooltip="Back to Navigation Page"/>
          <a:extLst>
            <a:ext uri="{FF2B5EF4-FFF2-40B4-BE49-F238E27FC236}">
              <a16:creationId xmlns:a16="http://schemas.microsoft.com/office/drawing/2014/main" id="{42E4A07D-96E2-4A3D-A605-08DCE8869B61}"/>
            </a:ext>
          </a:extLst>
        </xdr:cNvPr>
        <xdr:cNvSpPr/>
      </xdr:nvSpPr>
      <xdr:spPr>
        <a:xfrm>
          <a:off x="350405210"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299</xdr:col>
      <xdr:colOff>899221</xdr:colOff>
      <xdr:row>1</xdr:row>
      <xdr:rowOff>59690</xdr:rowOff>
    </xdr:from>
    <xdr:to>
      <xdr:col>300</xdr:col>
      <xdr:colOff>787424</xdr:colOff>
      <xdr:row>1</xdr:row>
      <xdr:rowOff>557276</xdr:rowOff>
    </xdr:to>
    <xdr:sp macro="" textlink="">
      <xdr:nvSpPr>
        <xdr:cNvPr id="944" name="B ALL DATA PAGE">
          <a:hlinkClick xmlns:r="http://schemas.openxmlformats.org/officeDocument/2006/relationships" r:id="rId7" tooltip="Back to All Data Page"/>
          <a:extLst>
            <a:ext uri="{FF2B5EF4-FFF2-40B4-BE49-F238E27FC236}">
              <a16:creationId xmlns:a16="http://schemas.microsoft.com/office/drawing/2014/main" id="{113401E7-4DBB-46AC-A374-0D92B2CBFD6F}"/>
            </a:ext>
          </a:extLst>
        </xdr:cNvPr>
        <xdr:cNvSpPr/>
      </xdr:nvSpPr>
      <xdr:spPr>
        <a:xfrm>
          <a:off x="363023211"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298</xdr:col>
      <xdr:colOff>977917</xdr:colOff>
      <xdr:row>1</xdr:row>
      <xdr:rowOff>59690</xdr:rowOff>
    </xdr:from>
    <xdr:to>
      <xdr:col>299</xdr:col>
      <xdr:colOff>821792</xdr:colOff>
      <xdr:row>1</xdr:row>
      <xdr:rowOff>553466</xdr:rowOff>
    </xdr:to>
    <xdr:sp macro="" textlink="">
      <xdr:nvSpPr>
        <xdr:cNvPr id="945" name="B TERMS PAGE">
          <a:hlinkClick xmlns:r="http://schemas.openxmlformats.org/officeDocument/2006/relationships" r:id="rId8" tooltip="Back to Appendix &amp; Terms Page"/>
          <a:extLst>
            <a:ext uri="{FF2B5EF4-FFF2-40B4-BE49-F238E27FC236}">
              <a16:creationId xmlns:a16="http://schemas.microsoft.com/office/drawing/2014/main" id="{1AECC8C9-105C-4E1D-8CE9-134F4F93A610}"/>
            </a:ext>
          </a:extLst>
        </xdr:cNvPr>
        <xdr:cNvSpPr/>
      </xdr:nvSpPr>
      <xdr:spPr>
        <a:xfrm>
          <a:off x="361890327"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297</xdr:col>
      <xdr:colOff>1051418</xdr:colOff>
      <xdr:row>1</xdr:row>
      <xdr:rowOff>59690</xdr:rowOff>
    </xdr:from>
    <xdr:to>
      <xdr:col>298</xdr:col>
      <xdr:colOff>897530</xdr:colOff>
      <xdr:row>1</xdr:row>
      <xdr:rowOff>553466</xdr:rowOff>
    </xdr:to>
    <xdr:sp macro="" textlink="">
      <xdr:nvSpPr>
        <xdr:cNvPr id="946" name="B PROV DET PAGE">
          <a:hlinkClick xmlns:r="http://schemas.openxmlformats.org/officeDocument/2006/relationships" r:id="rId9" tooltip="Back to Provider Page"/>
          <a:extLst>
            <a:ext uri="{FF2B5EF4-FFF2-40B4-BE49-F238E27FC236}">
              <a16:creationId xmlns:a16="http://schemas.microsoft.com/office/drawing/2014/main" id="{81F135F1-DD07-4452-AB5C-9DBDE7915FAB}"/>
            </a:ext>
          </a:extLst>
        </xdr:cNvPr>
        <xdr:cNvSpPr/>
      </xdr:nvSpPr>
      <xdr:spPr>
        <a:xfrm>
          <a:off x="360747168"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294</xdr:col>
      <xdr:colOff>61510</xdr:colOff>
      <xdr:row>1</xdr:row>
      <xdr:rowOff>59690</xdr:rowOff>
    </xdr:from>
    <xdr:to>
      <xdr:col>294</xdr:col>
      <xdr:colOff>1126278</xdr:colOff>
      <xdr:row>1</xdr:row>
      <xdr:rowOff>553466</xdr:rowOff>
    </xdr:to>
    <xdr:sp macro="" textlink="">
      <xdr:nvSpPr>
        <xdr:cNvPr id="947" name="B IHSS PROG PAGE">
          <a:hlinkClick xmlns:r="http://schemas.openxmlformats.org/officeDocument/2006/relationships" r:id="rId10" tooltip="Back to Program Equity Page"/>
          <a:extLst>
            <a:ext uri="{FF2B5EF4-FFF2-40B4-BE49-F238E27FC236}">
              <a16:creationId xmlns:a16="http://schemas.microsoft.com/office/drawing/2014/main" id="{F990D8B2-1335-4690-A0C7-5A6A30ED9527}"/>
            </a:ext>
          </a:extLst>
        </xdr:cNvPr>
        <xdr:cNvSpPr/>
      </xdr:nvSpPr>
      <xdr:spPr>
        <a:xfrm>
          <a:off x="356146650"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296</xdr:col>
      <xdr:colOff>1089056</xdr:colOff>
      <xdr:row>1</xdr:row>
      <xdr:rowOff>59690</xdr:rowOff>
    </xdr:from>
    <xdr:to>
      <xdr:col>297</xdr:col>
      <xdr:colOff>936438</xdr:colOff>
      <xdr:row>1</xdr:row>
      <xdr:rowOff>553466</xdr:rowOff>
    </xdr:to>
    <xdr:sp macro="" textlink="">
      <xdr:nvSpPr>
        <xdr:cNvPr id="948" name="B ETHNICITY PAGE">
          <a:hlinkClick xmlns:r="http://schemas.openxmlformats.org/officeDocument/2006/relationships" r:id="rId11" tooltip="Back to Ethnicity &amp; Language Page"/>
          <a:extLst>
            <a:ext uri="{FF2B5EF4-FFF2-40B4-BE49-F238E27FC236}">
              <a16:creationId xmlns:a16="http://schemas.microsoft.com/office/drawing/2014/main" id="{C4CF33BD-CED1-4A30-9116-FB8A9CA403F3}"/>
            </a:ext>
          </a:extLst>
        </xdr:cNvPr>
        <xdr:cNvSpPr/>
      </xdr:nvSpPr>
      <xdr:spPr>
        <a:xfrm>
          <a:off x="359574496"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292</xdr:col>
      <xdr:colOff>177426</xdr:colOff>
      <xdr:row>1</xdr:row>
      <xdr:rowOff>59690</xdr:rowOff>
    </xdr:from>
    <xdr:to>
      <xdr:col>293</xdr:col>
      <xdr:colOff>58553</xdr:colOff>
      <xdr:row>1</xdr:row>
      <xdr:rowOff>553466</xdr:rowOff>
    </xdr:to>
    <xdr:sp macro="" textlink="">
      <xdr:nvSpPr>
        <xdr:cNvPr id="949" name="B GEN DATA PAGE">
          <a:hlinkClick xmlns:r="http://schemas.openxmlformats.org/officeDocument/2006/relationships" r:id="rId12" tooltip="IHSS Applicants Page (Current)"/>
          <a:extLst>
            <a:ext uri="{FF2B5EF4-FFF2-40B4-BE49-F238E27FC236}">
              <a16:creationId xmlns:a16="http://schemas.microsoft.com/office/drawing/2014/main" id="{0D35D321-15EC-47A6-B6DF-E793F7B51CCE}"/>
            </a:ext>
          </a:extLst>
        </xdr:cNvPr>
        <xdr:cNvSpPr/>
      </xdr:nvSpPr>
      <xdr:spPr>
        <a:xfrm>
          <a:off x="353848296"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294</xdr:col>
      <xdr:colOff>1163908</xdr:colOff>
      <xdr:row>1</xdr:row>
      <xdr:rowOff>59690</xdr:rowOff>
    </xdr:from>
    <xdr:to>
      <xdr:col>295</xdr:col>
      <xdr:colOff>1089910</xdr:colOff>
      <xdr:row>1</xdr:row>
      <xdr:rowOff>553466</xdr:rowOff>
    </xdr:to>
    <xdr:sp macro="" textlink="">
      <xdr:nvSpPr>
        <xdr:cNvPr id="950" name="B IHSS SERV PAGE">
          <a:hlinkClick xmlns:r="http://schemas.openxmlformats.org/officeDocument/2006/relationships" r:id="rId13" tooltip="IHSS Services Page (Current)"/>
          <a:extLst>
            <a:ext uri="{FF2B5EF4-FFF2-40B4-BE49-F238E27FC236}">
              <a16:creationId xmlns:a16="http://schemas.microsoft.com/office/drawing/2014/main" id="{95D4E685-9A68-4B4B-8B12-958338E1F48B}"/>
            </a:ext>
          </a:extLst>
        </xdr:cNvPr>
        <xdr:cNvSpPr/>
      </xdr:nvSpPr>
      <xdr:spPr>
        <a:xfrm>
          <a:off x="357277412"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309</xdr:col>
      <xdr:colOff>555829</xdr:colOff>
      <xdr:row>1</xdr:row>
      <xdr:rowOff>59690</xdr:rowOff>
    </xdr:from>
    <xdr:to>
      <xdr:col>310</xdr:col>
      <xdr:colOff>406477</xdr:colOff>
      <xdr:row>1</xdr:row>
      <xdr:rowOff>553466</xdr:rowOff>
    </xdr:to>
    <xdr:sp macro="" textlink="">
      <xdr:nvSpPr>
        <xdr:cNvPr id="951" name="B AGE PAGE">
          <a:hlinkClick xmlns:r="http://schemas.openxmlformats.org/officeDocument/2006/relationships" r:id="rId2" tooltip="Age &amp; Gender Page (Current)"/>
          <a:extLst>
            <a:ext uri="{FF2B5EF4-FFF2-40B4-BE49-F238E27FC236}">
              <a16:creationId xmlns:a16="http://schemas.microsoft.com/office/drawing/2014/main" id="{6545D61C-A92D-4D8F-B1F2-600336C70466}"/>
            </a:ext>
          </a:extLst>
        </xdr:cNvPr>
        <xdr:cNvSpPr/>
      </xdr:nvSpPr>
      <xdr:spPr>
        <a:xfrm>
          <a:off x="374744819"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303</xdr:col>
      <xdr:colOff>898497</xdr:colOff>
      <xdr:row>1</xdr:row>
      <xdr:rowOff>59690</xdr:rowOff>
    </xdr:from>
    <xdr:to>
      <xdr:col>304</xdr:col>
      <xdr:colOff>787245</xdr:colOff>
      <xdr:row>1</xdr:row>
      <xdr:rowOff>553466</xdr:rowOff>
    </xdr:to>
    <xdr:sp macro="" textlink="">
      <xdr:nvSpPr>
        <xdr:cNvPr id="952" name="B HOME PAGE">
          <a:hlinkClick xmlns:r="http://schemas.openxmlformats.org/officeDocument/2006/relationships" r:id="rId3" tooltip="Back to Dashboard Page"/>
          <a:extLst>
            <a:ext uri="{FF2B5EF4-FFF2-40B4-BE49-F238E27FC236}">
              <a16:creationId xmlns:a16="http://schemas.microsoft.com/office/drawing/2014/main" id="{59AD1694-FD48-4FC3-9CB8-186B06585C8D}"/>
            </a:ext>
          </a:extLst>
        </xdr:cNvPr>
        <xdr:cNvSpPr/>
      </xdr:nvSpPr>
      <xdr:spPr>
        <a:xfrm>
          <a:off x="367848487"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304</xdr:col>
      <xdr:colOff>822759</xdr:colOff>
      <xdr:row>1</xdr:row>
      <xdr:rowOff>59690</xdr:rowOff>
    </xdr:from>
    <xdr:to>
      <xdr:col>305</xdr:col>
      <xdr:colOff>711507</xdr:colOff>
      <xdr:row>1</xdr:row>
      <xdr:rowOff>553466</xdr:rowOff>
    </xdr:to>
    <xdr:sp macro="" textlink="">
      <xdr:nvSpPr>
        <xdr:cNvPr id="953" name="B GEN DATA PAGE">
          <a:hlinkClick xmlns:r="http://schemas.openxmlformats.org/officeDocument/2006/relationships" r:id="rId4" tooltip="Back to General Data Page"/>
          <a:extLst>
            <a:ext uri="{FF2B5EF4-FFF2-40B4-BE49-F238E27FC236}">
              <a16:creationId xmlns:a16="http://schemas.microsoft.com/office/drawing/2014/main" id="{F0DD63AB-70C2-4BD9-A33A-A831DF09BCF8}"/>
            </a:ext>
          </a:extLst>
        </xdr:cNvPr>
        <xdr:cNvSpPr/>
      </xdr:nvSpPr>
      <xdr:spPr>
        <a:xfrm>
          <a:off x="368989409"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306</xdr:col>
      <xdr:colOff>706842</xdr:colOff>
      <xdr:row>1</xdr:row>
      <xdr:rowOff>59690</xdr:rowOff>
    </xdr:from>
    <xdr:to>
      <xdr:col>307</xdr:col>
      <xdr:colOff>594321</xdr:colOff>
      <xdr:row>1</xdr:row>
      <xdr:rowOff>553466</xdr:rowOff>
    </xdr:to>
    <xdr:sp macro="" textlink="">
      <xdr:nvSpPr>
        <xdr:cNvPr id="954" name="B ABD PAGE">
          <a:hlinkClick xmlns:r="http://schemas.openxmlformats.org/officeDocument/2006/relationships" r:id="rId5" tooltip="Aged, Blind, or Disabled Page (Current)"/>
          <a:extLst>
            <a:ext uri="{FF2B5EF4-FFF2-40B4-BE49-F238E27FC236}">
              <a16:creationId xmlns:a16="http://schemas.microsoft.com/office/drawing/2014/main" id="{42AEBBB2-380A-4AEE-8DE6-53F1218F9C97}"/>
            </a:ext>
          </a:extLst>
        </xdr:cNvPr>
        <xdr:cNvSpPr/>
      </xdr:nvSpPr>
      <xdr:spPr>
        <a:xfrm>
          <a:off x="371272522"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302</xdr:col>
      <xdr:colOff>974235</xdr:colOff>
      <xdr:row>1</xdr:row>
      <xdr:rowOff>59690</xdr:rowOff>
    </xdr:from>
    <xdr:to>
      <xdr:col>303</xdr:col>
      <xdr:colOff>824883</xdr:colOff>
      <xdr:row>1</xdr:row>
      <xdr:rowOff>553466</xdr:rowOff>
    </xdr:to>
    <xdr:sp macro="" textlink="">
      <xdr:nvSpPr>
        <xdr:cNvPr id="955" name="B GEN DATA PAGE">
          <a:hlinkClick xmlns:r="http://schemas.openxmlformats.org/officeDocument/2006/relationships" r:id="rId6" tooltip="Back to Navigation Page"/>
          <a:extLst>
            <a:ext uri="{FF2B5EF4-FFF2-40B4-BE49-F238E27FC236}">
              <a16:creationId xmlns:a16="http://schemas.microsoft.com/office/drawing/2014/main" id="{CEFB4980-4224-4B59-A3EE-3EBAAD5C3F40}"/>
            </a:ext>
          </a:extLst>
        </xdr:cNvPr>
        <xdr:cNvSpPr/>
      </xdr:nvSpPr>
      <xdr:spPr>
        <a:xfrm>
          <a:off x="366702485"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313</xdr:col>
      <xdr:colOff>327086</xdr:colOff>
      <xdr:row>1</xdr:row>
      <xdr:rowOff>59690</xdr:rowOff>
    </xdr:from>
    <xdr:to>
      <xdr:col>314</xdr:col>
      <xdr:colOff>210209</xdr:colOff>
      <xdr:row>1</xdr:row>
      <xdr:rowOff>557276</xdr:rowOff>
    </xdr:to>
    <xdr:sp macro="" textlink="">
      <xdr:nvSpPr>
        <xdr:cNvPr id="956" name="B ALL DATA PAGE">
          <a:hlinkClick xmlns:r="http://schemas.openxmlformats.org/officeDocument/2006/relationships" r:id="rId7" tooltip="Back to All Data Page"/>
          <a:extLst>
            <a:ext uri="{FF2B5EF4-FFF2-40B4-BE49-F238E27FC236}">
              <a16:creationId xmlns:a16="http://schemas.microsoft.com/office/drawing/2014/main" id="{3BE41D58-7C43-4575-992E-FA5A5EB2F1BB}"/>
            </a:ext>
          </a:extLst>
        </xdr:cNvPr>
        <xdr:cNvSpPr/>
      </xdr:nvSpPr>
      <xdr:spPr>
        <a:xfrm>
          <a:off x="379320486"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312</xdr:col>
      <xdr:colOff>403242</xdr:colOff>
      <xdr:row>1</xdr:row>
      <xdr:rowOff>59690</xdr:rowOff>
    </xdr:from>
    <xdr:to>
      <xdr:col>313</xdr:col>
      <xdr:colOff>248387</xdr:colOff>
      <xdr:row>1</xdr:row>
      <xdr:rowOff>553466</xdr:rowOff>
    </xdr:to>
    <xdr:sp macro="" textlink="">
      <xdr:nvSpPr>
        <xdr:cNvPr id="957" name="B TERMS PAGE">
          <a:hlinkClick xmlns:r="http://schemas.openxmlformats.org/officeDocument/2006/relationships" r:id="rId8" tooltip="Back to Appendix &amp; Terms Page"/>
          <a:extLst>
            <a:ext uri="{FF2B5EF4-FFF2-40B4-BE49-F238E27FC236}">
              <a16:creationId xmlns:a16="http://schemas.microsoft.com/office/drawing/2014/main" id="{55F0CB95-F97A-4AE8-ADAB-4C7306268F5A}"/>
            </a:ext>
          </a:extLst>
        </xdr:cNvPr>
        <xdr:cNvSpPr/>
      </xdr:nvSpPr>
      <xdr:spPr>
        <a:xfrm>
          <a:off x="378187602"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311</xdr:col>
      <xdr:colOff>442453</xdr:colOff>
      <xdr:row>1</xdr:row>
      <xdr:rowOff>59690</xdr:rowOff>
    </xdr:from>
    <xdr:to>
      <xdr:col>312</xdr:col>
      <xdr:colOff>289835</xdr:colOff>
      <xdr:row>1</xdr:row>
      <xdr:rowOff>553466</xdr:rowOff>
    </xdr:to>
    <xdr:sp macro="" textlink="">
      <xdr:nvSpPr>
        <xdr:cNvPr id="958" name="B PROV DET PAGE">
          <a:hlinkClick xmlns:r="http://schemas.openxmlformats.org/officeDocument/2006/relationships" r:id="rId9" tooltip="Back to Provider Page"/>
          <a:extLst>
            <a:ext uri="{FF2B5EF4-FFF2-40B4-BE49-F238E27FC236}">
              <a16:creationId xmlns:a16="http://schemas.microsoft.com/office/drawing/2014/main" id="{1D7FD3B9-68D5-4D3D-88BD-3FEEA4D8B27D}"/>
            </a:ext>
          </a:extLst>
        </xdr:cNvPr>
        <xdr:cNvSpPr/>
      </xdr:nvSpPr>
      <xdr:spPr>
        <a:xfrm>
          <a:off x="377044443"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307</xdr:col>
      <xdr:colOff>673015</xdr:colOff>
      <xdr:row>1</xdr:row>
      <xdr:rowOff>59690</xdr:rowOff>
    </xdr:from>
    <xdr:to>
      <xdr:col>308</xdr:col>
      <xdr:colOff>518583</xdr:colOff>
      <xdr:row>1</xdr:row>
      <xdr:rowOff>553466</xdr:rowOff>
    </xdr:to>
    <xdr:sp macro="" textlink="">
      <xdr:nvSpPr>
        <xdr:cNvPr id="959" name="B IHSS PROG PAGE">
          <a:hlinkClick xmlns:r="http://schemas.openxmlformats.org/officeDocument/2006/relationships" r:id="rId10" tooltip="Back to Program Equity Page"/>
          <a:extLst>
            <a:ext uri="{FF2B5EF4-FFF2-40B4-BE49-F238E27FC236}">
              <a16:creationId xmlns:a16="http://schemas.microsoft.com/office/drawing/2014/main" id="{A4625304-5FFA-4918-902E-29336AD2D911}"/>
            </a:ext>
          </a:extLst>
        </xdr:cNvPr>
        <xdr:cNvSpPr/>
      </xdr:nvSpPr>
      <xdr:spPr>
        <a:xfrm>
          <a:off x="372443925"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310</xdr:col>
      <xdr:colOff>482631</xdr:colOff>
      <xdr:row>1</xdr:row>
      <xdr:rowOff>59690</xdr:rowOff>
    </xdr:from>
    <xdr:to>
      <xdr:col>311</xdr:col>
      <xdr:colOff>365573</xdr:colOff>
      <xdr:row>1</xdr:row>
      <xdr:rowOff>553466</xdr:rowOff>
    </xdr:to>
    <xdr:sp macro="" textlink="">
      <xdr:nvSpPr>
        <xdr:cNvPr id="960" name="B ETHNICITY PAGE">
          <a:hlinkClick xmlns:r="http://schemas.openxmlformats.org/officeDocument/2006/relationships" r:id="rId11" tooltip="Back to Ethnicity &amp; Language Page"/>
          <a:extLst>
            <a:ext uri="{FF2B5EF4-FFF2-40B4-BE49-F238E27FC236}">
              <a16:creationId xmlns:a16="http://schemas.microsoft.com/office/drawing/2014/main" id="{1A2DA928-7F73-4E07-9565-D9A3D224BB73}"/>
            </a:ext>
          </a:extLst>
        </xdr:cNvPr>
        <xdr:cNvSpPr/>
      </xdr:nvSpPr>
      <xdr:spPr>
        <a:xfrm>
          <a:off x="375871771"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305</xdr:col>
      <xdr:colOff>782581</xdr:colOff>
      <xdr:row>1</xdr:row>
      <xdr:rowOff>59690</xdr:rowOff>
    </xdr:from>
    <xdr:to>
      <xdr:col>306</xdr:col>
      <xdr:colOff>668788</xdr:colOff>
      <xdr:row>1</xdr:row>
      <xdr:rowOff>553466</xdr:rowOff>
    </xdr:to>
    <xdr:sp macro="" textlink="">
      <xdr:nvSpPr>
        <xdr:cNvPr id="961" name="B GEN DATA PAGE">
          <a:hlinkClick xmlns:r="http://schemas.openxmlformats.org/officeDocument/2006/relationships" r:id="rId12" tooltip="IHSS Applicants Page (Current)"/>
          <a:extLst>
            <a:ext uri="{FF2B5EF4-FFF2-40B4-BE49-F238E27FC236}">
              <a16:creationId xmlns:a16="http://schemas.microsoft.com/office/drawing/2014/main" id="{DB006A19-F351-4789-B970-37B28AC28954}"/>
            </a:ext>
          </a:extLst>
        </xdr:cNvPr>
        <xdr:cNvSpPr/>
      </xdr:nvSpPr>
      <xdr:spPr>
        <a:xfrm>
          <a:off x="370145571"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308</xdr:col>
      <xdr:colOff>592197</xdr:colOff>
      <xdr:row>1</xdr:row>
      <xdr:rowOff>59690</xdr:rowOff>
    </xdr:from>
    <xdr:to>
      <xdr:col>309</xdr:col>
      <xdr:colOff>482215</xdr:colOff>
      <xdr:row>1</xdr:row>
      <xdr:rowOff>553466</xdr:rowOff>
    </xdr:to>
    <xdr:sp macro="" textlink="">
      <xdr:nvSpPr>
        <xdr:cNvPr id="962" name="B IHSS SERV PAGE">
          <a:hlinkClick xmlns:r="http://schemas.openxmlformats.org/officeDocument/2006/relationships" r:id="rId13" tooltip="IHSS Services Page (Current)"/>
          <a:extLst>
            <a:ext uri="{FF2B5EF4-FFF2-40B4-BE49-F238E27FC236}">
              <a16:creationId xmlns:a16="http://schemas.microsoft.com/office/drawing/2014/main" id="{926E3E3A-9F27-4DC6-ACFF-8EAAA8F705E0}"/>
            </a:ext>
          </a:extLst>
        </xdr:cNvPr>
        <xdr:cNvSpPr/>
      </xdr:nvSpPr>
      <xdr:spPr>
        <a:xfrm>
          <a:off x="373574687"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309</xdr:col>
      <xdr:colOff>555194</xdr:colOff>
      <xdr:row>1</xdr:row>
      <xdr:rowOff>59690</xdr:rowOff>
    </xdr:from>
    <xdr:to>
      <xdr:col>310</xdr:col>
      <xdr:colOff>403302</xdr:colOff>
      <xdr:row>1</xdr:row>
      <xdr:rowOff>553466</xdr:rowOff>
    </xdr:to>
    <xdr:sp macro="" textlink="">
      <xdr:nvSpPr>
        <xdr:cNvPr id="963" name="B AGE PAGE">
          <a:hlinkClick xmlns:r="http://schemas.openxmlformats.org/officeDocument/2006/relationships" r:id="rId2" tooltip="Age &amp; Gender Page (Current)"/>
          <a:extLst>
            <a:ext uri="{FF2B5EF4-FFF2-40B4-BE49-F238E27FC236}">
              <a16:creationId xmlns:a16="http://schemas.microsoft.com/office/drawing/2014/main" id="{29F550B5-3558-4964-8A11-69C934BCAFFB}"/>
            </a:ext>
          </a:extLst>
        </xdr:cNvPr>
        <xdr:cNvSpPr/>
      </xdr:nvSpPr>
      <xdr:spPr>
        <a:xfrm>
          <a:off x="374728944"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303</xdr:col>
      <xdr:colOff>897862</xdr:colOff>
      <xdr:row>1</xdr:row>
      <xdr:rowOff>59690</xdr:rowOff>
    </xdr:from>
    <xdr:to>
      <xdr:col>304</xdr:col>
      <xdr:colOff>761210</xdr:colOff>
      <xdr:row>1</xdr:row>
      <xdr:rowOff>553466</xdr:rowOff>
    </xdr:to>
    <xdr:sp macro="" textlink="">
      <xdr:nvSpPr>
        <xdr:cNvPr id="964" name="B HOME PAGE">
          <a:hlinkClick xmlns:r="http://schemas.openxmlformats.org/officeDocument/2006/relationships" r:id="rId3" tooltip="Back to Dashboard Page"/>
          <a:extLst>
            <a:ext uri="{FF2B5EF4-FFF2-40B4-BE49-F238E27FC236}">
              <a16:creationId xmlns:a16="http://schemas.microsoft.com/office/drawing/2014/main" id="{5062A96A-0C53-48FC-9D31-45F050ACF585}"/>
            </a:ext>
          </a:extLst>
        </xdr:cNvPr>
        <xdr:cNvSpPr/>
      </xdr:nvSpPr>
      <xdr:spPr>
        <a:xfrm>
          <a:off x="367832612"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304</xdr:col>
      <xdr:colOff>823394</xdr:colOff>
      <xdr:row>1</xdr:row>
      <xdr:rowOff>59690</xdr:rowOff>
    </xdr:from>
    <xdr:to>
      <xdr:col>305</xdr:col>
      <xdr:colOff>708332</xdr:colOff>
      <xdr:row>1</xdr:row>
      <xdr:rowOff>553466</xdr:rowOff>
    </xdr:to>
    <xdr:sp macro="" textlink="">
      <xdr:nvSpPr>
        <xdr:cNvPr id="965" name="B GEN DATA PAGE">
          <a:hlinkClick xmlns:r="http://schemas.openxmlformats.org/officeDocument/2006/relationships" r:id="rId4" tooltip="Back to General Data Page"/>
          <a:extLst>
            <a:ext uri="{FF2B5EF4-FFF2-40B4-BE49-F238E27FC236}">
              <a16:creationId xmlns:a16="http://schemas.microsoft.com/office/drawing/2014/main" id="{4833FE01-B019-4DC1-9DD8-23712FE57526}"/>
            </a:ext>
          </a:extLst>
        </xdr:cNvPr>
        <xdr:cNvSpPr/>
      </xdr:nvSpPr>
      <xdr:spPr>
        <a:xfrm>
          <a:off x="368973534"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306</xdr:col>
      <xdr:colOff>708747</xdr:colOff>
      <xdr:row>1</xdr:row>
      <xdr:rowOff>59690</xdr:rowOff>
    </xdr:from>
    <xdr:to>
      <xdr:col>307</xdr:col>
      <xdr:colOff>593686</xdr:colOff>
      <xdr:row>1</xdr:row>
      <xdr:rowOff>553466</xdr:rowOff>
    </xdr:to>
    <xdr:sp macro="" textlink="">
      <xdr:nvSpPr>
        <xdr:cNvPr id="966" name="B ABD PAGE">
          <a:hlinkClick xmlns:r="http://schemas.openxmlformats.org/officeDocument/2006/relationships" r:id="rId5" tooltip="Aged, Blind, or Disabled Page (Current)"/>
          <a:extLst>
            <a:ext uri="{FF2B5EF4-FFF2-40B4-BE49-F238E27FC236}">
              <a16:creationId xmlns:a16="http://schemas.microsoft.com/office/drawing/2014/main" id="{0E9A41CB-3774-45C7-9091-727BDBB5BDDF}"/>
            </a:ext>
          </a:extLst>
        </xdr:cNvPr>
        <xdr:cNvSpPr/>
      </xdr:nvSpPr>
      <xdr:spPr>
        <a:xfrm>
          <a:off x="371256647"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302</xdr:col>
      <xdr:colOff>935500</xdr:colOff>
      <xdr:row>1</xdr:row>
      <xdr:rowOff>59690</xdr:rowOff>
    </xdr:from>
    <xdr:to>
      <xdr:col>303</xdr:col>
      <xdr:colOff>822978</xdr:colOff>
      <xdr:row>1</xdr:row>
      <xdr:rowOff>553466</xdr:rowOff>
    </xdr:to>
    <xdr:sp macro="" textlink="">
      <xdr:nvSpPr>
        <xdr:cNvPr id="967" name="B GEN DATA PAGE">
          <a:hlinkClick xmlns:r="http://schemas.openxmlformats.org/officeDocument/2006/relationships" r:id="rId6" tooltip="Back to Navigation Page"/>
          <a:extLst>
            <a:ext uri="{FF2B5EF4-FFF2-40B4-BE49-F238E27FC236}">
              <a16:creationId xmlns:a16="http://schemas.microsoft.com/office/drawing/2014/main" id="{A3D0199A-4871-4266-AAE1-1DEF46546E2E}"/>
            </a:ext>
          </a:extLst>
        </xdr:cNvPr>
        <xdr:cNvSpPr/>
      </xdr:nvSpPr>
      <xdr:spPr>
        <a:xfrm>
          <a:off x="366686610"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313</xdr:col>
      <xdr:colOff>289621</xdr:colOff>
      <xdr:row>1</xdr:row>
      <xdr:rowOff>59690</xdr:rowOff>
    </xdr:from>
    <xdr:to>
      <xdr:col>314</xdr:col>
      <xdr:colOff>172744</xdr:colOff>
      <xdr:row>1</xdr:row>
      <xdr:rowOff>557276</xdr:rowOff>
    </xdr:to>
    <xdr:sp macro="" textlink="">
      <xdr:nvSpPr>
        <xdr:cNvPr id="968" name="B ALL DATA PAGE">
          <a:hlinkClick xmlns:r="http://schemas.openxmlformats.org/officeDocument/2006/relationships" r:id="rId7" tooltip="Back to All Data Page"/>
          <a:extLst>
            <a:ext uri="{FF2B5EF4-FFF2-40B4-BE49-F238E27FC236}">
              <a16:creationId xmlns:a16="http://schemas.microsoft.com/office/drawing/2014/main" id="{DDAA8673-C675-43D1-B033-7E7D35A9EFB8}"/>
            </a:ext>
          </a:extLst>
        </xdr:cNvPr>
        <xdr:cNvSpPr/>
      </xdr:nvSpPr>
      <xdr:spPr>
        <a:xfrm>
          <a:off x="379304611"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312</xdr:col>
      <xdr:colOff>368317</xdr:colOff>
      <xdr:row>1</xdr:row>
      <xdr:rowOff>59690</xdr:rowOff>
    </xdr:from>
    <xdr:to>
      <xdr:col>313</xdr:col>
      <xdr:colOff>216002</xdr:colOff>
      <xdr:row>1</xdr:row>
      <xdr:rowOff>553466</xdr:rowOff>
    </xdr:to>
    <xdr:sp macro="" textlink="">
      <xdr:nvSpPr>
        <xdr:cNvPr id="969" name="B TERMS PAGE">
          <a:hlinkClick xmlns:r="http://schemas.openxmlformats.org/officeDocument/2006/relationships" r:id="rId8" tooltip="Back to Appendix &amp; Terms Page"/>
          <a:extLst>
            <a:ext uri="{FF2B5EF4-FFF2-40B4-BE49-F238E27FC236}">
              <a16:creationId xmlns:a16="http://schemas.microsoft.com/office/drawing/2014/main" id="{B8CB0AD1-5D02-486F-8989-9A04F51B801F}"/>
            </a:ext>
          </a:extLst>
        </xdr:cNvPr>
        <xdr:cNvSpPr/>
      </xdr:nvSpPr>
      <xdr:spPr>
        <a:xfrm>
          <a:off x="378171727"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311</xdr:col>
      <xdr:colOff>441818</xdr:colOff>
      <xdr:row>1</xdr:row>
      <xdr:rowOff>59690</xdr:rowOff>
    </xdr:from>
    <xdr:to>
      <xdr:col>312</xdr:col>
      <xdr:colOff>287930</xdr:colOff>
      <xdr:row>1</xdr:row>
      <xdr:rowOff>553466</xdr:rowOff>
    </xdr:to>
    <xdr:sp macro="" textlink="">
      <xdr:nvSpPr>
        <xdr:cNvPr id="970" name="B PROV DET PAGE">
          <a:hlinkClick xmlns:r="http://schemas.openxmlformats.org/officeDocument/2006/relationships" r:id="rId9" tooltip="Back to Provider Page"/>
          <a:extLst>
            <a:ext uri="{FF2B5EF4-FFF2-40B4-BE49-F238E27FC236}">
              <a16:creationId xmlns:a16="http://schemas.microsoft.com/office/drawing/2014/main" id="{13FFE5C8-39A1-4C69-B30F-8D1E6D3BD976}"/>
            </a:ext>
          </a:extLst>
        </xdr:cNvPr>
        <xdr:cNvSpPr/>
      </xdr:nvSpPr>
      <xdr:spPr>
        <a:xfrm>
          <a:off x="377028568"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307</xdr:col>
      <xdr:colOff>671110</xdr:colOff>
      <xdr:row>1</xdr:row>
      <xdr:rowOff>59690</xdr:rowOff>
    </xdr:from>
    <xdr:to>
      <xdr:col>308</xdr:col>
      <xdr:colOff>516678</xdr:colOff>
      <xdr:row>1</xdr:row>
      <xdr:rowOff>553466</xdr:rowOff>
    </xdr:to>
    <xdr:sp macro="" textlink="">
      <xdr:nvSpPr>
        <xdr:cNvPr id="971" name="B IHSS PROG PAGE">
          <a:hlinkClick xmlns:r="http://schemas.openxmlformats.org/officeDocument/2006/relationships" r:id="rId10" tooltip="Back to Program Equity Page"/>
          <a:extLst>
            <a:ext uri="{FF2B5EF4-FFF2-40B4-BE49-F238E27FC236}">
              <a16:creationId xmlns:a16="http://schemas.microsoft.com/office/drawing/2014/main" id="{9CAA1790-B6CB-4F24-9003-18DD3B14C852}"/>
            </a:ext>
          </a:extLst>
        </xdr:cNvPr>
        <xdr:cNvSpPr/>
      </xdr:nvSpPr>
      <xdr:spPr>
        <a:xfrm>
          <a:off x="372428050"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310</xdr:col>
      <xdr:colOff>479456</xdr:colOff>
      <xdr:row>1</xdr:row>
      <xdr:rowOff>59690</xdr:rowOff>
    </xdr:from>
    <xdr:to>
      <xdr:col>311</xdr:col>
      <xdr:colOff>326838</xdr:colOff>
      <xdr:row>1</xdr:row>
      <xdr:rowOff>553466</xdr:rowOff>
    </xdr:to>
    <xdr:sp macro="" textlink="">
      <xdr:nvSpPr>
        <xdr:cNvPr id="972" name="B ETHNICITY PAGE">
          <a:hlinkClick xmlns:r="http://schemas.openxmlformats.org/officeDocument/2006/relationships" r:id="rId11" tooltip="Back to Ethnicity &amp; Language Page"/>
          <a:extLst>
            <a:ext uri="{FF2B5EF4-FFF2-40B4-BE49-F238E27FC236}">
              <a16:creationId xmlns:a16="http://schemas.microsoft.com/office/drawing/2014/main" id="{7C62C652-C819-4020-A62D-A6C9449B4DB5}"/>
            </a:ext>
          </a:extLst>
        </xdr:cNvPr>
        <xdr:cNvSpPr/>
      </xdr:nvSpPr>
      <xdr:spPr>
        <a:xfrm>
          <a:off x="375855896"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305</xdr:col>
      <xdr:colOff>784486</xdr:colOff>
      <xdr:row>1</xdr:row>
      <xdr:rowOff>59690</xdr:rowOff>
    </xdr:from>
    <xdr:to>
      <xdr:col>306</xdr:col>
      <xdr:colOff>633863</xdr:colOff>
      <xdr:row>1</xdr:row>
      <xdr:rowOff>553466</xdr:rowOff>
    </xdr:to>
    <xdr:sp macro="" textlink="">
      <xdr:nvSpPr>
        <xdr:cNvPr id="973" name="B GEN DATA PAGE">
          <a:hlinkClick xmlns:r="http://schemas.openxmlformats.org/officeDocument/2006/relationships" r:id="rId12" tooltip="IHSS Applicants Page (Current)"/>
          <a:extLst>
            <a:ext uri="{FF2B5EF4-FFF2-40B4-BE49-F238E27FC236}">
              <a16:creationId xmlns:a16="http://schemas.microsoft.com/office/drawing/2014/main" id="{0B2FD6C5-C4D6-493C-B9DB-7A0B6D67FED2}"/>
            </a:ext>
          </a:extLst>
        </xdr:cNvPr>
        <xdr:cNvSpPr/>
      </xdr:nvSpPr>
      <xdr:spPr>
        <a:xfrm>
          <a:off x="370129696"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308</xdr:col>
      <xdr:colOff>594102</xdr:colOff>
      <xdr:row>1</xdr:row>
      <xdr:rowOff>59690</xdr:rowOff>
    </xdr:from>
    <xdr:to>
      <xdr:col>309</xdr:col>
      <xdr:colOff>480310</xdr:colOff>
      <xdr:row>1</xdr:row>
      <xdr:rowOff>553466</xdr:rowOff>
    </xdr:to>
    <xdr:sp macro="" textlink="">
      <xdr:nvSpPr>
        <xdr:cNvPr id="974" name="B IHSS SERV PAGE">
          <a:hlinkClick xmlns:r="http://schemas.openxmlformats.org/officeDocument/2006/relationships" r:id="rId13" tooltip="IHSS Services Page (Current)"/>
          <a:extLst>
            <a:ext uri="{FF2B5EF4-FFF2-40B4-BE49-F238E27FC236}">
              <a16:creationId xmlns:a16="http://schemas.microsoft.com/office/drawing/2014/main" id="{72DF654F-419F-44B0-AA61-5D06FC9D07CE}"/>
            </a:ext>
          </a:extLst>
        </xdr:cNvPr>
        <xdr:cNvSpPr/>
      </xdr:nvSpPr>
      <xdr:spPr>
        <a:xfrm>
          <a:off x="373558812"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324</xdr:col>
      <xdr:colOff>595199</xdr:colOff>
      <xdr:row>1</xdr:row>
      <xdr:rowOff>59690</xdr:rowOff>
    </xdr:from>
    <xdr:to>
      <xdr:col>325</xdr:col>
      <xdr:colOff>785784</xdr:colOff>
      <xdr:row>1</xdr:row>
      <xdr:rowOff>553466</xdr:rowOff>
    </xdr:to>
    <xdr:sp macro="" textlink="">
      <xdr:nvSpPr>
        <xdr:cNvPr id="975" name="B AGE PAGE">
          <a:hlinkClick xmlns:r="http://schemas.openxmlformats.org/officeDocument/2006/relationships" r:id="rId2" tooltip="Age &amp; Gender Page (Current)"/>
          <a:extLst>
            <a:ext uri="{FF2B5EF4-FFF2-40B4-BE49-F238E27FC236}">
              <a16:creationId xmlns:a16="http://schemas.microsoft.com/office/drawing/2014/main" id="{B57D0ED5-AC7F-4EFB-AAF1-CD9C49C05001}"/>
            </a:ext>
          </a:extLst>
        </xdr:cNvPr>
        <xdr:cNvSpPr/>
      </xdr:nvSpPr>
      <xdr:spPr>
        <a:xfrm>
          <a:off x="391529986"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317</xdr:col>
      <xdr:colOff>786314</xdr:colOff>
      <xdr:row>1</xdr:row>
      <xdr:rowOff>59690</xdr:rowOff>
    </xdr:from>
    <xdr:to>
      <xdr:col>318</xdr:col>
      <xdr:colOff>668712</xdr:colOff>
      <xdr:row>1</xdr:row>
      <xdr:rowOff>553466</xdr:rowOff>
    </xdr:to>
    <xdr:sp macro="" textlink="">
      <xdr:nvSpPr>
        <xdr:cNvPr id="976" name="B HOME PAGE">
          <a:hlinkClick xmlns:r="http://schemas.openxmlformats.org/officeDocument/2006/relationships" r:id="rId3" tooltip="Back to Dashboard Page"/>
          <a:extLst>
            <a:ext uri="{FF2B5EF4-FFF2-40B4-BE49-F238E27FC236}">
              <a16:creationId xmlns:a16="http://schemas.microsoft.com/office/drawing/2014/main" id="{7EC2F044-9BD1-4190-A32B-77E53AEFC6C0}"/>
            </a:ext>
          </a:extLst>
        </xdr:cNvPr>
        <xdr:cNvSpPr/>
      </xdr:nvSpPr>
      <xdr:spPr>
        <a:xfrm>
          <a:off x="384633654"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318</xdr:col>
      <xdr:colOff>746136</xdr:colOff>
      <xdr:row>1</xdr:row>
      <xdr:rowOff>59690</xdr:rowOff>
    </xdr:from>
    <xdr:to>
      <xdr:col>319</xdr:col>
      <xdr:colOff>595514</xdr:colOff>
      <xdr:row>1</xdr:row>
      <xdr:rowOff>553466</xdr:rowOff>
    </xdr:to>
    <xdr:sp macro="" textlink="">
      <xdr:nvSpPr>
        <xdr:cNvPr id="977" name="B GEN DATA PAGE">
          <a:hlinkClick xmlns:r="http://schemas.openxmlformats.org/officeDocument/2006/relationships" r:id="rId4" tooltip="Back to General Data Page"/>
          <a:extLst>
            <a:ext uri="{FF2B5EF4-FFF2-40B4-BE49-F238E27FC236}">
              <a16:creationId xmlns:a16="http://schemas.microsoft.com/office/drawing/2014/main" id="{9808F930-1F72-410B-891E-9A21794438AE}"/>
            </a:ext>
          </a:extLst>
        </xdr:cNvPr>
        <xdr:cNvSpPr/>
      </xdr:nvSpPr>
      <xdr:spPr>
        <a:xfrm>
          <a:off x="385774576"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320</xdr:col>
      <xdr:colOff>594235</xdr:colOff>
      <xdr:row>1</xdr:row>
      <xdr:rowOff>59690</xdr:rowOff>
    </xdr:from>
    <xdr:to>
      <xdr:col>321</xdr:col>
      <xdr:colOff>820381</xdr:colOff>
      <xdr:row>1</xdr:row>
      <xdr:rowOff>553466</xdr:rowOff>
    </xdr:to>
    <xdr:sp macro="" textlink="">
      <xdr:nvSpPr>
        <xdr:cNvPr id="978" name="B ABD PAGE">
          <a:hlinkClick xmlns:r="http://schemas.openxmlformats.org/officeDocument/2006/relationships" r:id="rId5" tooltip="Aged, Blind, or Disabled Page (Current)"/>
          <a:extLst>
            <a:ext uri="{FF2B5EF4-FFF2-40B4-BE49-F238E27FC236}">
              <a16:creationId xmlns:a16="http://schemas.microsoft.com/office/drawing/2014/main" id="{E170B129-EBBF-4C9D-A19B-37CC3EEF1482}"/>
            </a:ext>
          </a:extLst>
        </xdr:cNvPr>
        <xdr:cNvSpPr/>
      </xdr:nvSpPr>
      <xdr:spPr>
        <a:xfrm>
          <a:off x="388057689"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316</xdr:col>
      <xdr:colOff>863322</xdr:colOff>
      <xdr:row>1</xdr:row>
      <xdr:rowOff>59690</xdr:rowOff>
    </xdr:from>
    <xdr:to>
      <xdr:col>317</xdr:col>
      <xdr:colOff>711430</xdr:colOff>
      <xdr:row>1</xdr:row>
      <xdr:rowOff>553466</xdr:rowOff>
    </xdr:to>
    <xdr:sp macro="" textlink="">
      <xdr:nvSpPr>
        <xdr:cNvPr id="979" name="B GEN DATA PAGE">
          <a:hlinkClick xmlns:r="http://schemas.openxmlformats.org/officeDocument/2006/relationships" r:id="rId6" tooltip="Back to Navigation Page"/>
          <a:extLst>
            <a:ext uri="{FF2B5EF4-FFF2-40B4-BE49-F238E27FC236}">
              <a16:creationId xmlns:a16="http://schemas.microsoft.com/office/drawing/2014/main" id="{A62D0F82-8D0F-4824-A97A-707A1D8926FB}"/>
            </a:ext>
          </a:extLst>
        </xdr:cNvPr>
        <xdr:cNvSpPr/>
      </xdr:nvSpPr>
      <xdr:spPr>
        <a:xfrm>
          <a:off x="383487652"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330</xdr:col>
      <xdr:colOff>2389</xdr:colOff>
      <xdr:row>1</xdr:row>
      <xdr:rowOff>59690</xdr:rowOff>
    </xdr:from>
    <xdr:to>
      <xdr:col>331</xdr:col>
      <xdr:colOff>187349</xdr:colOff>
      <xdr:row>1</xdr:row>
      <xdr:rowOff>557276</xdr:rowOff>
    </xdr:to>
    <xdr:sp macro="" textlink="">
      <xdr:nvSpPr>
        <xdr:cNvPr id="980" name="B ALL DATA PAGE">
          <a:hlinkClick xmlns:r="http://schemas.openxmlformats.org/officeDocument/2006/relationships" r:id="rId7" tooltip="Back to All Data Page"/>
          <a:extLst>
            <a:ext uri="{FF2B5EF4-FFF2-40B4-BE49-F238E27FC236}">
              <a16:creationId xmlns:a16="http://schemas.microsoft.com/office/drawing/2014/main" id="{757FE7BD-7A95-4147-923B-5B47D0D5AB6B}"/>
            </a:ext>
          </a:extLst>
        </xdr:cNvPr>
        <xdr:cNvSpPr/>
      </xdr:nvSpPr>
      <xdr:spPr>
        <a:xfrm>
          <a:off x="396105653"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328</xdr:col>
      <xdr:colOff>569189</xdr:colOff>
      <xdr:row>1</xdr:row>
      <xdr:rowOff>59690</xdr:rowOff>
    </xdr:from>
    <xdr:to>
      <xdr:col>329</xdr:col>
      <xdr:colOff>759350</xdr:colOff>
      <xdr:row>1</xdr:row>
      <xdr:rowOff>553466</xdr:rowOff>
    </xdr:to>
    <xdr:sp macro="" textlink="">
      <xdr:nvSpPr>
        <xdr:cNvPr id="981" name="B TERMS PAGE">
          <a:hlinkClick xmlns:r="http://schemas.openxmlformats.org/officeDocument/2006/relationships" r:id="rId8" tooltip="Back to Appendix &amp; Terms Page"/>
          <a:extLst>
            <a:ext uri="{FF2B5EF4-FFF2-40B4-BE49-F238E27FC236}">
              <a16:creationId xmlns:a16="http://schemas.microsoft.com/office/drawing/2014/main" id="{C14059FD-6CFD-4CA0-901A-1A5CC0196C7B}"/>
            </a:ext>
          </a:extLst>
        </xdr:cNvPr>
        <xdr:cNvSpPr/>
      </xdr:nvSpPr>
      <xdr:spPr>
        <a:xfrm>
          <a:off x="394972769"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327</xdr:col>
      <xdr:colOff>290476</xdr:colOff>
      <xdr:row>1</xdr:row>
      <xdr:rowOff>59690</xdr:rowOff>
    </xdr:from>
    <xdr:to>
      <xdr:col>328</xdr:col>
      <xdr:colOff>492612</xdr:colOff>
      <xdr:row>1</xdr:row>
      <xdr:rowOff>553466</xdr:rowOff>
    </xdr:to>
    <xdr:sp macro="" textlink="">
      <xdr:nvSpPr>
        <xdr:cNvPr id="982" name="B PROV DET PAGE">
          <a:hlinkClick xmlns:r="http://schemas.openxmlformats.org/officeDocument/2006/relationships" r:id="rId9" tooltip="Back to Provider Page"/>
          <a:extLst>
            <a:ext uri="{FF2B5EF4-FFF2-40B4-BE49-F238E27FC236}">
              <a16:creationId xmlns:a16="http://schemas.microsoft.com/office/drawing/2014/main" id="{6843B35E-C941-4750-9A09-FB08014DCECB}"/>
            </a:ext>
          </a:extLst>
        </xdr:cNvPr>
        <xdr:cNvSpPr/>
      </xdr:nvSpPr>
      <xdr:spPr>
        <a:xfrm>
          <a:off x="393829610"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322</xdr:col>
      <xdr:colOff>22775</xdr:colOff>
      <xdr:row>1</xdr:row>
      <xdr:rowOff>59690</xdr:rowOff>
    </xdr:from>
    <xdr:to>
      <xdr:col>323</xdr:col>
      <xdr:colOff>226060</xdr:colOff>
      <xdr:row>1</xdr:row>
      <xdr:rowOff>553466</xdr:rowOff>
    </xdr:to>
    <xdr:sp macro="" textlink="">
      <xdr:nvSpPr>
        <xdr:cNvPr id="983" name="B IHSS PROG PAGE">
          <a:hlinkClick xmlns:r="http://schemas.openxmlformats.org/officeDocument/2006/relationships" r:id="rId10" tooltip="Back to Program Equity Page"/>
          <a:extLst>
            <a:ext uri="{FF2B5EF4-FFF2-40B4-BE49-F238E27FC236}">
              <a16:creationId xmlns:a16="http://schemas.microsoft.com/office/drawing/2014/main" id="{235EE0FA-7726-4DE0-8862-CB37BE966F62}"/>
            </a:ext>
          </a:extLst>
        </xdr:cNvPr>
        <xdr:cNvSpPr/>
      </xdr:nvSpPr>
      <xdr:spPr>
        <a:xfrm>
          <a:off x="389229092"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325</xdr:col>
      <xdr:colOff>840348</xdr:colOff>
      <xdr:row>1</xdr:row>
      <xdr:rowOff>59690</xdr:rowOff>
    </xdr:from>
    <xdr:to>
      <xdr:col>327</xdr:col>
      <xdr:colOff>213596</xdr:colOff>
      <xdr:row>1</xdr:row>
      <xdr:rowOff>553466</xdr:rowOff>
    </xdr:to>
    <xdr:sp macro="" textlink="">
      <xdr:nvSpPr>
        <xdr:cNvPr id="984" name="B ETHNICITY PAGE">
          <a:hlinkClick xmlns:r="http://schemas.openxmlformats.org/officeDocument/2006/relationships" r:id="rId11" tooltip="Back to Ethnicity &amp; Language Page"/>
          <a:extLst>
            <a:ext uri="{FF2B5EF4-FFF2-40B4-BE49-F238E27FC236}">
              <a16:creationId xmlns:a16="http://schemas.microsoft.com/office/drawing/2014/main" id="{03A46E9F-E1F9-4CEB-B719-C9F11D8F03DA}"/>
            </a:ext>
          </a:extLst>
        </xdr:cNvPr>
        <xdr:cNvSpPr/>
      </xdr:nvSpPr>
      <xdr:spPr>
        <a:xfrm>
          <a:off x="392656938"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319</xdr:col>
      <xdr:colOff>669128</xdr:colOff>
      <xdr:row>1</xdr:row>
      <xdr:rowOff>59690</xdr:rowOff>
    </xdr:from>
    <xdr:to>
      <xdr:col>320</xdr:col>
      <xdr:colOff>530781</xdr:colOff>
      <xdr:row>1</xdr:row>
      <xdr:rowOff>553466</xdr:rowOff>
    </xdr:to>
    <xdr:sp macro="" textlink="">
      <xdr:nvSpPr>
        <xdr:cNvPr id="985" name="B GEN DATA PAGE">
          <a:hlinkClick xmlns:r="http://schemas.openxmlformats.org/officeDocument/2006/relationships" r:id="rId12" tooltip="IHSS Applicants Page (Current)"/>
          <a:extLst>
            <a:ext uri="{FF2B5EF4-FFF2-40B4-BE49-F238E27FC236}">
              <a16:creationId xmlns:a16="http://schemas.microsoft.com/office/drawing/2014/main" id="{8EAD66E2-8EE4-4EA4-9A2C-E293EF1DBCD0}"/>
            </a:ext>
          </a:extLst>
        </xdr:cNvPr>
        <xdr:cNvSpPr/>
      </xdr:nvSpPr>
      <xdr:spPr>
        <a:xfrm>
          <a:off x="386930738"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323</xdr:col>
      <xdr:colOff>290784</xdr:colOff>
      <xdr:row>1</xdr:row>
      <xdr:rowOff>59690</xdr:rowOff>
    </xdr:from>
    <xdr:to>
      <xdr:col>324</xdr:col>
      <xdr:colOff>516505</xdr:colOff>
      <xdr:row>1</xdr:row>
      <xdr:rowOff>553466</xdr:rowOff>
    </xdr:to>
    <xdr:sp macro="" textlink="">
      <xdr:nvSpPr>
        <xdr:cNvPr id="986" name="B IHSS SERV PAGE">
          <a:hlinkClick xmlns:r="http://schemas.openxmlformats.org/officeDocument/2006/relationships" r:id="rId13" tooltip="IHSS Services Page (Current)"/>
          <a:extLst>
            <a:ext uri="{FF2B5EF4-FFF2-40B4-BE49-F238E27FC236}">
              <a16:creationId xmlns:a16="http://schemas.microsoft.com/office/drawing/2014/main" id="{84734CE8-6B4E-4451-A099-AF46842A5677}"/>
            </a:ext>
          </a:extLst>
        </xdr:cNvPr>
        <xdr:cNvSpPr/>
      </xdr:nvSpPr>
      <xdr:spPr>
        <a:xfrm>
          <a:off x="390359854"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324</xdr:col>
      <xdr:colOff>571704</xdr:colOff>
      <xdr:row>1</xdr:row>
      <xdr:rowOff>59690</xdr:rowOff>
    </xdr:from>
    <xdr:to>
      <xdr:col>325</xdr:col>
      <xdr:colOff>764829</xdr:colOff>
      <xdr:row>1</xdr:row>
      <xdr:rowOff>553466</xdr:rowOff>
    </xdr:to>
    <xdr:sp macro="" textlink="">
      <xdr:nvSpPr>
        <xdr:cNvPr id="987" name="B AGE PAGE">
          <a:hlinkClick xmlns:r="http://schemas.openxmlformats.org/officeDocument/2006/relationships" r:id="rId2" tooltip="Age &amp; Gender Page (Current)"/>
          <a:extLst>
            <a:ext uri="{FF2B5EF4-FFF2-40B4-BE49-F238E27FC236}">
              <a16:creationId xmlns:a16="http://schemas.microsoft.com/office/drawing/2014/main" id="{9F37D23C-4EC8-475A-8E53-0F79BFDBEE41}"/>
            </a:ext>
          </a:extLst>
        </xdr:cNvPr>
        <xdr:cNvSpPr/>
      </xdr:nvSpPr>
      <xdr:spPr>
        <a:xfrm>
          <a:off x="391514111"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317</xdr:col>
      <xdr:colOff>786949</xdr:colOff>
      <xdr:row>1</xdr:row>
      <xdr:rowOff>59690</xdr:rowOff>
    </xdr:from>
    <xdr:to>
      <xdr:col>318</xdr:col>
      <xdr:colOff>670617</xdr:colOff>
      <xdr:row>1</xdr:row>
      <xdr:rowOff>553466</xdr:rowOff>
    </xdr:to>
    <xdr:sp macro="" textlink="">
      <xdr:nvSpPr>
        <xdr:cNvPr id="988" name="B HOME PAGE">
          <a:hlinkClick xmlns:r="http://schemas.openxmlformats.org/officeDocument/2006/relationships" r:id="rId3" tooltip="Back to Dashboard Page"/>
          <a:extLst>
            <a:ext uri="{FF2B5EF4-FFF2-40B4-BE49-F238E27FC236}">
              <a16:creationId xmlns:a16="http://schemas.microsoft.com/office/drawing/2014/main" id="{45FD3B88-BD2B-4690-A386-24AEF83517F0}"/>
            </a:ext>
          </a:extLst>
        </xdr:cNvPr>
        <xdr:cNvSpPr/>
      </xdr:nvSpPr>
      <xdr:spPr>
        <a:xfrm>
          <a:off x="384617779"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318</xdr:col>
      <xdr:colOff>706131</xdr:colOff>
      <xdr:row>1</xdr:row>
      <xdr:rowOff>59690</xdr:rowOff>
    </xdr:from>
    <xdr:to>
      <xdr:col>319</xdr:col>
      <xdr:colOff>593609</xdr:colOff>
      <xdr:row>1</xdr:row>
      <xdr:rowOff>553466</xdr:rowOff>
    </xdr:to>
    <xdr:sp macro="" textlink="">
      <xdr:nvSpPr>
        <xdr:cNvPr id="989" name="B GEN DATA PAGE">
          <a:hlinkClick xmlns:r="http://schemas.openxmlformats.org/officeDocument/2006/relationships" r:id="rId4" tooltip="Back to General Data Page"/>
          <a:extLst>
            <a:ext uri="{FF2B5EF4-FFF2-40B4-BE49-F238E27FC236}">
              <a16:creationId xmlns:a16="http://schemas.microsoft.com/office/drawing/2014/main" id="{B6847E06-2382-432C-9F22-A70AC57E26B3}"/>
            </a:ext>
          </a:extLst>
        </xdr:cNvPr>
        <xdr:cNvSpPr/>
      </xdr:nvSpPr>
      <xdr:spPr>
        <a:xfrm>
          <a:off x="385758701"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320</xdr:col>
      <xdr:colOff>570740</xdr:colOff>
      <xdr:row>1</xdr:row>
      <xdr:rowOff>59690</xdr:rowOff>
    </xdr:from>
    <xdr:to>
      <xdr:col>321</xdr:col>
      <xdr:colOff>803236</xdr:colOff>
      <xdr:row>1</xdr:row>
      <xdr:rowOff>553466</xdr:rowOff>
    </xdr:to>
    <xdr:sp macro="" textlink="">
      <xdr:nvSpPr>
        <xdr:cNvPr id="990" name="B ABD PAGE">
          <a:hlinkClick xmlns:r="http://schemas.openxmlformats.org/officeDocument/2006/relationships" r:id="rId5" tooltip="Aged, Blind, or Disabled Page (Current)"/>
          <a:extLst>
            <a:ext uri="{FF2B5EF4-FFF2-40B4-BE49-F238E27FC236}">
              <a16:creationId xmlns:a16="http://schemas.microsoft.com/office/drawing/2014/main" id="{66E74CF4-7511-41E7-BB93-B9D165FD1E41}"/>
            </a:ext>
          </a:extLst>
        </xdr:cNvPr>
        <xdr:cNvSpPr/>
      </xdr:nvSpPr>
      <xdr:spPr>
        <a:xfrm>
          <a:off x="388041814"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316</xdr:col>
      <xdr:colOff>858877</xdr:colOff>
      <xdr:row>1</xdr:row>
      <xdr:rowOff>59690</xdr:rowOff>
    </xdr:from>
    <xdr:to>
      <xdr:col>317</xdr:col>
      <xdr:colOff>710795</xdr:colOff>
      <xdr:row>1</xdr:row>
      <xdr:rowOff>553466</xdr:rowOff>
    </xdr:to>
    <xdr:sp macro="" textlink="">
      <xdr:nvSpPr>
        <xdr:cNvPr id="991" name="B GEN DATA PAGE">
          <a:hlinkClick xmlns:r="http://schemas.openxmlformats.org/officeDocument/2006/relationships" r:id="rId6" tooltip="Back to Navigation Page"/>
          <a:extLst>
            <a:ext uri="{FF2B5EF4-FFF2-40B4-BE49-F238E27FC236}">
              <a16:creationId xmlns:a16="http://schemas.microsoft.com/office/drawing/2014/main" id="{E74D0279-BB69-4B11-A6A9-AAB073F6AD10}"/>
            </a:ext>
          </a:extLst>
        </xdr:cNvPr>
        <xdr:cNvSpPr/>
      </xdr:nvSpPr>
      <xdr:spPr>
        <a:xfrm>
          <a:off x="383471777"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329</xdr:col>
      <xdr:colOff>801854</xdr:colOff>
      <xdr:row>1</xdr:row>
      <xdr:rowOff>59690</xdr:rowOff>
    </xdr:from>
    <xdr:to>
      <xdr:col>331</xdr:col>
      <xdr:colOff>176554</xdr:colOff>
      <xdr:row>1</xdr:row>
      <xdr:rowOff>557276</xdr:rowOff>
    </xdr:to>
    <xdr:sp macro="" textlink="">
      <xdr:nvSpPr>
        <xdr:cNvPr id="992" name="B ALL DATA PAGE">
          <a:hlinkClick xmlns:r="http://schemas.openxmlformats.org/officeDocument/2006/relationships" r:id="rId7" tooltip="Back to All Data Page"/>
          <a:extLst>
            <a:ext uri="{FF2B5EF4-FFF2-40B4-BE49-F238E27FC236}">
              <a16:creationId xmlns:a16="http://schemas.microsoft.com/office/drawing/2014/main" id="{445C422A-3A35-42EE-85BA-36C6E79F8057}"/>
            </a:ext>
          </a:extLst>
        </xdr:cNvPr>
        <xdr:cNvSpPr/>
      </xdr:nvSpPr>
      <xdr:spPr>
        <a:xfrm>
          <a:off x="396089778"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328</xdr:col>
      <xdr:colOff>555854</xdr:colOff>
      <xdr:row>1</xdr:row>
      <xdr:rowOff>59690</xdr:rowOff>
    </xdr:from>
    <xdr:to>
      <xdr:col>329</xdr:col>
      <xdr:colOff>711725</xdr:colOff>
      <xdr:row>1</xdr:row>
      <xdr:rowOff>553466</xdr:rowOff>
    </xdr:to>
    <xdr:sp macro="" textlink="">
      <xdr:nvSpPr>
        <xdr:cNvPr id="993" name="B TERMS PAGE">
          <a:hlinkClick xmlns:r="http://schemas.openxmlformats.org/officeDocument/2006/relationships" r:id="rId8" tooltip="Back to Appendix &amp; Terms Page"/>
          <a:extLst>
            <a:ext uri="{FF2B5EF4-FFF2-40B4-BE49-F238E27FC236}">
              <a16:creationId xmlns:a16="http://schemas.microsoft.com/office/drawing/2014/main" id="{99E4C261-6A4A-430D-97D5-D7DB22207858}"/>
            </a:ext>
          </a:extLst>
        </xdr:cNvPr>
        <xdr:cNvSpPr/>
      </xdr:nvSpPr>
      <xdr:spPr>
        <a:xfrm>
          <a:off x="394956894"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327</xdr:col>
      <xdr:colOff>289841</xdr:colOff>
      <xdr:row>1</xdr:row>
      <xdr:rowOff>59690</xdr:rowOff>
    </xdr:from>
    <xdr:to>
      <xdr:col>328</xdr:col>
      <xdr:colOff>482240</xdr:colOff>
      <xdr:row>1</xdr:row>
      <xdr:rowOff>553466</xdr:rowOff>
    </xdr:to>
    <xdr:sp macro="" textlink="">
      <xdr:nvSpPr>
        <xdr:cNvPr id="994" name="B PROV DET PAGE">
          <a:hlinkClick xmlns:r="http://schemas.openxmlformats.org/officeDocument/2006/relationships" r:id="rId9" tooltip="Back to Provider Page"/>
          <a:extLst>
            <a:ext uri="{FF2B5EF4-FFF2-40B4-BE49-F238E27FC236}">
              <a16:creationId xmlns:a16="http://schemas.microsoft.com/office/drawing/2014/main" id="{4AA0D6FE-049E-4416-BF1D-A8DE5F507EA3}"/>
            </a:ext>
          </a:extLst>
        </xdr:cNvPr>
        <xdr:cNvSpPr/>
      </xdr:nvSpPr>
      <xdr:spPr>
        <a:xfrm>
          <a:off x="393813735"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322</xdr:col>
      <xdr:colOff>20870</xdr:colOff>
      <xdr:row>1</xdr:row>
      <xdr:rowOff>59690</xdr:rowOff>
    </xdr:from>
    <xdr:to>
      <xdr:col>323</xdr:col>
      <xdr:colOff>211455</xdr:colOff>
      <xdr:row>1</xdr:row>
      <xdr:rowOff>553466</xdr:rowOff>
    </xdr:to>
    <xdr:sp macro="" textlink="">
      <xdr:nvSpPr>
        <xdr:cNvPr id="995" name="B IHSS PROG PAGE">
          <a:hlinkClick xmlns:r="http://schemas.openxmlformats.org/officeDocument/2006/relationships" r:id="rId10" tooltip="Back to Program Equity Page"/>
          <a:extLst>
            <a:ext uri="{FF2B5EF4-FFF2-40B4-BE49-F238E27FC236}">
              <a16:creationId xmlns:a16="http://schemas.microsoft.com/office/drawing/2014/main" id="{AB84DA1D-FD08-4EAB-B9F1-704CF2E0DA51}"/>
            </a:ext>
          </a:extLst>
        </xdr:cNvPr>
        <xdr:cNvSpPr/>
      </xdr:nvSpPr>
      <xdr:spPr>
        <a:xfrm>
          <a:off x="389213217"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325</xdr:col>
      <xdr:colOff>839713</xdr:colOff>
      <xdr:row>1</xdr:row>
      <xdr:rowOff>59690</xdr:rowOff>
    </xdr:from>
    <xdr:to>
      <xdr:col>327</xdr:col>
      <xdr:colOff>177401</xdr:colOff>
      <xdr:row>1</xdr:row>
      <xdr:rowOff>553466</xdr:rowOff>
    </xdr:to>
    <xdr:sp macro="" textlink="">
      <xdr:nvSpPr>
        <xdr:cNvPr id="996" name="B ETHNICITY PAGE">
          <a:hlinkClick xmlns:r="http://schemas.openxmlformats.org/officeDocument/2006/relationships" r:id="rId11" tooltip="Back to Ethnicity &amp; Language Page"/>
          <a:extLst>
            <a:ext uri="{FF2B5EF4-FFF2-40B4-BE49-F238E27FC236}">
              <a16:creationId xmlns:a16="http://schemas.microsoft.com/office/drawing/2014/main" id="{9B579B78-7604-48A7-8727-F5127FCBECA3}"/>
            </a:ext>
          </a:extLst>
        </xdr:cNvPr>
        <xdr:cNvSpPr/>
      </xdr:nvSpPr>
      <xdr:spPr>
        <a:xfrm>
          <a:off x="392641063"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319</xdr:col>
      <xdr:colOff>673573</xdr:colOff>
      <xdr:row>1</xdr:row>
      <xdr:rowOff>59690</xdr:rowOff>
    </xdr:from>
    <xdr:to>
      <xdr:col>320</xdr:col>
      <xdr:colOff>531416</xdr:colOff>
      <xdr:row>1</xdr:row>
      <xdr:rowOff>553466</xdr:rowOff>
    </xdr:to>
    <xdr:sp macro="" textlink="">
      <xdr:nvSpPr>
        <xdr:cNvPr id="997" name="B GEN DATA PAGE">
          <a:hlinkClick xmlns:r="http://schemas.openxmlformats.org/officeDocument/2006/relationships" r:id="rId12" tooltip="IHSS Applicants Page (Current)"/>
          <a:extLst>
            <a:ext uri="{FF2B5EF4-FFF2-40B4-BE49-F238E27FC236}">
              <a16:creationId xmlns:a16="http://schemas.microsoft.com/office/drawing/2014/main" id="{BB708221-2845-47F1-BC61-E630BF70E497}"/>
            </a:ext>
          </a:extLst>
        </xdr:cNvPr>
        <xdr:cNvSpPr/>
      </xdr:nvSpPr>
      <xdr:spPr>
        <a:xfrm>
          <a:off x="386914863"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323</xdr:col>
      <xdr:colOff>291419</xdr:colOff>
      <xdr:row>1</xdr:row>
      <xdr:rowOff>59690</xdr:rowOff>
    </xdr:from>
    <xdr:to>
      <xdr:col>324</xdr:col>
      <xdr:colOff>493010</xdr:colOff>
      <xdr:row>1</xdr:row>
      <xdr:rowOff>553466</xdr:rowOff>
    </xdr:to>
    <xdr:sp macro="" textlink="">
      <xdr:nvSpPr>
        <xdr:cNvPr id="998" name="B IHSS SERV PAGE">
          <a:hlinkClick xmlns:r="http://schemas.openxmlformats.org/officeDocument/2006/relationships" r:id="rId13" tooltip="IHSS Services Page (Current)"/>
          <a:extLst>
            <a:ext uri="{FF2B5EF4-FFF2-40B4-BE49-F238E27FC236}">
              <a16:creationId xmlns:a16="http://schemas.microsoft.com/office/drawing/2014/main" id="{ADDEBAC2-6EC7-472A-B8E3-C20B29D0F0EF}"/>
            </a:ext>
          </a:extLst>
        </xdr:cNvPr>
        <xdr:cNvSpPr/>
      </xdr:nvSpPr>
      <xdr:spPr>
        <a:xfrm>
          <a:off x="390343979"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343</xdr:col>
      <xdr:colOff>403429</xdr:colOff>
      <xdr:row>1</xdr:row>
      <xdr:rowOff>59690</xdr:rowOff>
    </xdr:from>
    <xdr:to>
      <xdr:col>344</xdr:col>
      <xdr:colOff>570730</xdr:colOff>
      <xdr:row>1</xdr:row>
      <xdr:rowOff>553466</xdr:rowOff>
    </xdr:to>
    <xdr:sp macro="" textlink="">
      <xdr:nvSpPr>
        <xdr:cNvPr id="999" name="B AGE PAGE">
          <a:hlinkClick xmlns:r="http://schemas.openxmlformats.org/officeDocument/2006/relationships" r:id="rId2" tooltip="Age &amp; Gender Page (Current)"/>
          <a:extLst>
            <a:ext uri="{FF2B5EF4-FFF2-40B4-BE49-F238E27FC236}">
              <a16:creationId xmlns:a16="http://schemas.microsoft.com/office/drawing/2014/main" id="{37DD605C-2A53-4CB9-800A-C506FAD433B6}"/>
            </a:ext>
          </a:extLst>
        </xdr:cNvPr>
        <xdr:cNvSpPr/>
      </xdr:nvSpPr>
      <xdr:spPr>
        <a:xfrm>
          <a:off x="407811386"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335</xdr:col>
      <xdr:colOff>442144</xdr:colOff>
      <xdr:row>1</xdr:row>
      <xdr:rowOff>59690</xdr:rowOff>
    </xdr:from>
    <xdr:to>
      <xdr:col>336</xdr:col>
      <xdr:colOff>647545</xdr:colOff>
      <xdr:row>1</xdr:row>
      <xdr:rowOff>553466</xdr:rowOff>
    </xdr:to>
    <xdr:sp macro="" textlink="">
      <xdr:nvSpPr>
        <xdr:cNvPr id="1000" name="B HOME PAGE">
          <a:hlinkClick xmlns:r="http://schemas.openxmlformats.org/officeDocument/2006/relationships" r:id="rId3" tooltip="Back to Dashboard Page"/>
          <a:extLst>
            <a:ext uri="{FF2B5EF4-FFF2-40B4-BE49-F238E27FC236}">
              <a16:creationId xmlns:a16="http://schemas.microsoft.com/office/drawing/2014/main" id="{B7BBA9B1-025A-4170-8421-869AC604F957}"/>
            </a:ext>
          </a:extLst>
        </xdr:cNvPr>
        <xdr:cNvSpPr/>
      </xdr:nvSpPr>
      <xdr:spPr>
        <a:xfrm>
          <a:off x="400915054"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336</xdr:col>
      <xdr:colOff>707189</xdr:colOff>
      <xdr:row>1</xdr:row>
      <xdr:rowOff>59690</xdr:rowOff>
    </xdr:from>
    <xdr:to>
      <xdr:col>338</xdr:col>
      <xdr:colOff>63384</xdr:colOff>
      <xdr:row>1</xdr:row>
      <xdr:rowOff>553466</xdr:rowOff>
    </xdr:to>
    <xdr:sp macro="" textlink="">
      <xdr:nvSpPr>
        <xdr:cNvPr id="1001" name="B GEN DATA PAGE">
          <a:hlinkClick xmlns:r="http://schemas.openxmlformats.org/officeDocument/2006/relationships" r:id="rId4" tooltip="Back to General Data Page"/>
          <a:extLst>
            <a:ext uri="{FF2B5EF4-FFF2-40B4-BE49-F238E27FC236}">
              <a16:creationId xmlns:a16="http://schemas.microsoft.com/office/drawing/2014/main" id="{0624D107-C5C2-480C-9972-72C1CBA7A25F}"/>
            </a:ext>
          </a:extLst>
        </xdr:cNvPr>
        <xdr:cNvSpPr/>
      </xdr:nvSpPr>
      <xdr:spPr>
        <a:xfrm>
          <a:off x="402055976"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339</xdr:col>
      <xdr:colOff>402465</xdr:colOff>
      <xdr:row>1</xdr:row>
      <xdr:rowOff>59690</xdr:rowOff>
    </xdr:from>
    <xdr:to>
      <xdr:col>340</xdr:col>
      <xdr:colOff>609138</xdr:colOff>
      <xdr:row>1</xdr:row>
      <xdr:rowOff>553466</xdr:rowOff>
    </xdr:to>
    <xdr:sp macro="" textlink="">
      <xdr:nvSpPr>
        <xdr:cNvPr id="1002" name="B ABD PAGE">
          <a:hlinkClick xmlns:r="http://schemas.openxmlformats.org/officeDocument/2006/relationships" r:id="rId5" tooltip="Aged, Blind, or Disabled Page (Current)"/>
          <a:extLst>
            <a:ext uri="{FF2B5EF4-FFF2-40B4-BE49-F238E27FC236}">
              <a16:creationId xmlns:a16="http://schemas.microsoft.com/office/drawing/2014/main" id="{5475CA50-F9C2-4362-9F74-5F422345C319}"/>
            </a:ext>
          </a:extLst>
        </xdr:cNvPr>
        <xdr:cNvSpPr/>
      </xdr:nvSpPr>
      <xdr:spPr>
        <a:xfrm>
          <a:off x="404339089"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334</xdr:col>
      <xdr:colOff>172865</xdr:colOff>
      <xdr:row>1</xdr:row>
      <xdr:rowOff>59690</xdr:rowOff>
    </xdr:from>
    <xdr:to>
      <xdr:col>335</xdr:col>
      <xdr:colOff>368530</xdr:colOff>
      <xdr:row>1</xdr:row>
      <xdr:rowOff>553466</xdr:rowOff>
    </xdr:to>
    <xdr:sp macro="" textlink="">
      <xdr:nvSpPr>
        <xdr:cNvPr id="1003" name="B GEN DATA PAGE">
          <a:hlinkClick xmlns:r="http://schemas.openxmlformats.org/officeDocument/2006/relationships" r:id="rId6" tooltip="Back to Navigation Page"/>
          <a:extLst>
            <a:ext uri="{FF2B5EF4-FFF2-40B4-BE49-F238E27FC236}">
              <a16:creationId xmlns:a16="http://schemas.microsoft.com/office/drawing/2014/main" id="{1E313C94-151F-46A3-8343-46DE5E79F05A}"/>
            </a:ext>
          </a:extLst>
        </xdr:cNvPr>
        <xdr:cNvSpPr/>
      </xdr:nvSpPr>
      <xdr:spPr>
        <a:xfrm>
          <a:off x="399769052"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348</xdr:col>
      <xdr:colOff>606486</xdr:colOff>
      <xdr:row>1</xdr:row>
      <xdr:rowOff>59690</xdr:rowOff>
    </xdr:from>
    <xdr:to>
      <xdr:col>349</xdr:col>
      <xdr:colOff>839706</xdr:colOff>
      <xdr:row>1</xdr:row>
      <xdr:rowOff>557276</xdr:rowOff>
    </xdr:to>
    <xdr:sp macro="" textlink="">
      <xdr:nvSpPr>
        <xdr:cNvPr id="1004" name="B ALL DATA PAGE">
          <a:hlinkClick xmlns:r="http://schemas.openxmlformats.org/officeDocument/2006/relationships" r:id="rId7" tooltip="Back to All Data Page"/>
          <a:extLst>
            <a:ext uri="{FF2B5EF4-FFF2-40B4-BE49-F238E27FC236}">
              <a16:creationId xmlns:a16="http://schemas.microsoft.com/office/drawing/2014/main" id="{2CBB9FA7-C5A3-4096-A165-A2F9B6A46762}"/>
            </a:ext>
          </a:extLst>
        </xdr:cNvPr>
        <xdr:cNvSpPr/>
      </xdr:nvSpPr>
      <xdr:spPr>
        <a:xfrm>
          <a:off x="412387053"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347</xdr:col>
      <xdr:colOff>367259</xdr:colOff>
      <xdr:row>1</xdr:row>
      <xdr:rowOff>59690</xdr:rowOff>
    </xdr:from>
    <xdr:to>
      <xdr:col>348</xdr:col>
      <xdr:colOff>535407</xdr:colOff>
      <xdr:row>1</xdr:row>
      <xdr:rowOff>553466</xdr:rowOff>
    </xdr:to>
    <xdr:sp macro="" textlink="">
      <xdr:nvSpPr>
        <xdr:cNvPr id="1005" name="B TERMS PAGE">
          <a:hlinkClick xmlns:r="http://schemas.openxmlformats.org/officeDocument/2006/relationships" r:id="rId8" tooltip="Back to Appendix &amp; Terms Page"/>
          <a:extLst>
            <a:ext uri="{FF2B5EF4-FFF2-40B4-BE49-F238E27FC236}">
              <a16:creationId xmlns:a16="http://schemas.microsoft.com/office/drawing/2014/main" id="{F8ED2869-7F79-484D-A236-99F7D8D9EA60}"/>
            </a:ext>
          </a:extLst>
        </xdr:cNvPr>
        <xdr:cNvSpPr/>
      </xdr:nvSpPr>
      <xdr:spPr>
        <a:xfrm>
          <a:off x="411254169"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346</xdr:col>
      <xdr:colOff>102093</xdr:colOff>
      <xdr:row>1</xdr:row>
      <xdr:rowOff>59690</xdr:rowOff>
    </xdr:from>
    <xdr:to>
      <xdr:col>347</xdr:col>
      <xdr:colOff>286872</xdr:colOff>
      <xdr:row>1</xdr:row>
      <xdr:rowOff>553466</xdr:rowOff>
    </xdr:to>
    <xdr:sp macro="" textlink="">
      <xdr:nvSpPr>
        <xdr:cNvPr id="1006" name="B PROV DET PAGE">
          <a:hlinkClick xmlns:r="http://schemas.openxmlformats.org/officeDocument/2006/relationships" r:id="rId9" tooltip="Back to Provider Page"/>
          <a:extLst>
            <a:ext uri="{FF2B5EF4-FFF2-40B4-BE49-F238E27FC236}">
              <a16:creationId xmlns:a16="http://schemas.microsoft.com/office/drawing/2014/main" id="{A6930297-994C-46E6-9E0F-F2834E0FC1F6}"/>
            </a:ext>
          </a:extLst>
        </xdr:cNvPr>
        <xdr:cNvSpPr/>
      </xdr:nvSpPr>
      <xdr:spPr>
        <a:xfrm>
          <a:off x="410111010"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340</xdr:col>
      <xdr:colOff>682752</xdr:colOff>
      <xdr:row>1</xdr:row>
      <xdr:rowOff>59690</xdr:rowOff>
    </xdr:from>
    <xdr:to>
      <xdr:col>342</xdr:col>
      <xdr:colOff>23706</xdr:colOff>
      <xdr:row>1</xdr:row>
      <xdr:rowOff>553466</xdr:rowOff>
    </xdr:to>
    <xdr:sp macro="" textlink="">
      <xdr:nvSpPr>
        <xdr:cNvPr id="1007" name="B IHSS PROG PAGE">
          <a:hlinkClick xmlns:r="http://schemas.openxmlformats.org/officeDocument/2006/relationships" r:id="rId10" tooltip="Back to Program Equity Page"/>
          <a:extLst>
            <a:ext uri="{FF2B5EF4-FFF2-40B4-BE49-F238E27FC236}">
              <a16:creationId xmlns:a16="http://schemas.microsoft.com/office/drawing/2014/main" id="{2FD6F2AE-F104-45F2-B7AD-61AAF42608D9}"/>
            </a:ext>
          </a:extLst>
        </xdr:cNvPr>
        <xdr:cNvSpPr/>
      </xdr:nvSpPr>
      <xdr:spPr>
        <a:xfrm>
          <a:off x="405510492"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344</xdr:col>
      <xdr:colOff>635454</xdr:colOff>
      <xdr:row>1</xdr:row>
      <xdr:rowOff>59690</xdr:rowOff>
    </xdr:from>
    <xdr:to>
      <xdr:col>346</xdr:col>
      <xdr:colOff>2353</xdr:colOff>
      <xdr:row>1</xdr:row>
      <xdr:rowOff>553466</xdr:rowOff>
    </xdr:to>
    <xdr:sp macro="" textlink="">
      <xdr:nvSpPr>
        <xdr:cNvPr id="1008" name="B ETHNICITY PAGE">
          <a:hlinkClick xmlns:r="http://schemas.openxmlformats.org/officeDocument/2006/relationships" r:id="rId11" tooltip="Back to Ethnicity &amp; Language Page"/>
          <a:extLst>
            <a:ext uri="{FF2B5EF4-FFF2-40B4-BE49-F238E27FC236}">
              <a16:creationId xmlns:a16="http://schemas.microsoft.com/office/drawing/2014/main" id="{75B099AE-B354-4422-BCEC-3AF3AB41E3AB}"/>
            </a:ext>
          </a:extLst>
        </xdr:cNvPr>
        <xdr:cNvSpPr/>
      </xdr:nvSpPr>
      <xdr:spPr>
        <a:xfrm>
          <a:off x="408938338"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338</xdr:col>
      <xdr:colOff>134458</xdr:colOff>
      <xdr:row>1</xdr:row>
      <xdr:rowOff>59690</xdr:rowOff>
    </xdr:from>
    <xdr:to>
      <xdr:col>339</xdr:col>
      <xdr:colOff>340281</xdr:colOff>
      <xdr:row>1</xdr:row>
      <xdr:rowOff>553466</xdr:rowOff>
    </xdr:to>
    <xdr:sp macro="" textlink="">
      <xdr:nvSpPr>
        <xdr:cNvPr id="1009" name="B GEN DATA PAGE">
          <a:hlinkClick xmlns:r="http://schemas.openxmlformats.org/officeDocument/2006/relationships" r:id="rId12" tooltip="IHSS Applicants Page (Current)"/>
          <a:extLst>
            <a:ext uri="{FF2B5EF4-FFF2-40B4-BE49-F238E27FC236}">
              <a16:creationId xmlns:a16="http://schemas.microsoft.com/office/drawing/2014/main" id="{F2EFE15C-C07B-4078-A1ED-8F5530D6730F}"/>
            </a:ext>
          </a:extLst>
        </xdr:cNvPr>
        <xdr:cNvSpPr/>
      </xdr:nvSpPr>
      <xdr:spPr>
        <a:xfrm>
          <a:off x="403212138"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342</xdr:col>
      <xdr:colOff>99860</xdr:colOff>
      <xdr:row>1</xdr:row>
      <xdr:rowOff>59690</xdr:rowOff>
    </xdr:from>
    <xdr:to>
      <xdr:col>343</xdr:col>
      <xdr:colOff>327275</xdr:colOff>
      <xdr:row>1</xdr:row>
      <xdr:rowOff>553466</xdr:rowOff>
    </xdr:to>
    <xdr:sp macro="" textlink="">
      <xdr:nvSpPr>
        <xdr:cNvPr id="1010" name="B IHSS SERV PAGE">
          <a:hlinkClick xmlns:r="http://schemas.openxmlformats.org/officeDocument/2006/relationships" r:id="rId13" tooltip="IHSS Services Page (Current)"/>
          <a:extLst>
            <a:ext uri="{FF2B5EF4-FFF2-40B4-BE49-F238E27FC236}">
              <a16:creationId xmlns:a16="http://schemas.microsoft.com/office/drawing/2014/main" id="{7EF1F1E9-BFC6-4A6E-84BE-53F0D64A858C}"/>
            </a:ext>
          </a:extLst>
        </xdr:cNvPr>
        <xdr:cNvSpPr/>
      </xdr:nvSpPr>
      <xdr:spPr>
        <a:xfrm>
          <a:off x="406641254"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343</xdr:col>
      <xdr:colOff>367234</xdr:colOff>
      <xdr:row>1</xdr:row>
      <xdr:rowOff>59690</xdr:rowOff>
    </xdr:from>
    <xdr:to>
      <xdr:col>344</xdr:col>
      <xdr:colOff>556125</xdr:colOff>
      <xdr:row>1</xdr:row>
      <xdr:rowOff>553466</xdr:rowOff>
    </xdr:to>
    <xdr:sp macro="" textlink="">
      <xdr:nvSpPr>
        <xdr:cNvPr id="1011" name="B AGE PAGE">
          <a:hlinkClick xmlns:r="http://schemas.openxmlformats.org/officeDocument/2006/relationships" r:id="rId2" tooltip="Age &amp; Gender Page (Current)"/>
          <a:extLst>
            <a:ext uri="{FF2B5EF4-FFF2-40B4-BE49-F238E27FC236}">
              <a16:creationId xmlns:a16="http://schemas.microsoft.com/office/drawing/2014/main" id="{BE89FD97-9C04-404F-A1B4-005744DE6F1B}"/>
            </a:ext>
          </a:extLst>
        </xdr:cNvPr>
        <xdr:cNvSpPr/>
      </xdr:nvSpPr>
      <xdr:spPr>
        <a:xfrm>
          <a:off x="407795511"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335</xdr:col>
      <xdr:colOff>442779</xdr:colOff>
      <xdr:row>1</xdr:row>
      <xdr:rowOff>59690</xdr:rowOff>
    </xdr:from>
    <xdr:to>
      <xdr:col>336</xdr:col>
      <xdr:colOff>632940</xdr:colOff>
      <xdr:row>1</xdr:row>
      <xdr:rowOff>553466</xdr:rowOff>
    </xdr:to>
    <xdr:sp macro="" textlink="">
      <xdr:nvSpPr>
        <xdr:cNvPr id="1012" name="B HOME PAGE">
          <a:hlinkClick xmlns:r="http://schemas.openxmlformats.org/officeDocument/2006/relationships" r:id="rId3" tooltip="Back to Dashboard Page"/>
          <a:extLst>
            <a:ext uri="{FF2B5EF4-FFF2-40B4-BE49-F238E27FC236}">
              <a16:creationId xmlns:a16="http://schemas.microsoft.com/office/drawing/2014/main" id="{6DC290C3-AF45-46B1-B951-66CC62164B23}"/>
            </a:ext>
          </a:extLst>
        </xdr:cNvPr>
        <xdr:cNvSpPr/>
      </xdr:nvSpPr>
      <xdr:spPr>
        <a:xfrm>
          <a:off x="400899179"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336</xdr:col>
      <xdr:colOff>683694</xdr:colOff>
      <xdr:row>1</xdr:row>
      <xdr:rowOff>59690</xdr:rowOff>
    </xdr:from>
    <xdr:to>
      <xdr:col>338</xdr:col>
      <xdr:colOff>37349</xdr:colOff>
      <xdr:row>1</xdr:row>
      <xdr:rowOff>553466</xdr:rowOff>
    </xdr:to>
    <xdr:sp macro="" textlink="">
      <xdr:nvSpPr>
        <xdr:cNvPr id="1013" name="B GEN DATA PAGE">
          <a:hlinkClick xmlns:r="http://schemas.openxmlformats.org/officeDocument/2006/relationships" r:id="rId4" tooltip="Back to General Data Page"/>
          <a:extLst>
            <a:ext uri="{FF2B5EF4-FFF2-40B4-BE49-F238E27FC236}">
              <a16:creationId xmlns:a16="http://schemas.microsoft.com/office/drawing/2014/main" id="{E5CBADC1-14AF-476C-8D2C-EF245D8EBDF9}"/>
            </a:ext>
          </a:extLst>
        </xdr:cNvPr>
        <xdr:cNvSpPr/>
      </xdr:nvSpPr>
      <xdr:spPr>
        <a:xfrm>
          <a:off x="402040101"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339</xdr:col>
      <xdr:colOff>365000</xdr:colOff>
      <xdr:row>1</xdr:row>
      <xdr:rowOff>59690</xdr:rowOff>
    </xdr:from>
    <xdr:to>
      <xdr:col>340</xdr:col>
      <xdr:colOff>609773</xdr:colOff>
      <xdr:row>1</xdr:row>
      <xdr:rowOff>553466</xdr:rowOff>
    </xdr:to>
    <xdr:sp macro="" textlink="">
      <xdr:nvSpPr>
        <xdr:cNvPr id="1014" name="B ABD PAGE">
          <a:hlinkClick xmlns:r="http://schemas.openxmlformats.org/officeDocument/2006/relationships" r:id="rId5" tooltip="Aged, Blind, or Disabled Page (Current)"/>
          <a:extLst>
            <a:ext uri="{FF2B5EF4-FFF2-40B4-BE49-F238E27FC236}">
              <a16:creationId xmlns:a16="http://schemas.microsoft.com/office/drawing/2014/main" id="{B2991E95-B205-4892-B55D-58CA1104CF36}"/>
            </a:ext>
          </a:extLst>
        </xdr:cNvPr>
        <xdr:cNvSpPr/>
      </xdr:nvSpPr>
      <xdr:spPr>
        <a:xfrm>
          <a:off x="404323214"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334</xdr:col>
      <xdr:colOff>136670</xdr:colOff>
      <xdr:row>1</xdr:row>
      <xdr:rowOff>59690</xdr:rowOff>
    </xdr:from>
    <xdr:to>
      <xdr:col>335</xdr:col>
      <xdr:colOff>342495</xdr:colOff>
      <xdr:row>1</xdr:row>
      <xdr:rowOff>553466</xdr:rowOff>
    </xdr:to>
    <xdr:sp macro="" textlink="">
      <xdr:nvSpPr>
        <xdr:cNvPr id="1015" name="B GEN DATA PAGE">
          <a:hlinkClick xmlns:r="http://schemas.openxmlformats.org/officeDocument/2006/relationships" r:id="rId6" tooltip="Back to Navigation Page"/>
          <a:extLst>
            <a:ext uri="{FF2B5EF4-FFF2-40B4-BE49-F238E27FC236}">
              <a16:creationId xmlns:a16="http://schemas.microsoft.com/office/drawing/2014/main" id="{DB14CCB2-6869-48B9-AC44-1E6003F506A9}"/>
            </a:ext>
          </a:extLst>
        </xdr:cNvPr>
        <xdr:cNvSpPr/>
      </xdr:nvSpPr>
      <xdr:spPr>
        <a:xfrm>
          <a:off x="399753177"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348</xdr:col>
      <xdr:colOff>596961</xdr:colOff>
      <xdr:row>1</xdr:row>
      <xdr:rowOff>59690</xdr:rowOff>
    </xdr:from>
    <xdr:to>
      <xdr:col>349</xdr:col>
      <xdr:colOff>820021</xdr:colOff>
      <xdr:row>1</xdr:row>
      <xdr:rowOff>557276</xdr:rowOff>
    </xdr:to>
    <xdr:sp macro="" textlink="">
      <xdr:nvSpPr>
        <xdr:cNvPr id="1016" name="B ALL DATA PAGE">
          <a:hlinkClick xmlns:r="http://schemas.openxmlformats.org/officeDocument/2006/relationships" r:id="rId7" tooltip="Back to All Data Page"/>
          <a:extLst>
            <a:ext uri="{FF2B5EF4-FFF2-40B4-BE49-F238E27FC236}">
              <a16:creationId xmlns:a16="http://schemas.microsoft.com/office/drawing/2014/main" id="{BF8ED0DB-45D1-4C41-8C42-1D9E3D7D2577}"/>
            </a:ext>
          </a:extLst>
        </xdr:cNvPr>
        <xdr:cNvSpPr/>
      </xdr:nvSpPr>
      <xdr:spPr>
        <a:xfrm>
          <a:off x="412371178"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347</xdr:col>
      <xdr:colOff>365354</xdr:colOff>
      <xdr:row>1</xdr:row>
      <xdr:rowOff>59690</xdr:rowOff>
    </xdr:from>
    <xdr:to>
      <xdr:col>348</xdr:col>
      <xdr:colOff>536042</xdr:colOff>
      <xdr:row>1</xdr:row>
      <xdr:rowOff>553466</xdr:rowOff>
    </xdr:to>
    <xdr:sp macro="" textlink="">
      <xdr:nvSpPr>
        <xdr:cNvPr id="1017" name="B TERMS PAGE">
          <a:hlinkClick xmlns:r="http://schemas.openxmlformats.org/officeDocument/2006/relationships" r:id="rId8" tooltip="Back to Appendix &amp; Terms Page"/>
          <a:extLst>
            <a:ext uri="{FF2B5EF4-FFF2-40B4-BE49-F238E27FC236}">
              <a16:creationId xmlns:a16="http://schemas.microsoft.com/office/drawing/2014/main" id="{F0D01E1B-8689-4EFE-BF72-1A80F697FE2A}"/>
            </a:ext>
          </a:extLst>
        </xdr:cNvPr>
        <xdr:cNvSpPr/>
      </xdr:nvSpPr>
      <xdr:spPr>
        <a:xfrm>
          <a:off x="411238294"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346</xdr:col>
      <xdr:colOff>60818</xdr:colOff>
      <xdr:row>1</xdr:row>
      <xdr:rowOff>59690</xdr:rowOff>
    </xdr:from>
    <xdr:to>
      <xdr:col>347</xdr:col>
      <xdr:colOff>269727</xdr:colOff>
      <xdr:row>1</xdr:row>
      <xdr:rowOff>553466</xdr:rowOff>
    </xdr:to>
    <xdr:sp macro="" textlink="">
      <xdr:nvSpPr>
        <xdr:cNvPr id="1018" name="B PROV DET PAGE">
          <a:hlinkClick xmlns:r="http://schemas.openxmlformats.org/officeDocument/2006/relationships" r:id="rId9" tooltip="Back to Provider Page"/>
          <a:extLst>
            <a:ext uri="{FF2B5EF4-FFF2-40B4-BE49-F238E27FC236}">
              <a16:creationId xmlns:a16="http://schemas.microsoft.com/office/drawing/2014/main" id="{25C36B4A-0316-465C-A5F1-C0B92B23923F}"/>
            </a:ext>
          </a:extLst>
        </xdr:cNvPr>
        <xdr:cNvSpPr/>
      </xdr:nvSpPr>
      <xdr:spPr>
        <a:xfrm>
          <a:off x="410095135"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340</xdr:col>
      <xdr:colOff>670687</xdr:colOff>
      <xdr:row>1</xdr:row>
      <xdr:rowOff>59690</xdr:rowOff>
    </xdr:from>
    <xdr:to>
      <xdr:col>342</xdr:col>
      <xdr:colOff>21801</xdr:colOff>
      <xdr:row>1</xdr:row>
      <xdr:rowOff>553466</xdr:rowOff>
    </xdr:to>
    <xdr:sp macro="" textlink="">
      <xdr:nvSpPr>
        <xdr:cNvPr id="1019" name="B IHSS PROG PAGE">
          <a:hlinkClick xmlns:r="http://schemas.openxmlformats.org/officeDocument/2006/relationships" r:id="rId10" tooltip="Back to Program Equity Page"/>
          <a:extLst>
            <a:ext uri="{FF2B5EF4-FFF2-40B4-BE49-F238E27FC236}">
              <a16:creationId xmlns:a16="http://schemas.microsoft.com/office/drawing/2014/main" id="{C604DA6B-22D2-49C5-8CAE-CD7EC8295205}"/>
            </a:ext>
          </a:extLst>
        </xdr:cNvPr>
        <xdr:cNvSpPr/>
      </xdr:nvSpPr>
      <xdr:spPr>
        <a:xfrm>
          <a:off x="405494617"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344</xdr:col>
      <xdr:colOff>631009</xdr:colOff>
      <xdr:row>1</xdr:row>
      <xdr:rowOff>59690</xdr:rowOff>
    </xdr:from>
    <xdr:to>
      <xdr:col>345</xdr:col>
      <xdr:colOff>838648</xdr:colOff>
      <xdr:row>1</xdr:row>
      <xdr:rowOff>553466</xdr:rowOff>
    </xdr:to>
    <xdr:sp macro="" textlink="">
      <xdr:nvSpPr>
        <xdr:cNvPr id="1020" name="B ETHNICITY PAGE">
          <a:hlinkClick xmlns:r="http://schemas.openxmlformats.org/officeDocument/2006/relationships" r:id="rId11" tooltip="Back to Ethnicity &amp; Language Page"/>
          <a:extLst>
            <a:ext uri="{FF2B5EF4-FFF2-40B4-BE49-F238E27FC236}">
              <a16:creationId xmlns:a16="http://schemas.microsoft.com/office/drawing/2014/main" id="{5C2876E5-9462-446F-A78A-F694436878F4}"/>
            </a:ext>
          </a:extLst>
        </xdr:cNvPr>
        <xdr:cNvSpPr/>
      </xdr:nvSpPr>
      <xdr:spPr>
        <a:xfrm>
          <a:off x="408922463"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338</xdr:col>
      <xdr:colOff>117313</xdr:colOff>
      <xdr:row>1</xdr:row>
      <xdr:rowOff>59690</xdr:rowOff>
    </xdr:from>
    <xdr:to>
      <xdr:col>339</xdr:col>
      <xdr:colOff>329486</xdr:colOff>
      <xdr:row>1</xdr:row>
      <xdr:rowOff>553466</xdr:rowOff>
    </xdr:to>
    <xdr:sp macro="" textlink="">
      <xdr:nvSpPr>
        <xdr:cNvPr id="1021" name="B GEN DATA PAGE">
          <a:hlinkClick xmlns:r="http://schemas.openxmlformats.org/officeDocument/2006/relationships" r:id="rId12" tooltip="IHSS Applicants Page (Current)"/>
          <a:extLst>
            <a:ext uri="{FF2B5EF4-FFF2-40B4-BE49-F238E27FC236}">
              <a16:creationId xmlns:a16="http://schemas.microsoft.com/office/drawing/2014/main" id="{7133CB72-E333-4430-8435-4FBEEA06F7B4}"/>
            </a:ext>
          </a:extLst>
        </xdr:cNvPr>
        <xdr:cNvSpPr/>
      </xdr:nvSpPr>
      <xdr:spPr>
        <a:xfrm>
          <a:off x="403196263"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342</xdr:col>
      <xdr:colOff>63665</xdr:colOff>
      <xdr:row>1</xdr:row>
      <xdr:rowOff>59690</xdr:rowOff>
    </xdr:from>
    <xdr:to>
      <xdr:col>343</xdr:col>
      <xdr:colOff>291080</xdr:colOff>
      <xdr:row>1</xdr:row>
      <xdr:rowOff>553466</xdr:rowOff>
    </xdr:to>
    <xdr:sp macro="" textlink="">
      <xdr:nvSpPr>
        <xdr:cNvPr id="1022" name="B IHSS SERV PAGE">
          <a:hlinkClick xmlns:r="http://schemas.openxmlformats.org/officeDocument/2006/relationships" r:id="rId13" tooltip="IHSS Services Page (Current)"/>
          <a:extLst>
            <a:ext uri="{FF2B5EF4-FFF2-40B4-BE49-F238E27FC236}">
              <a16:creationId xmlns:a16="http://schemas.microsoft.com/office/drawing/2014/main" id="{BBDFE9B7-5368-4173-87B0-53759DD0C676}"/>
            </a:ext>
          </a:extLst>
        </xdr:cNvPr>
        <xdr:cNvSpPr/>
      </xdr:nvSpPr>
      <xdr:spPr>
        <a:xfrm>
          <a:off x="406625379"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362</xdr:col>
      <xdr:colOff>98629</xdr:colOff>
      <xdr:row>1</xdr:row>
      <xdr:rowOff>59690</xdr:rowOff>
    </xdr:from>
    <xdr:to>
      <xdr:col>363</xdr:col>
      <xdr:colOff>213014</xdr:colOff>
      <xdr:row>1</xdr:row>
      <xdr:rowOff>553466</xdr:rowOff>
    </xdr:to>
    <xdr:sp macro="" textlink="">
      <xdr:nvSpPr>
        <xdr:cNvPr id="1023" name="B AGE PAGE">
          <a:hlinkClick xmlns:r="http://schemas.openxmlformats.org/officeDocument/2006/relationships" r:id="rId2" tooltip="Age &amp; Gender Page (Current)"/>
          <a:extLst>
            <a:ext uri="{FF2B5EF4-FFF2-40B4-BE49-F238E27FC236}">
              <a16:creationId xmlns:a16="http://schemas.microsoft.com/office/drawing/2014/main" id="{EE617A80-566D-4F3B-9A92-B4F9D4B960A1}"/>
            </a:ext>
          </a:extLst>
        </xdr:cNvPr>
        <xdr:cNvSpPr/>
      </xdr:nvSpPr>
      <xdr:spPr>
        <a:xfrm>
          <a:off x="424067386"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354</xdr:col>
      <xdr:colOff>211850</xdr:colOff>
      <xdr:row>1</xdr:row>
      <xdr:rowOff>59690</xdr:rowOff>
    </xdr:from>
    <xdr:to>
      <xdr:col>355</xdr:col>
      <xdr:colOff>421485</xdr:colOff>
      <xdr:row>1</xdr:row>
      <xdr:rowOff>553466</xdr:rowOff>
    </xdr:to>
    <xdr:sp macro="" textlink="">
      <xdr:nvSpPr>
        <xdr:cNvPr id="1024" name="B HOME PAGE">
          <a:hlinkClick xmlns:r="http://schemas.openxmlformats.org/officeDocument/2006/relationships" r:id="rId3" tooltip="Back to Dashboard Page"/>
          <a:extLst>
            <a:ext uri="{FF2B5EF4-FFF2-40B4-BE49-F238E27FC236}">
              <a16:creationId xmlns:a16="http://schemas.microsoft.com/office/drawing/2014/main" id="{803B31C9-FAFB-49C3-B350-585513577E4B}"/>
            </a:ext>
          </a:extLst>
        </xdr:cNvPr>
        <xdr:cNvSpPr/>
      </xdr:nvSpPr>
      <xdr:spPr>
        <a:xfrm>
          <a:off x="417171054"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355</xdr:col>
      <xdr:colOff>478589</xdr:colOff>
      <xdr:row>1</xdr:row>
      <xdr:rowOff>59690</xdr:rowOff>
    </xdr:from>
    <xdr:to>
      <xdr:col>356</xdr:col>
      <xdr:colOff>683284</xdr:colOff>
      <xdr:row>1</xdr:row>
      <xdr:rowOff>553466</xdr:rowOff>
    </xdr:to>
    <xdr:sp macro="" textlink="">
      <xdr:nvSpPr>
        <xdr:cNvPr id="1025" name="B GEN DATA PAGE">
          <a:hlinkClick xmlns:r="http://schemas.openxmlformats.org/officeDocument/2006/relationships" r:id="rId4" tooltip="Back to General Data Page"/>
          <a:extLst>
            <a:ext uri="{FF2B5EF4-FFF2-40B4-BE49-F238E27FC236}">
              <a16:creationId xmlns:a16="http://schemas.microsoft.com/office/drawing/2014/main" id="{6F33663C-5CC9-4180-8118-1B0B2F5B59F9}"/>
            </a:ext>
          </a:extLst>
        </xdr:cNvPr>
        <xdr:cNvSpPr/>
      </xdr:nvSpPr>
      <xdr:spPr>
        <a:xfrm>
          <a:off x="418305626" y="58420"/>
          <a:ext cx="10850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358</xdr:col>
      <xdr:colOff>101617</xdr:colOff>
      <xdr:row>1</xdr:row>
      <xdr:rowOff>59690</xdr:rowOff>
    </xdr:from>
    <xdr:to>
      <xdr:col>359</xdr:col>
      <xdr:colOff>327763</xdr:colOff>
      <xdr:row>1</xdr:row>
      <xdr:rowOff>553466</xdr:rowOff>
    </xdr:to>
    <xdr:sp macro="" textlink="">
      <xdr:nvSpPr>
        <xdr:cNvPr id="1026" name="B ABD PAGE">
          <a:hlinkClick xmlns:r="http://schemas.openxmlformats.org/officeDocument/2006/relationships" r:id="rId5" tooltip="Aged, Blind, or Disabled Page (Current)"/>
          <a:extLst>
            <a:ext uri="{FF2B5EF4-FFF2-40B4-BE49-F238E27FC236}">
              <a16:creationId xmlns:a16="http://schemas.microsoft.com/office/drawing/2014/main" id="{C680C3DE-1C96-439B-ACEC-FDF58C499C2E}"/>
            </a:ext>
          </a:extLst>
        </xdr:cNvPr>
        <xdr:cNvSpPr/>
      </xdr:nvSpPr>
      <xdr:spPr>
        <a:xfrm>
          <a:off x="420595089"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352</xdr:col>
      <xdr:colOff>782042</xdr:colOff>
      <xdr:row>1</xdr:row>
      <xdr:rowOff>59690</xdr:rowOff>
    </xdr:from>
    <xdr:to>
      <xdr:col>354</xdr:col>
      <xdr:colOff>136966</xdr:colOff>
      <xdr:row>1</xdr:row>
      <xdr:rowOff>553466</xdr:rowOff>
    </xdr:to>
    <xdr:sp macro="" textlink="">
      <xdr:nvSpPr>
        <xdr:cNvPr id="1027" name="B GEN DATA PAGE">
          <a:hlinkClick xmlns:r="http://schemas.openxmlformats.org/officeDocument/2006/relationships" r:id="rId6" tooltip="Back to Navigation Page"/>
          <a:extLst>
            <a:ext uri="{FF2B5EF4-FFF2-40B4-BE49-F238E27FC236}">
              <a16:creationId xmlns:a16="http://schemas.microsoft.com/office/drawing/2014/main" id="{4CB57F33-9659-4F3F-8F3D-E5770370FE24}"/>
            </a:ext>
          </a:extLst>
        </xdr:cNvPr>
        <xdr:cNvSpPr/>
      </xdr:nvSpPr>
      <xdr:spPr>
        <a:xfrm>
          <a:off x="416025052"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367</xdr:col>
      <xdr:colOff>173841</xdr:colOff>
      <xdr:row>1</xdr:row>
      <xdr:rowOff>59690</xdr:rowOff>
    </xdr:from>
    <xdr:to>
      <xdr:col>368</xdr:col>
      <xdr:colOff>406354</xdr:colOff>
      <xdr:row>1</xdr:row>
      <xdr:rowOff>557276</xdr:rowOff>
    </xdr:to>
    <xdr:sp macro="" textlink="">
      <xdr:nvSpPr>
        <xdr:cNvPr id="1028" name="B ALL DATA PAGE">
          <a:hlinkClick xmlns:r="http://schemas.openxmlformats.org/officeDocument/2006/relationships" r:id="rId7" tooltip="Back to All Data Page"/>
          <a:extLst>
            <a:ext uri="{FF2B5EF4-FFF2-40B4-BE49-F238E27FC236}">
              <a16:creationId xmlns:a16="http://schemas.microsoft.com/office/drawing/2014/main" id="{FFA602A6-A27B-433E-8DD2-0E8B4507A94C}"/>
            </a:ext>
          </a:extLst>
        </xdr:cNvPr>
        <xdr:cNvSpPr/>
      </xdr:nvSpPr>
      <xdr:spPr>
        <a:xfrm>
          <a:off x="428643053"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365</xdr:col>
      <xdr:colOff>783819</xdr:colOff>
      <xdr:row>1</xdr:row>
      <xdr:rowOff>59690</xdr:rowOff>
    </xdr:from>
    <xdr:to>
      <xdr:col>367</xdr:col>
      <xdr:colOff>100222</xdr:colOff>
      <xdr:row>1</xdr:row>
      <xdr:rowOff>553466</xdr:rowOff>
    </xdr:to>
    <xdr:sp macro="" textlink="">
      <xdr:nvSpPr>
        <xdr:cNvPr id="1029" name="B TERMS PAGE">
          <a:hlinkClick xmlns:r="http://schemas.openxmlformats.org/officeDocument/2006/relationships" r:id="rId8" tooltip="Back to Appendix &amp; Terms Page"/>
          <a:extLst>
            <a:ext uri="{FF2B5EF4-FFF2-40B4-BE49-F238E27FC236}">
              <a16:creationId xmlns:a16="http://schemas.microsoft.com/office/drawing/2014/main" id="{A0875792-21B1-4B36-86CC-FC996C03164B}"/>
            </a:ext>
          </a:extLst>
        </xdr:cNvPr>
        <xdr:cNvSpPr/>
      </xdr:nvSpPr>
      <xdr:spPr>
        <a:xfrm>
          <a:off x="427510169"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364</xdr:col>
      <xdr:colOff>558447</xdr:colOff>
      <xdr:row>1</xdr:row>
      <xdr:rowOff>59690</xdr:rowOff>
    </xdr:from>
    <xdr:to>
      <xdr:col>365</xdr:col>
      <xdr:colOff>705972</xdr:colOff>
      <xdr:row>1</xdr:row>
      <xdr:rowOff>553466</xdr:rowOff>
    </xdr:to>
    <xdr:sp macro="" textlink="">
      <xdr:nvSpPr>
        <xdr:cNvPr id="1030" name="B PROV DET PAGE">
          <a:hlinkClick xmlns:r="http://schemas.openxmlformats.org/officeDocument/2006/relationships" r:id="rId9" tooltip="Back to Provider Page"/>
          <a:extLst>
            <a:ext uri="{FF2B5EF4-FFF2-40B4-BE49-F238E27FC236}">
              <a16:creationId xmlns:a16="http://schemas.microsoft.com/office/drawing/2014/main" id="{1EBF30F9-930D-4D6B-AA7A-E2C75523BBB4}"/>
            </a:ext>
          </a:extLst>
        </xdr:cNvPr>
        <xdr:cNvSpPr/>
      </xdr:nvSpPr>
      <xdr:spPr>
        <a:xfrm>
          <a:off x="426367010"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359</xdr:col>
      <xdr:colOff>402647</xdr:colOff>
      <xdr:row>1</xdr:row>
      <xdr:rowOff>59690</xdr:rowOff>
    </xdr:from>
    <xdr:to>
      <xdr:col>360</xdr:col>
      <xdr:colOff>573757</xdr:colOff>
      <xdr:row>1</xdr:row>
      <xdr:rowOff>553466</xdr:rowOff>
    </xdr:to>
    <xdr:sp macro="" textlink="">
      <xdr:nvSpPr>
        <xdr:cNvPr id="1031" name="B IHSS PROG PAGE">
          <a:hlinkClick xmlns:r="http://schemas.openxmlformats.org/officeDocument/2006/relationships" r:id="rId10" tooltip="Back to Program Equity Page"/>
          <a:extLst>
            <a:ext uri="{FF2B5EF4-FFF2-40B4-BE49-F238E27FC236}">
              <a16:creationId xmlns:a16="http://schemas.microsoft.com/office/drawing/2014/main" id="{B37328B9-5EF8-460A-A481-7043A3B3E36A}"/>
            </a:ext>
          </a:extLst>
        </xdr:cNvPr>
        <xdr:cNvSpPr/>
      </xdr:nvSpPr>
      <xdr:spPr>
        <a:xfrm>
          <a:off x="421766492"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363</xdr:col>
      <xdr:colOff>290438</xdr:colOff>
      <xdr:row>1</xdr:row>
      <xdr:rowOff>59690</xdr:rowOff>
    </xdr:from>
    <xdr:to>
      <xdr:col>364</xdr:col>
      <xdr:colOff>477475</xdr:colOff>
      <xdr:row>1</xdr:row>
      <xdr:rowOff>553466</xdr:rowOff>
    </xdr:to>
    <xdr:sp macro="" textlink="">
      <xdr:nvSpPr>
        <xdr:cNvPr id="1032" name="B ETHNICITY PAGE">
          <a:hlinkClick xmlns:r="http://schemas.openxmlformats.org/officeDocument/2006/relationships" r:id="rId11" tooltip="Back to Ethnicity &amp; Language Page"/>
          <a:extLst>
            <a:ext uri="{FF2B5EF4-FFF2-40B4-BE49-F238E27FC236}">
              <a16:creationId xmlns:a16="http://schemas.microsoft.com/office/drawing/2014/main" id="{9B369D4F-6457-4215-BB0B-94ECC97F7E80}"/>
            </a:ext>
          </a:extLst>
        </xdr:cNvPr>
        <xdr:cNvSpPr/>
      </xdr:nvSpPr>
      <xdr:spPr>
        <a:xfrm>
          <a:off x="425194338"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356</xdr:col>
      <xdr:colOff>760708</xdr:colOff>
      <xdr:row>1</xdr:row>
      <xdr:rowOff>59690</xdr:rowOff>
    </xdr:from>
    <xdr:to>
      <xdr:col>358</xdr:col>
      <xdr:colOff>36893</xdr:colOff>
      <xdr:row>1</xdr:row>
      <xdr:rowOff>553466</xdr:rowOff>
    </xdr:to>
    <xdr:sp macro="" textlink="">
      <xdr:nvSpPr>
        <xdr:cNvPr id="1033" name="B GEN DATA PAGE">
          <a:hlinkClick xmlns:r="http://schemas.openxmlformats.org/officeDocument/2006/relationships" r:id="rId12" tooltip="IHSS Applicants Page (Current)"/>
          <a:extLst>
            <a:ext uri="{FF2B5EF4-FFF2-40B4-BE49-F238E27FC236}">
              <a16:creationId xmlns:a16="http://schemas.microsoft.com/office/drawing/2014/main" id="{AB494EB7-A862-4B6E-B4CE-4E4D151396B7}"/>
            </a:ext>
          </a:extLst>
        </xdr:cNvPr>
        <xdr:cNvSpPr/>
      </xdr:nvSpPr>
      <xdr:spPr>
        <a:xfrm>
          <a:off x="419468138"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360</xdr:col>
      <xdr:colOff>649911</xdr:colOff>
      <xdr:row>1</xdr:row>
      <xdr:rowOff>59690</xdr:rowOff>
    </xdr:from>
    <xdr:to>
      <xdr:col>362</xdr:col>
      <xdr:colOff>22475</xdr:colOff>
      <xdr:row>1</xdr:row>
      <xdr:rowOff>553466</xdr:rowOff>
    </xdr:to>
    <xdr:sp macro="" textlink="">
      <xdr:nvSpPr>
        <xdr:cNvPr id="1034" name="B IHSS SERV PAGE">
          <a:hlinkClick xmlns:r="http://schemas.openxmlformats.org/officeDocument/2006/relationships" r:id="rId13" tooltip="IHSS Services Page (Current)"/>
          <a:extLst>
            <a:ext uri="{FF2B5EF4-FFF2-40B4-BE49-F238E27FC236}">
              <a16:creationId xmlns:a16="http://schemas.microsoft.com/office/drawing/2014/main" id="{3942CCEF-B537-4CFB-9D2B-17C61F252283}"/>
            </a:ext>
          </a:extLst>
        </xdr:cNvPr>
        <xdr:cNvSpPr/>
      </xdr:nvSpPr>
      <xdr:spPr>
        <a:xfrm>
          <a:off x="422897254"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362</xdr:col>
      <xdr:colOff>62434</xdr:colOff>
      <xdr:row>1</xdr:row>
      <xdr:rowOff>59690</xdr:rowOff>
    </xdr:from>
    <xdr:to>
      <xdr:col>363</xdr:col>
      <xdr:colOff>178089</xdr:colOff>
      <xdr:row>1</xdr:row>
      <xdr:rowOff>553466</xdr:rowOff>
    </xdr:to>
    <xdr:sp macro="" textlink="">
      <xdr:nvSpPr>
        <xdr:cNvPr id="1035" name="B AGE PAGE">
          <a:hlinkClick xmlns:r="http://schemas.openxmlformats.org/officeDocument/2006/relationships" r:id="rId2" tooltip="Age &amp; Gender Page (Current)"/>
          <a:extLst>
            <a:ext uri="{FF2B5EF4-FFF2-40B4-BE49-F238E27FC236}">
              <a16:creationId xmlns:a16="http://schemas.microsoft.com/office/drawing/2014/main" id="{0E425E59-620C-4BC4-A0CA-7A7251DF084B}"/>
            </a:ext>
          </a:extLst>
        </xdr:cNvPr>
        <xdr:cNvSpPr/>
      </xdr:nvSpPr>
      <xdr:spPr>
        <a:xfrm>
          <a:off x="424051511"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354</xdr:col>
      <xdr:colOff>188355</xdr:colOff>
      <xdr:row>1</xdr:row>
      <xdr:rowOff>59690</xdr:rowOff>
    </xdr:from>
    <xdr:to>
      <xdr:col>355</xdr:col>
      <xdr:colOff>406880</xdr:colOff>
      <xdr:row>1</xdr:row>
      <xdr:rowOff>553466</xdr:rowOff>
    </xdr:to>
    <xdr:sp macro="" textlink="">
      <xdr:nvSpPr>
        <xdr:cNvPr id="1036" name="B HOME PAGE">
          <a:hlinkClick xmlns:r="http://schemas.openxmlformats.org/officeDocument/2006/relationships" r:id="rId3" tooltip="Back to Dashboard Page"/>
          <a:extLst>
            <a:ext uri="{FF2B5EF4-FFF2-40B4-BE49-F238E27FC236}">
              <a16:creationId xmlns:a16="http://schemas.microsoft.com/office/drawing/2014/main" id="{F5F9CFE7-CB75-44E2-B9C4-CE81166C9F8E}"/>
            </a:ext>
          </a:extLst>
        </xdr:cNvPr>
        <xdr:cNvSpPr/>
      </xdr:nvSpPr>
      <xdr:spPr>
        <a:xfrm>
          <a:off x="417155179"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355</xdr:col>
      <xdr:colOff>477954</xdr:colOff>
      <xdr:row>1</xdr:row>
      <xdr:rowOff>59690</xdr:rowOff>
    </xdr:from>
    <xdr:to>
      <xdr:col>356</xdr:col>
      <xdr:colOff>672489</xdr:colOff>
      <xdr:row>1</xdr:row>
      <xdr:rowOff>553466</xdr:rowOff>
    </xdr:to>
    <xdr:sp macro="" textlink="">
      <xdr:nvSpPr>
        <xdr:cNvPr id="1037" name="B GEN DATA PAGE">
          <a:hlinkClick xmlns:r="http://schemas.openxmlformats.org/officeDocument/2006/relationships" r:id="rId4" tooltip="Back to General Data Page"/>
          <a:extLst>
            <a:ext uri="{FF2B5EF4-FFF2-40B4-BE49-F238E27FC236}">
              <a16:creationId xmlns:a16="http://schemas.microsoft.com/office/drawing/2014/main" id="{453923E0-01C3-4570-8EA6-8B9780CA834A}"/>
            </a:ext>
          </a:extLst>
        </xdr:cNvPr>
        <xdr:cNvSpPr/>
      </xdr:nvSpPr>
      <xdr:spPr>
        <a:xfrm>
          <a:off x="418296101"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358</xdr:col>
      <xdr:colOff>60342</xdr:colOff>
      <xdr:row>1</xdr:row>
      <xdr:rowOff>59690</xdr:rowOff>
    </xdr:from>
    <xdr:to>
      <xdr:col>359</xdr:col>
      <xdr:colOff>291568</xdr:colOff>
      <xdr:row>1</xdr:row>
      <xdr:rowOff>553466</xdr:rowOff>
    </xdr:to>
    <xdr:sp macro="" textlink="">
      <xdr:nvSpPr>
        <xdr:cNvPr id="1038" name="B ABD PAGE">
          <a:hlinkClick xmlns:r="http://schemas.openxmlformats.org/officeDocument/2006/relationships" r:id="rId5" tooltip="Aged, Blind, or Disabled Page (Current)"/>
          <a:extLst>
            <a:ext uri="{FF2B5EF4-FFF2-40B4-BE49-F238E27FC236}">
              <a16:creationId xmlns:a16="http://schemas.microsoft.com/office/drawing/2014/main" id="{8D8FEFA6-9380-4073-91C5-E5497556B999}"/>
            </a:ext>
          </a:extLst>
        </xdr:cNvPr>
        <xdr:cNvSpPr/>
      </xdr:nvSpPr>
      <xdr:spPr>
        <a:xfrm>
          <a:off x="420579214"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352</xdr:col>
      <xdr:colOff>764897</xdr:colOff>
      <xdr:row>1</xdr:row>
      <xdr:rowOff>59690</xdr:rowOff>
    </xdr:from>
    <xdr:to>
      <xdr:col>354</xdr:col>
      <xdr:colOff>99501</xdr:colOff>
      <xdr:row>1</xdr:row>
      <xdr:rowOff>553466</xdr:rowOff>
    </xdr:to>
    <xdr:sp macro="" textlink="">
      <xdr:nvSpPr>
        <xdr:cNvPr id="1039" name="B GEN DATA PAGE">
          <a:hlinkClick xmlns:r="http://schemas.openxmlformats.org/officeDocument/2006/relationships" r:id="rId6" tooltip="Back to Navigation Page"/>
          <a:extLst>
            <a:ext uri="{FF2B5EF4-FFF2-40B4-BE49-F238E27FC236}">
              <a16:creationId xmlns:a16="http://schemas.microsoft.com/office/drawing/2014/main" id="{B8C9D627-987B-409F-9A0B-6260167B170D}"/>
            </a:ext>
          </a:extLst>
        </xdr:cNvPr>
        <xdr:cNvSpPr/>
      </xdr:nvSpPr>
      <xdr:spPr>
        <a:xfrm>
          <a:off x="416009177"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367</xdr:col>
      <xdr:colOff>174476</xdr:colOff>
      <xdr:row>1</xdr:row>
      <xdr:rowOff>59690</xdr:rowOff>
    </xdr:from>
    <xdr:to>
      <xdr:col>368</xdr:col>
      <xdr:colOff>380319</xdr:colOff>
      <xdr:row>1</xdr:row>
      <xdr:rowOff>557276</xdr:rowOff>
    </xdr:to>
    <xdr:sp macro="" textlink="">
      <xdr:nvSpPr>
        <xdr:cNvPr id="1040" name="B ALL DATA PAGE">
          <a:hlinkClick xmlns:r="http://schemas.openxmlformats.org/officeDocument/2006/relationships" r:id="rId7" tooltip="Back to All Data Page"/>
          <a:extLst>
            <a:ext uri="{FF2B5EF4-FFF2-40B4-BE49-F238E27FC236}">
              <a16:creationId xmlns:a16="http://schemas.microsoft.com/office/drawing/2014/main" id="{39B3D6D2-C1F3-41C8-B329-77027291BD33}"/>
            </a:ext>
          </a:extLst>
        </xdr:cNvPr>
        <xdr:cNvSpPr/>
      </xdr:nvSpPr>
      <xdr:spPr>
        <a:xfrm>
          <a:off x="428627178"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365</xdr:col>
      <xdr:colOff>759054</xdr:colOff>
      <xdr:row>1</xdr:row>
      <xdr:rowOff>59690</xdr:rowOff>
    </xdr:from>
    <xdr:to>
      <xdr:col>367</xdr:col>
      <xdr:colOff>100857</xdr:colOff>
      <xdr:row>1</xdr:row>
      <xdr:rowOff>553466</xdr:rowOff>
    </xdr:to>
    <xdr:sp macro="" textlink="">
      <xdr:nvSpPr>
        <xdr:cNvPr id="1041" name="B TERMS PAGE">
          <a:hlinkClick xmlns:r="http://schemas.openxmlformats.org/officeDocument/2006/relationships" r:id="rId8" tooltip="Back to Appendix &amp; Terms Page"/>
          <a:extLst>
            <a:ext uri="{FF2B5EF4-FFF2-40B4-BE49-F238E27FC236}">
              <a16:creationId xmlns:a16="http://schemas.microsoft.com/office/drawing/2014/main" id="{C786DB02-D448-43DB-8F00-1D2F31E48F39}"/>
            </a:ext>
          </a:extLst>
        </xdr:cNvPr>
        <xdr:cNvSpPr/>
      </xdr:nvSpPr>
      <xdr:spPr>
        <a:xfrm>
          <a:off x="427494294"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364</xdr:col>
      <xdr:colOff>559082</xdr:colOff>
      <xdr:row>1</xdr:row>
      <xdr:rowOff>59690</xdr:rowOff>
    </xdr:from>
    <xdr:to>
      <xdr:col>365</xdr:col>
      <xdr:colOff>686287</xdr:colOff>
      <xdr:row>1</xdr:row>
      <xdr:rowOff>553466</xdr:rowOff>
    </xdr:to>
    <xdr:sp macro="" textlink="">
      <xdr:nvSpPr>
        <xdr:cNvPr id="1042" name="B PROV DET PAGE">
          <a:hlinkClick xmlns:r="http://schemas.openxmlformats.org/officeDocument/2006/relationships" r:id="rId9" tooltip="Back to Provider Page"/>
          <a:extLst>
            <a:ext uri="{FF2B5EF4-FFF2-40B4-BE49-F238E27FC236}">
              <a16:creationId xmlns:a16="http://schemas.microsoft.com/office/drawing/2014/main" id="{41A4C1C2-5ECF-4610-86A6-CF83BC807DA1}"/>
            </a:ext>
          </a:extLst>
        </xdr:cNvPr>
        <xdr:cNvSpPr/>
      </xdr:nvSpPr>
      <xdr:spPr>
        <a:xfrm>
          <a:off x="426351135"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359</xdr:col>
      <xdr:colOff>366452</xdr:colOff>
      <xdr:row>1</xdr:row>
      <xdr:rowOff>59690</xdr:rowOff>
    </xdr:from>
    <xdr:to>
      <xdr:col>360</xdr:col>
      <xdr:colOff>569312</xdr:colOff>
      <xdr:row>1</xdr:row>
      <xdr:rowOff>553466</xdr:rowOff>
    </xdr:to>
    <xdr:sp macro="" textlink="">
      <xdr:nvSpPr>
        <xdr:cNvPr id="1043" name="B IHSS PROG PAGE">
          <a:hlinkClick xmlns:r="http://schemas.openxmlformats.org/officeDocument/2006/relationships" r:id="rId10" tooltip="Back to Program Equity Page"/>
          <a:extLst>
            <a:ext uri="{FF2B5EF4-FFF2-40B4-BE49-F238E27FC236}">
              <a16:creationId xmlns:a16="http://schemas.microsoft.com/office/drawing/2014/main" id="{5EC5CB8E-2E94-4F30-B547-9AA9CAC77779}"/>
            </a:ext>
          </a:extLst>
        </xdr:cNvPr>
        <xdr:cNvSpPr/>
      </xdr:nvSpPr>
      <xdr:spPr>
        <a:xfrm>
          <a:off x="421750617"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363</xdr:col>
      <xdr:colOff>252973</xdr:colOff>
      <xdr:row>1</xdr:row>
      <xdr:rowOff>59690</xdr:rowOff>
    </xdr:from>
    <xdr:to>
      <xdr:col>364</xdr:col>
      <xdr:colOff>483190</xdr:colOff>
      <xdr:row>1</xdr:row>
      <xdr:rowOff>553466</xdr:rowOff>
    </xdr:to>
    <xdr:sp macro="" textlink="">
      <xdr:nvSpPr>
        <xdr:cNvPr id="1044" name="B ETHNICITY PAGE">
          <a:hlinkClick xmlns:r="http://schemas.openxmlformats.org/officeDocument/2006/relationships" r:id="rId11" tooltip="Back to Ethnicity &amp; Language Page"/>
          <a:extLst>
            <a:ext uri="{FF2B5EF4-FFF2-40B4-BE49-F238E27FC236}">
              <a16:creationId xmlns:a16="http://schemas.microsoft.com/office/drawing/2014/main" id="{677F8243-04C3-4072-92BA-B0AF656B3702}"/>
            </a:ext>
          </a:extLst>
        </xdr:cNvPr>
        <xdr:cNvSpPr/>
      </xdr:nvSpPr>
      <xdr:spPr>
        <a:xfrm>
          <a:off x="425178463"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356</xdr:col>
      <xdr:colOff>760073</xdr:colOff>
      <xdr:row>1</xdr:row>
      <xdr:rowOff>59690</xdr:rowOff>
    </xdr:from>
    <xdr:to>
      <xdr:col>358</xdr:col>
      <xdr:colOff>22288</xdr:colOff>
      <xdr:row>1</xdr:row>
      <xdr:rowOff>553466</xdr:rowOff>
    </xdr:to>
    <xdr:sp macro="" textlink="">
      <xdr:nvSpPr>
        <xdr:cNvPr id="1045" name="B GEN DATA PAGE">
          <a:hlinkClick xmlns:r="http://schemas.openxmlformats.org/officeDocument/2006/relationships" r:id="rId12" tooltip="IHSS Applicants Page (Current)"/>
          <a:extLst>
            <a:ext uri="{FF2B5EF4-FFF2-40B4-BE49-F238E27FC236}">
              <a16:creationId xmlns:a16="http://schemas.microsoft.com/office/drawing/2014/main" id="{B77F71C3-7956-4552-8D1E-0E2E95329A39}"/>
            </a:ext>
          </a:extLst>
        </xdr:cNvPr>
        <xdr:cNvSpPr/>
      </xdr:nvSpPr>
      <xdr:spPr>
        <a:xfrm>
          <a:off x="419452263"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360</xdr:col>
      <xdr:colOff>634036</xdr:colOff>
      <xdr:row>1</xdr:row>
      <xdr:rowOff>59690</xdr:rowOff>
    </xdr:from>
    <xdr:to>
      <xdr:col>362</xdr:col>
      <xdr:colOff>250</xdr:colOff>
      <xdr:row>1</xdr:row>
      <xdr:rowOff>553466</xdr:rowOff>
    </xdr:to>
    <xdr:sp macro="" textlink="">
      <xdr:nvSpPr>
        <xdr:cNvPr id="1046" name="B IHSS SERV PAGE">
          <a:hlinkClick xmlns:r="http://schemas.openxmlformats.org/officeDocument/2006/relationships" r:id="rId13" tooltip="IHSS Services Page (Current)"/>
          <a:extLst>
            <a:ext uri="{FF2B5EF4-FFF2-40B4-BE49-F238E27FC236}">
              <a16:creationId xmlns:a16="http://schemas.microsoft.com/office/drawing/2014/main" id="{B8BE426E-2980-43F5-A442-D2C33D0EDF51}"/>
            </a:ext>
          </a:extLst>
        </xdr:cNvPr>
        <xdr:cNvSpPr/>
      </xdr:nvSpPr>
      <xdr:spPr>
        <a:xfrm>
          <a:off x="422881379"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380</xdr:col>
      <xdr:colOff>612557</xdr:colOff>
      <xdr:row>1</xdr:row>
      <xdr:rowOff>59690</xdr:rowOff>
    </xdr:from>
    <xdr:to>
      <xdr:col>381</xdr:col>
      <xdr:colOff>784091</xdr:colOff>
      <xdr:row>1</xdr:row>
      <xdr:rowOff>553466</xdr:rowOff>
    </xdr:to>
    <xdr:sp macro="" textlink="">
      <xdr:nvSpPr>
        <xdr:cNvPr id="1047" name="B AGE PAGE">
          <a:hlinkClick xmlns:r="http://schemas.openxmlformats.org/officeDocument/2006/relationships" r:id="rId2" tooltip="Age &amp; Gender Page (Current)"/>
          <a:extLst>
            <a:ext uri="{FF2B5EF4-FFF2-40B4-BE49-F238E27FC236}">
              <a16:creationId xmlns:a16="http://schemas.microsoft.com/office/drawing/2014/main" id="{BFDD518A-75B2-43D5-8524-CA626007D91C}"/>
            </a:ext>
          </a:extLst>
        </xdr:cNvPr>
        <xdr:cNvSpPr/>
      </xdr:nvSpPr>
      <xdr:spPr>
        <a:xfrm>
          <a:off x="440348786"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372</xdr:col>
      <xdr:colOff>650001</xdr:colOff>
      <xdr:row>1</xdr:row>
      <xdr:rowOff>59690</xdr:rowOff>
    </xdr:from>
    <xdr:to>
      <xdr:col>374</xdr:col>
      <xdr:colOff>2386</xdr:colOff>
      <xdr:row>1</xdr:row>
      <xdr:rowOff>553466</xdr:rowOff>
    </xdr:to>
    <xdr:sp macro="" textlink="">
      <xdr:nvSpPr>
        <xdr:cNvPr id="1048" name="B HOME PAGE">
          <a:hlinkClick xmlns:r="http://schemas.openxmlformats.org/officeDocument/2006/relationships" r:id="rId3" tooltip="Back to Dashboard Page"/>
          <a:extLst>
            <a:ext uri="{FF2B5EF4-FFF2-40B4-BE49-F238E27FC236}">
              <a16:creationId xmlns:a16="http://schemas.microsoft.com/office/drawing/2014/main" id="{1346ACFA-D91C-4855-A9BE-42418EA6ADA7}"/>
            </a:ext>
          </a:extLst>
        </xdr:cNvPr>
        <xdr:cNvSpPr/>
      </xdr:nvSpPr>
      <xdr:spPr>
        <a:xfrm>
          <a:off x="433452454"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374</xdr:col>
      <xdr:colOff>59490</xdr:colOff>
      <xdr:row>1</xdr:row>
      <xdr:rowOff>59690</xdr:rowOff>
    </xdr:from>
    <xdr:to>
      <xdr:col>375</xdr:col>
      <xdr:colOff>266302</xdr:colOff>
      <xdr:row>1</xdr:row>
      <xdr:rowOff>553466</xdr:rowOff>
    </xdr:to>
    <xdr:sp macro="" textlink="">
      <xdr:nvSpPr>
        <xdr:cNvPr id="1049" name="B GEN DATA PAGE">
          <a:hlinkClick xmlns:r="http://schemas.openxmlformats.org/officeDocument/2006/relationships" r:id="rId4" tooltip="Back to General Data Page"/>
          <a:extLst>
            <a:ext uri="{FF2B5EF4-FFF2-40B4-BE49-F238E27FC236}">
              <a16:creationId xmlns:a16="http://schemas.microsoft.com/office/drawing/2014/main" id="{27E67B86-E60F-4FB2-9AD2-B0861E466BC1}"/>
            </a:ext>
          </a:extLst>
        </xdr:cNvPr>
        <xdr:cNvSpPr/>
      </xdr:nvSpPr>
      <xdr:spPr>
        <a:xfrm>
          <a:off x="434593376" y="58420"/>
          <a:ext cx="10723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376</xdr:col>
      <xdr:colOff>607784</xdr:colOff>
      <xdr:row>1</xdr:row>
      <xdr:rowOff>59690</xdr:rowOff>
    </xdr:from>
    <xdr:to>
      <xdr:col>378</xdr:col>
      <xdr:colOff>2078</xdr:colOff>
      <xdr:row>1</xdr:row>
      <xdr:rowOff>553466</xdr:rowOff>
    </xdr:to>
    <xdr:sp macro="" textlink="">
      <xdr:nvSpPr>
        <xdr:cNvPr id="1050" name="B ABD PAGE">
          <a:hlinkClick xmlns:r="http://schemas.openxmlformats.org/officeDocument/2006/relationships" r:id="rId5" tooltip="Aged, Blind, or Disabled Page (Current)"/>
          <a:extLst>
            <a:ext uri="{FF2B5EF4-FFF2-40B4-BE49-F238E27FC236}">
              <a16:creationId xmlns:a16="http://schemas.microsoft.com/office/drawing/2014/main" id="{C6D38ED1-A3D6-4BAC-8702-EAD518E08E91}"/>
            </a:ext>
          </a:extLst>
        </xdr:cNvPr>
        <xdr:cNvSpPr/>
      </xdr:nvSpPr>
      <xdr:spPr>
        <a:xfrm>
          <a:off x="436876489"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371</xdr:col>
      <xdr:colOff>363930</xdr:colOff>
      <xdr:row>1</xdr:row>
      <xdr:rowOff>59690</xdr:rowOff>
    </xdr:from>
    <xdr:to>
      <xdr:col>372</xdr:col>
      <xdr:colOff>570037</xdr:colOff>
      <xdr:row>1</xdr:row>
      <xdr:rowOff>553466</xdr:rowOff>
    </xdr:to>
    <xdr:sp macro="" textlink="">
      <xdr:nvSpPr>
        <xdr:cNvPr id="1051" name="B GEN DATA PAGE">
          <a:hlinkClick xmlns:r="http://schemas.openxmlformats.org/officeDocument/2006/relationships" r:id="rId6" tooltip="Back to Navigation Page"/>
          <a:extLst>
            <a:ext uri="{FF2B5EF4-FFF2-40B4-BE49-F238E27FC236}">
              <a16:creationId xmlns:a16="http://schemas.microsoft.com/office/drawing/2014/main" id="{D46FF500-72B4-41F5-8B92-6066710815BA}"/>
            </a:ext>
          </a:extLst>
        </xdr:cNvPr>
        <xdr:cNvSpPr/>
      </xdr:nvSpPr>
      <xdr:spPr>
        <a:xfrm>
          <a:off x="432306452"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386</xdr:col>
      <xdr:colOff>1968</xdr:colOff>
      <xdr:row>1</xdr:row>
      <xdr:rowOff>59690</xdr:rowOff>
    </xdr:from>
    <xdr:to>
      <xdr:col>387</xdr:col>
      <xdr:colOff>212326</xdr:colOff>
      <xdr:row>1</xdr:row>
      <xdr:rowOff>557276</xdr:rowOff>
    </xdr:to>
    <xdr:sp macro="" textlink="">
      <xdr:nvSpPr>
        <xdr:cNvPr id="1052" name="B ALL DATA PAGE">
          <a:hlinkClick xmlns:r="http://schemas.openxmlformats.org/officeDocument/2006/relationships" r:id="rId7" tooltip="Back to All Data Page"/>
          <a:extLst>
            <a:ext uri="{FF2B5EF4-FFF2-40B4-BE49-F238E27FC236}">
              <a16:creationId xmlns:a16="http://schemas.microsoft.com/office/drawing/2014/main" id="{0002C2BA-C40C-49CE-A04D-6EB0E06E06D0}"/>
            </a:ext>
          </a:extLst>
        </xdr:cNvPr>
        <xdr:cNvSpPr/>
      </xdr:nvSpPr>
      <xdr:spPr>
        <a:xfrm>
          <a:off x="444924453"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384</xdr:col>
      <xdr:colOff>558607</xdr:colOff>
      <xdr:row>1</xdr:row>
      <xdr:rowOff>59690</xdr:rowOff>
    </xdr:from>
    <xdr:to>
      <xdr:col>385</xdr:col>
      <xdr:colOff>764009</xdr:colOff>
      <xdr:row>1</xdr:row>
      <xdr:rowOff>553466</xdr:rowOff>
    </xdr:to>
    <xdr:sp macro="" textlink="">
      <xdr:nvSpPr>
        <xdr:cNvPr id="1053" name="B TERMS PAGE">
          <a:hlinkClick xmlns:r="http://schemas.openxmlformats.org/officeDocument/2006/relationships" r:id="rId8" tooltip="Back to Appendix &amp; Terms Page"/>
          <a:extLst>
            <a:ext uri="{FF2B5EF4-FFF2-40B4-BE49-F238E27FC236}">
              <a16:creationId xmlns:a16="http://schemas.microsoft.com/office/drawing/2014/main" id="{0BDCBA73-2A96-4491-AF08-9BE0866FEF97}"/>
            </a:ext>
          </a:extLst>
        </xdr:cNvPr>
        <xdr:cNvSpPr/>
      </xdr:nvSpPr>
      <xdr:spPr>
        <a:xfrm>
          <a:off x="443791569"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383</xdr:col>
      <xdr:colOff>289348</xdr:colOff>
      <xdr:row>1</xdr:row>
      <xdr:rowOff>59690</xdr:rowOff>
    </xdr:from>
    <xdr:to>
      <xdr:col>384</xdr:col>
      <xdr:colOff>494730</xdr:colOff>
      <xdr:row>1</xdr:row>
      <xdr:rowOff>553466</xdr:rowOff>
    </xdr:to>
    <xdr:sp macro="" textlink="">
      <xdr:nvSpPr>
        <xdr:cNvPr id="1054" name="B PROV DET PAGE">
          <a:hlinkClick xmlns:r="http://schemas.openxmlformats.org/officeDocument/2006/relationships" r:id="rId9" tooltip="Back to Provider Page"/>
          <a:extLst>
            <a:ext uri="{FF2B5EF4-FFF2-40B4-BE49-F238E27FC236}">
              <a16:creationId xmlns:a16="http://schemas.microsoft.com/office/drawing/2014/main" id="{23B2C167-0162-4842-92F0-95880998DEC2}"/>
            </a:ext>
          </a:extLst>
        </xdr:cNvPr>
        <xdr:cNvSpPr/>
      </xdr:nvSpPr>
      <xdr:spPr>
        <a:xfrm>
          <a:off x="442648410"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378</xdr:col>
      <xdr:colOff>60452</xdr:colOff>
      <xdr:row>1</xdr:row>
      <xdr:rowOff>59690</xdr:rowOff>
    </xdr:from>
    <xdr:to>
      <xdr:col>379</xdr:col>
      <xdr:colOff>251037</xdr:colOff>
      <xdr:row>1</xdr:row>
      <xdr:rowOff>553466</xdr:rowOff>
    </xdr:to>
    <xdr:sp macro="" textlink="">
      <xdr:nvSpPr>
        <xdr:cNvPr id="1055" name="B IHSS PROG PAGE">
          <a:hlinkClick xmlns:r="http://schemas.openxmlformats.org/officeDocument/2006/relationships" r:id="rId10" tooltip="Back to Program Equity Page"/>
          <a:extLst>
            <a:ext uri="{FF2B5EF4-FFF2-40B4-BE49-F238E27FC236}">
              <a16:creationId xmlns:a16="http://schemas.microsoft.com/office/drawing/2014/main" id="{6ECE6D28-86C3-4D1C-958A-0EA263E8AD63}"/>
            </a:ext>
          </a:extLst>
        </xdr:cNvPr>
        <xdr:cNvSpPr/>
      </xdr:nvSpPr>
      <xdr:spPr>
        <a:xfrm>
          <a:off x="438047892"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382</xdr:col>
      <xdr:colOff>455</xdr:colOff>
      <xdr:row>1</xdr:row>
      <xdr:rowOff>59690</xdr:rowOff>
    </xdr:from>
    <xdr:to>
      <xdr:col>383</xdr:col>
      <xdr:colOff>211904</xdr:colOff>
      <xdr:row>1</xdr:row>
      <xdr:rowOff>553466</xdr:rowOff>
    </xdr:to>
    <xdr:sp macro="" textlink="">
      <xdr:nvSpPr>
        <xdr:cNvPr id="1056" name="B ETHNICITY PAGE">
          <a:hlinkClick xmlns:r="http://schemas.openxmlformats.org/officeDocument/2006/relationships" r:id="rId11" tooltip="Back to Ethnicity &amp; Language Page"/>
          <a:extLst>
            <a:ext uri="{FF2B5EF4-FFF2-40B4-BE49-F238E27FC236}">
              <a16:creationId xmlns:a16="http://schemas.microsoft.com/office/drawing/2014/main" id="{723FAEE9-A5A5-410F-A563-C920FE486050}"/>
            </a:ext>
          </a:extLst>
        </xdr:cNvPr>
        <xdr:cNvSpPr/>
      </xdr:nvSpPr>
      <xdr:spPr>
        <a:xfrm>
          <a:off x="441475738"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375</xdr:col>
      <xdr:colOff>330603</xdr:colOff>
      <xdr:row>1</xdr:row>
      <xdr:rowOff>59690</xdr:rowOff>
    </xdr:from>
    <xdr:to>
      <xdr:col>376</xdr:col>
      <xdr:colOff>557030</xdr:colOff>
      <xdr:row>1</xdr:row>
      <xdr:rowOff>553466</xdr:rowOff>
    </xdr:to>
    <xdr:sp macro="" textlink="">
      <xdr:nvSpPr>
        <xdr:cNvPr id="1057" name="B GEN DATA PAGE">
          <a:hlinkClick xmlns:r="http://schemas.openxmlformats.org/officeDocument/2006/relationships" r:id="rId12" tooltip="IHSS Applicants Page (Current)"/>
          <a:extLst>
            <a:ext uri="{FF2B5EF4-FFF2-40B4-BE49-F238E27FC236}">
              <a16:creationId xmlns:a16="http://schemas.microsoft.com/office/drawing/2014/main" id="{DADA76C8-CB03-453C-A5F8-F4FADFAF3CCD}"/>
            </a:ext>
          </a:extLst>
        </xdr:cNvPr>
        <xdr:cNvSpPr/>
      </xdr:nvSpPr>
      <xdr:spPr>
        <a:xfrm>
          <a:off x="435749538"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379</xdr:col>
      <xdr:colOff>288386</xdr:colOff>
      <xdr:row>1</xdr:row>
      <xdr:rowOff>59690</xdr:rowOff>
    </xdr:from>
    <xdr:to>
      <xdr:col>380</xdr:col>
      <xdr:colOff>533863</xdr:colOff>
      <xdr:row>1</xdr:row>
      <xdr:rowOff>553466</xdr:rowOff>
    </xdr:to>
    <xdr:sp macro="" textlink="">
      <xdr:nvSpPr>
        <xdr:cNvPr id="1058" name="B IHSS SERV PAGE">
          <a:hlinkClick xmlns:r="http://schemas.openxmlformats.org/officeDocument/2006/relationships" r:id="rId13" tooltip="IHSS Services Page (Current)"/>
          <a:extLst>
            <a:ext uri="{FF2B5EF4-FFF2-40B4-BE49-F238E27FC236}">
              <a16:creationId xmlns:a16="http://schemas.microsoft.com/office/drawing/2014/main" id="{926C94E4-B92F-4AED-89A3-3D21B75DCAFF}"/>
            </a:ext>
          </a:extLst>
        </xdr:cNvPr>
        <xdr:cNvSpPr/>
      </xdr:nvSpPr>
      <xdr:spPr>
        <a:xfrm>
          <a:off x="439178654"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380</xdr:col>
      <xdr:colOff>571282</xdr:colOff>
      <xdr:row>1</xdr:row>
      <xdr:rowOff>59690</xdr:rowOff>
    </xdr:from>
    <xdr:to>
      <xdr:col>381</xdr:col>
      <xdr:colOff>749166</xdr:colOff>
      <xdr:row>1</xdr:row>
      <xdr:rowOff>553466</xdr:rowOff>
    </xdr:to>
    <xdr:sp macro="" textlink="">
      <xdr:nvSpPr>
        <xdr:cNvPr id="1059" name="B AGE PAGE">
          <a:hlinkClick xmlns:r="http://schemas.openxmlformats.org/officeDocument/2006/relationships" r:id="rId2" tooltip="Age &amp; Gender Page (Current)"/>
          <a:extLst>
            <a:ext uri="{FF2B5EF4-FFF2-40B4-BE49-F238E27FC236}">
              <a16:creationId xmlns:a16="http://schemas.microsoft.com/office/drawing/2014/main" id="{63DE6330-E32F-42F1-81DF-89835640D778}"/>
            </a:ext>
          </a:extLst>
        </xdr:cNvPr>
        <xdr:cNvSpPr/>
      </xdr:nvSpPr>
      <xdr:spPr>
        <a:xfrm>
          <a:off x="440332911"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372</xdr:col>
      <xdr:colOff>634126</xdr:colOff>
      <xdr:row>1</xdr:row>
      <xdr:rowOff>59690</xdr:rowOff>
    </xdr:from>
    <xdr:to>
      <xdr:col>373</xdr:col>
      <xdr:colOff>837411</xdr:colOff>
      <xdr:row>1</xdr:row>
      <xdr:rowOff>553466</xdr:rowOff>
    </xdr:to>
    <xdr:sp macro="" textlink="">
      <xdr:nvSpPr>
        <xdr:cNvPr id="1060" name="B HOME PAGE">
          <a:hlinkClick xmlns:r="http://schemas.openxmlformats.org/officeDocument/2006/relationships" r:id="rId3" tooltip="Back to Dashboard Page"/>
          <a:extLst>
            <a:ext uri="{FF2B5EF4-FFF2-40B4-BE49-F238E27FC236}">
              <a16:creationId xmlns:a16="http://schemas.microsoft.com/office/drawing/2014/main" id="{68B59DD2-F6FA-4FAD-AF8A-A64F4BD8B63E}"/>
            </a:ext>
          </a:extLst>
        </xdr:cNvPr>
        <xdr:cNvSpPr/>
      </xdr:nvSpPr>
      <xdr:spPr>
        <a:xfrm>
          <a:off x="433436579"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374</xdr:col>
      <xdr:colOff>58855</xdr:colOff>
      <xdr:row>1</xdr:row>
      <xdr:rowOff>59690</xdr:rowOff>
    </xdr:from>
    <xdr:to>
      <xdr:col>375</xdr:col>
      <xdr:colOff>253249</xdr:colOff>
      <xdr:row>1</xdr:row>
      <xdr:rowOff>553466</xdr:rowOff>
    </xdr:to>
    <xdr:sp macro="" textlink="">
      <xdr:nvSpPr>
        <xdr:cNvPr id="1061" name="B GEN DATA PAGE">
          <a:hlinkClick xmlns:r="http://schemas.openxmlformats.org/officeDocument/2006/relationships" r:id="rId4" tooltip="Back to General Data Page"/>
          <a:extLst>
            <a:ext uri="{FF2B5EF4-FFF2-40B4-BE49-F238E27FC236}">
              <a16:creationId xmlns:a16="http://schemas.microsoft.com/office/drawing/2014/main" id="{8FBB6F3D-805E-4ADF-976C-2832B392700E}"/>
            </a:ext>
          </a:extLst>
        </xdr:cNvPr>
        <xdr:cNvSpPr/>
      </xdr:nvSpPr>
      <xdr:spPr>
        <a:xfrm>
          <a:off x="434577501"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376</xdr:col>
      <xdr:colOff>570319</xdr:colOff>
      <xdr:row>1</xdr:row>
      <xdr:rowOff>59690</xdr:rowOff>
    </xdr:from>
    <xdr:to>
      <xdr:col>377</xdr:col>
      <xdr:colOff>820593</xdr:colOff>
      <xdr:row>1</xdr:row>
      <xdr:rowOff>553466</xdr:rowOff>
    </xdr:to>
    <xdr:sp macro="" textlink="">
      <xdr:nvSpPr>
        <xdr:cNvPr id="1062" name="B ABD PAGE">
          <a:hlinkClick xmlns:r="http://schemas.openxmlformats.org/officeDocument/2006/relationships" r:id="rId5" tooltip="Aged, Blind, or Disabled Page (Current)"/>
          <a:extLst>
            <a:ext uri="{FF2B5EF4-FFF2-40B4-BE49-F238E27FC236}">
              <a16:creationId xmlns:a16="http://schemas.microsoft.com/office/drawing/2014/main" id="{7978A2B7-AC81-48C1-83AF-AB43B1B602AC}"/>
            </a:ext>
          </a:extLst>
        </xdr:cNvPr>
        <xdr:cNvSpPr/>
      </xdr:nvSpPr>
      <xdr:spPr>
        <a:xfrm>
          <a:off x="436860614"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371</xdr:col>
      <xdr:colOff>364565</xdr:colOff>
      <xdr:row>1</xdr:row>
      <xdr:rowOff>59690</xdr:rowOff>
    </xdr:from>
    <xdr:to>
      <xdr:col>372</xdr:col>
      <xdr:colOff>555432</xdr:colOff>
      <xdr:row>1</xdr:row>
      <xdr:rowOff>553466</xdr:rowOff>
    </xdr:to>
    <xdr:sp macro="" textlink="">
      <xdr:nvSpPr>
        <xdr:cNvPr id="1063" name="B GEN DATA PAGE">
          <a:hlinkClick xmlns:r="http://schemas.openxmlformats.org/officeDocument/2006/relationships" r:id="rId6" tooltip="Back to Navigation Page"/>
          <a:extLst>
            <a:ext uri="{FF2B5EF4-FFF2-40B4-BE49-F238E27FC236}">
              <a16:creationId xmlns:a16="http://schemas.microsoft.com/office/drawing/2014/main" id="{EBA18B62-DCDE-4C5E-A3CF-93BE9F29C897}"/>
            </a:ext>
          </a:extLst>
        </xdr:cNvPr>
        <xdr:cNvSpPr/>
      </xdr:nvSpPr>
      <xdr:spPr>
        <a:xfrm>
          <a:off x="432290577"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385</xdr:col>
      <xdr:colOff>820483</xdr:colOff>
      <xdr:row>1</xdr:row>
      <xdr:rowOff>59690</xdr:rowOff>
    </xdr:from>
    <xdr:to>
      <xdr:col>387</xdr:col>
      <xdr:colOff>176131</xdr:colOff>
      <xdr:row>1</xdr:row>
      <xdr:rowOff>557276</xdr:rowOff>
    </xdr:to>
    <xdr:sp macro="" textlink="">
      <xdr:nvSpPr>
        <xdr:cNvPr id="1064" name="B ALL DATA PAGE">
          <a:hlinkClick xmlns:r="http://schemas.openxmlformats.org/officeDocument/2006/relationships" r:id="rId7" tooltip="Back to All Data Page"/>
          <a:extLst>
            <a:ext uri="{FF2B5EF4-FFF2-40B4-BE49-F238E27FC236}">
              <a16:creationId xmlns:a16="http://schemas.microsoft.com/office/drawing/2014/main" id="{3D489210-1A80-4726-A4EF-EF6085D301E5}"/>
            </a:ext>
          </a:extLst>
        </xdr:cNvPr>
        <xdr:cNvSpPr/>
      </xdr:nvSpPr>
      <xdr:spPr>
        <a:xfrm>
          <a:off x="444908578"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384</xdr:col>
      <xdr:colOff>555432</xdr:colOff>
      <xdr:row>1</xdr:row>
      <xdr:rowOff>59690</xdr:rowOff>
    </xdr:from>
    <xdr:to>
      <xdr:col>385</xdr:col>
      <xdr:colOff>746864</xdr:colOff>
      <xdr:row>1</xdr:row>
      <xdr:rowOff>553466</xdr:rowOff>
    </xdr:to>
    <xdr:sp macro="" textlink="">
      <xdr:nvSpPr>
        <xdr:cNvPr id="1065" name="B TERMS PAGE">
          <a:hlinkClick xmlns:r="http://schemas.openxmlformats.org/officeDocument/2006/relationships" r:id="rId8" tooltip="Back to Appendix &amp; Terms Page"/>
          <a:extLst>
            <a:ext uri="{FF2B5EF4-FFF2-40B4-BE49-F238E27FC236}">
              <a16:creationId xmlns:a16="http://schemas.microsoft.com/office/drawing/2014/main" id="{81ABFDFD-CBBB-4D42-ABDD-A4655F1D6D53}"/>
            </a:ext>
          </a:extLst>
        </xdr:cNvPr>
        <xdr:cNvSpPr/>
      </xdr:nvSpPr>
      <xdr:spPr>
        <a:xfrm>
          <a:off x="443775694"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383</xdr:col>
      <xdr:colOff>291253</xdr:colOff>
      <xdr:row>1</xdr:row>
      <xdr:rowOff>59690</xdr:rowOff>
    </xdr:from>
    <xdr:to>
      <xdr:col>384</xdr:col>
      <xdr:colOff>480125</xdr:colOff>
      <xdr:row>1</xdr:row>
      <xdr:rowOff>553466</xdr:rowOff>
    </xdr:to>
    <xdr:sp macro="" textlink="">
      <xdr:nvSpPr>
        <xdr:cNvPr id="1066" name="B PROV DET PAGE">
          <a:hlinkClick xmlns:r="http://schemas.openxmlformats.org/officeDocument/2006/relationships" r:id="rId9" tooltip="Back to Provider Page"/>
          <a:extLst>
            <a:ext uri="{FF2B5EF4-FFF2-40B4-BE49-F238E27FC236}">
              <a16:creationId xmlns:a16="http://schemas.microsoft.com/office/drawing/2014/main" id="{00198085-A819-45F0-A4CA-0D6529C6A911}"/>
            </a:ext>
          </a:extLst>
        </xdr:cNvPr>
        <xdr:cNvSpPr/>
      </xdr:nvSpPr>
      <xdr:spPr>
        <a:xfrm>
          <a:off x="442632535"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378</xdr:col>
      <xdr:colOff>25527</xdr:colOff>
      <xdr:row>1</xdr:row>
      <xdr:rowOff>59690</xdr:rowOff>
    </xdr:from>
    <xdr:to>
      <xdr:col>379</xdr:col>
      <xdr:colOff>212302</xdr:colOff>
      <xdr:row>1</xdr:row>
      <xdr:rowOff>553466</xdr:rowOff>
    </xdr:to>
    <xdr:sp macro="" textlink="">
      <xdr:nvSpPr>
        <xdr:cNvPr id="1067" name="B IHSS PROG PAGE">
          <a:hlinkClick xmlns:r="http://schemas.openxmlformats.org/officeDocument/2006/relationships" r:id="rId10" tooltip="Back to Program Equity Page"/>
          <a:extLst>
            <a:ext uri="{FF2B5EF4-FFF2-40B4-BE49-F238E27FC236}">
              <a16:creationId xmlns:a16="http://schemas.microsoft.com/office/drawing/2014/main" id="{2B1FC1BB-1F38-499E-9E16-D568621EFA81}"/>
            </a:ext>
          </a:extLst>
        </xdr:cNvPr>
        <xdr:cNvSpPr/>
      </xdr:nvSpPr>
      <xdr:spPr>
        <a:xfrm>
          <a:off x="438032017"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382</xdr:col>
      <xdr:colOff>2360</xdr:colOff>
      <xdr:row>1</xdr:row>
      <xdr:rowOff>59690</xdr:rowOff>
    </xdr:from>
    <xdr:to>
      <xdr:col>383</xdr:col>
      <xdr:colOff>211269</xdr:colOff>
      <xdr:row>1</xdr:row>
      <xdr:rowOff>553466</xdr:rowOff>
    </xdr:to>
    <xdr:sp macro="" textlink="">
      <xdr:nvSpPr>
        <xdr:cNvPr id="1068" name="B ETHNICITY PAGE">
          <a:hlinkClick xmlns:r="http://schemas.openxmlformats.org/officeDocument/2006/relationships" r:id="rId11" tooltip="Back to Ethnicity &amp; Language Page"/>
          <a:extLst>
            <a:ext uri="{FF2B5EF4-FFF2-40B4-BE49-F238E27FC236}">
              <a16:creationId xmlns:a16="http://schemas.microsoft.com/office/drawing/2014/main" id="{B3A41394-71F5-4487-AF96-3200F7FE6803}"/>
            </a:ext>
          </a:extLst>
        </xdr:cNvPr>
        <xdr:cNvSpPr/>
      </xdr:nvSpPr>
      <xdr:spPr>
        <a:xfrm>
          <a:off x="441459863"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375</xdr:col>
      <xdr:colOff>328698</xdr:colOff>
      <xdr:row>1</xdr:row>
      <xdr:rowOff>59690</xdr:rowOff>
    </xdr:from>
    <xdr:to>
      <xdr:col>376</xdr:col>
      <xdr:colOff>536075</xdr:colOff>
      <xdr:row>1</xdr:row>
      <xdr:rowOff>553466</xdr:rowOff>
    </xdr:to>
    <xdr:sp macro="" textlink="">
      <xdr:nvSpPr>
        <xdr:cNvPr id="1069" name="B GEN DATA PAGE">
          <a:hlinkClick xmlns:r="http://schemas.openxmlformats.org/officeDocument/2006/relationships" r:id="rId12" tooltip="IHSS Applicants Page (Current)"/>
          <a:extLst>
            <a:ext uri="{FF2B5EF4-FFF2-40B4-BE49-F238E27FC236}">
              <a16:creationId xmlns:a16="http://schemas.microsoft.com/office/drawing/2014/main" id="{D53999F7-4FED-4AC9-A540-964A5ADFB30C}"/>
            </a:ext>
          </a:extLst>
        </xdr:cNvPr>
        <xdr:cNvSpPr/>
      </xdr:nvSpPr>
      <xdr:spPr>
        <a:xfrm>
          <a:off x="435733663" y="58420"/>
          <a:ext cx="107111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379</xdr:col>
      <xdr:colOff>289021</xdr:colOff>
      <xdr:row>1</xdr:row>
      <xdr:rowOff>59690</xdr:rowOff>
    </xdr:from>
    <xdr:to>
      <xdr:col>380</xdr:col>
      <xdr:colOff>482428</xdr:colOff>
      <xdr:row>1</xdr:row>
      <xdr:rowOff>553466</xdr:rowOff>
    </xdr:to>
    <xdr:sp macro="" textlink="">
      <xdr:nvSpPr>
        <xdr:cNvPr id="1070" name="B IHSS SERV PAGE">
          <a:hlinkClick xmlns:r="http://schemas.openxmlformats.org/officeDocument/2006/relationships" r:id="rId13" tooltip="IHSS Services Page (Current)"/>
          <a:extLst>
            <a:ext uri="{FF2B5EF4-FFF2-40B4-BE49-F238E27FC236}">
              <a16:creationId xmlns:a16="http://schemas.microsoft.com/office/drawing/2014/main" id="{D8609625-C1BE-4D2A-AD88-89B89DF0DAF3}"/>
            </a:ext>
          </a:extLst>
        </xdr:cNvPr>
        <xdr:cNvSpPr/>
      </xdr:nvSpPr>
      <xdr:spPr>
        <a:xfrm>
          <a:off x="439162779"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399</xdr:col>
      <xdr:colOff>532547</xdr:colOff>
      <xdr:row>1</xdr:row>
      <xdr:rowOff>59690</xdr:rowOff>
    </xdr:from>
    <xdr:to>
      <xdr:col>400</xdr:col>
      <xdr:colOff>723132</xdr:colOff>
      <xdr:row>1</xdr:row>
      <xdr:rowOff>553466</xdr:rowOff>
    </xdr:to>
    <xdr:sp macro="" textlink="">
      <xdr:nvSpPr>
        <xdr:cNvPr id="1071" name="B AGE PAGE">
          <a:hlinkClick xmlns:r="http://schemas.openxmlformats.org/officeDocument/2006/relationships" r:id="rId2" tooltip="Age &amp; Gender Page (Current)"/>
          <a:extLst>
            <a:ext uri="{FF2B5EF4-FFF2-40B4-BE49-F238E27FC236}">
              <a16:creationId xmlns:a16="http://schemas.microsoft.com/office/drawing/2014/main" id="{0BE9EC78-315F-4284-A7AE-5571A24B266B}"/>
            </a:ext>
          </a:extLst>
        </xdr:cNvPr>
        <xdr:cNvSpPr/>
      </xdr:nvSpPr>
      <xdr:spPr>
        <a:xfrm>
          <a:off x="456774120"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391</xdr:col>
      <xdr:colOff>568722</xdr:colOff>
      <xdr:row>1</xdr:row>
      <xdr:rowOff>59690</xdr:rowOff>
    </xdr:from>
    <xdr:to>
      <xdr:col>392</xdr:col>
      <xdr:colOff>802486</xdr:colOff>
      <xdr:row>1</xdr:row>
      <xdr:rowOff>553466</xdr:rowOff>
    </xdr:to>
    <xdr:sp macro="" textlink="">
      <xdr:nvSpPr>
        <xdr:cNvPr id="1072" name="B HOME PAGE">
          <a:hlinkClick xmlns:r="http://schemas.openxmlformats.org/officeDocument/2006/relationships" r:id="rId3" tooltip="Back to Dashboard Page"/>
          <a:extLst>
            <a:ext uri="{FF2B5EF4-FFF2-40B4-BE49-F238E27FC236}">
              <a16:creationId xmlns:a16="http://schemas.microsoft.com/office/drawing/2014/main" id="{ECE98C9E-C204-415D-A4C6-63355CCAD900}"/>
            </a:ext>
          </a:extLst>
        </xdr:cNvPr>
        <xdr:cNvSpPr/>
      </xdr:nvSpPr>
      <xdr:spPr>
        <a:xfrm>
          <a:off x="449877788"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392</xdr:col>
      <xdr:colOff>839270</xdr:colOff>
      <xdr:row>1</xdr:row>
      <xdr:rowOff>59690</xdr:rowOff>
    </xdr:from>
    <xdr:to>
      <xdr:col>394</xdr:col>
      <xdr:colOff>215786</xdr:colOff>
      <xdr:row>1</xdr:row>
      <xdr:rowOff>553466</xdr:rowOff>
    </xdr:to>
    <xdr:sp macro="" textlink="">
      <xdr:nvSpPr>
        <xdr:cNvPr id="1073" name="B GEN DATA PAGE">
          <a:hlinkClick xmlns:r="http://schemas.openxmlformats.org/officeDocument/2006/relationships" r:id="rId4" tooltip="Back to General Data Page"/>
          <a:extLst>
            <a:ext uri="{FF2B5EF4-FFF2-40B4-BE49-F238E27FC236}">
              <a16:creationId xmlns:a16="http://schemas.microsoft.com/office/drawing/2014/main" id="{006E5FE9-F59D-4A88-B24F-8D2828FAFC3D}"/>
            </a:ext>
          </a:extLst>
        </xdr:cNvPr>
        <xdr:cNvSpPr/>
      </xdr:nvSpPr>
      <xdr:spPr>
        <a:xfrm>
          <a:off x="451012360" y="58420"/>
          <a:ext cx="10850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395</xdr:col>
      <xdr:colOff>531583</xdr:colOff>
      <xdr:row>1</xdr:row>
      <xdr:rowOff>59690</xdr:rowOff>
    </xdr:from>
    <xdr:to>
      <xdr:col>396</xdr:col>
      <xdr:colOff>764079</xdr:colOff>
      <xdr:row>1</xdr:row>
      <xdr:rowOff>553466</xdr:rowOff>
    </xdr:to>
    <xdr:sp macro="" textlink="">
      <xdr:nvSpPr>
        <xdr:cNvPr id="1074" name="B ABD PAGE">
          <a:hlinkClick xmlns:r="http://schemas.openxmlformats.org/officeDocument/2006/relationships" r:id="rId5" tooltip="Aged, Blind, or Disabled Page (Current)"/>
          <a:extLst>
            <a:ext uri="{FF2B5EF4-FFF2-40B4-BE49-F238E27FC236}">
              <a16:creationId xmlns:a16="http://schemas.microsoft.com/office/drawing/2014/main" id="{5F84841B-A403-4E9B-B797-E671C2BF6D1D}"/>
            </a:ext>
          </a:extLst>
        </xdr:cNvPr>
        <xdr:cNvSpPr/>
      </xdr:nvSpPr>
      <xdr:spPr>
        <a:xfrm>
          <a:off x="453301823"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390</xdr:col>
      <xdr:colOff>304241</xdr:colOff>
      <xdr:row>1</xdr:row>
      <xdr:rowOff>59690</xdr:rowOff>
    </xdr:from>
    <xdr:to>
      <xdr:col>391</xdr:col>
      <xdr:colOff>495108</xdr:colOff>
      <xdr:row>1</xdr:row>
      <xdr:rowOff>553466</xdr:rowOff>
    </xdr:to>
    <xdr:sp macro="" textlink="">
      <xdr:nvSpPr>
        <xdr:cNvPr id="1075" name="B GEN DATA PAGE">
          <a:hlinkClick xmlns:r="http://schemas.openxmlformats.org/officeDocument/2006/relationships" r:id="rId6" tooltip="Back to Navigation Page"/>
          <a:extLst>
            <a:ext uri="{FF2B5EF4-FFF2-40B4-BE49-F238E27FC236}">
              <a16:creationId xmlns:a16="http://schemas.microsoft.com/office/drawing/2014/main" id="{EF190D04-BA02-4065-9478-8C291070C841}"/>
            </a:ext>
          </a:extLst>
        </xdr:cNvPr>
        <xdr:cNvSpPr/>
      </xdr:nvSpPr>
      <xdr:spPr>
        <a:xfrm>
          <a:off x="448731786"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404</xdr:col>
      <xdr:colOff>758887</xdr:colOff>
      <xdr:row>1</xdr:row>
      <xdr:rowOff>59690</xdr:rowOff>
    </xdr:from>
    <xdr:to>
      <xdr:col>406</xdr:col>
      <xdr:colOff>137397</xdr:colOff>
      <xdr:row>1</xdr:row>
      <xdr:rowOff>557276</xdr:rowOff>
    </xdr:to>
    <xdr:sp macro="" textlink="">
      <xdr:nvSpPr>
        <xdr:cNvPr id="1076" name="B ALL DATA PAGE">
          <a:hlinkClick xmlns:r="http://schemas.openxmlformats.org/officeDocument/2006/relationships" r:id="rId7" tooltip="Back to All Data Page"/>
          <a:extLst>
            <a:ext uri="{FF2B5EF4-FFF2-40B4-BE49-F238E27FC236}">
              <a16:creationId xmlns:a16="http://schemas.microsoft.com/office/drawing/2014/main" id="{04F609EC-701A-46AE-8C48-244C21F9FEA9}"/>
            </a:ext>
          </a:extLst>
        </xdr:cNvPr>
        <xdr:cNvSpPr/>
      </xdr:nvSpPr>
      <xdr:spPr>
        <a:xfrm>
          <a:off x="461349787"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403</xdr:col>
      <xdr:colOff>497648</xdr:colOff>
      <xdr:row>1</xdr:row>
      <xdr:rowOff>59690</xdr:rowOff>
    </xdr:from>
    <xdr:to>
      <xdr:col>404</xdr:col>
      <xdr:colOff>687808</xdr:colOff>
      <xdr:row>1</xdr:row>
      <xdr:rowOff>553466</xdr:rowOff>
    </xdr:to>
    <xdr:sp macro="" textlink="">
      <xdr:nvSpPr>
        <xdr:cNvPr id="1077" name="B TERMS PAGE">
          <a:hlinkClick xmlns:r="http://schemas.openxmlformats.org/officeDocument/2006/relationships" r:id="rId8" tooltip="Back to Appendix &amp; Terms Page"/>
          <a:extLst>
            <a:ext uri="{FF2B5EF4-FFF2-40B4-BE49-F238E27FC236}">
              <a16:creationId xmlns:a16="http://schemas.microsoft.com/office/drawing/2014/main" id="{80CE47C1-A1A1-46AC-B279-E674526C66E0}"/>
            </a:ext>
          </a:extLst>
        </xdr:cNvPr>
        <xdr:cNvSpPr/>
      </xdr:nvSpPr>
      <xdr:spPr>
        <a:xfrm>
          <a:off x="460216903"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402</xdr:col>
      <xdr:colOff>254494</xdr:colOff>
      <xdr:row>1</xdr:row>
      <xdr:rowOff>59690</xdr:rowOff>
    </xdr:from>
    <xdr:to>
      <xdr:col>403</xdr:col>
      <xdr:colOff>441109</xdr:colOff>
      <xdr:row>1</xdr:row>
      <xdr:rowOff>553466</xdr:rowOff>
    </xdr:to>
    <xdr:sp macro="" textlink="">
      <xdr:nvSpPr>
        <xdr:cNvPr id="1078" name="B PROV DET PAGE">
          <a:hlinkClick xmlns:r="http://schemas.openxmlformats.org/officeDocument/2006/relationships" r:id="rId9" tooltip="Back to Provider Page"/>
          <a:extLst>
            <a:ext uri="{FF2B5EF4-FFF2-40B4-BE49-F238E27FC236}">
              <a16:creationId xmlns:a16="http://schemas.microsoft.com/office/drawing/2014/main" id="{47484FC8-979A-4B1B-8491-BED3E8BE57AF}"/>
            </a:ext>
          </a:extLst>
        </xdr:cNvPr>
        <xdr:cNvSpPr/>
      </xdr:nvSpPr>
      <xdr:spPr>
        <a:xfrm>
          <a:off x="459073744"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396</xdr:col>
      <xdr:colOff>837693</xdr:colOff>
      <xdr:row>1</xdr:row>
      <xdr:rowOff>59690</xdr:rowOff>
    </xdr:from>
    <xdr:to>
      <xdr:col>398</xdr:col>
      <xdr:colOff>176108</xdr:colOff>
      <xdr:row>1</xdr:row>
      <xdr:rowOff>553466</xdr:rowOff>
    </xdr:to>
    <xdr:sp macro="" textlink="">
      <xdr:nvSpPr>
        <xdr:cNvPr id="1079" name="B IHSS PROG PAGE">
          <a:hlinkClick xmlns:r="http://schemas.openxmlformats.org/officeDocument/2006/relationships" r:id="rId10" tooltip="Back to Program Equity Page"/>
          <a:extLst>
            <a:ext uri="{FF2B5EF4-FFF2-40B4-BE49-F238E27FC236}">
              <a16:creationId xmlns:a16="http://schemas.microsoft.com/office/drawing/2014/main" id="{55B12527-6599-457E-B4D9-27C9C52C7C76}"/>
            </a:ext>
          </a:extLst>
        </xdr:cNvPr>
        <xdr:cNvSpPr/>
      </xdr:nvSpPr>
      <xdr:spPr>
        <a:xfrm>
          <a:off x="454473226"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400</xdr:col>
      <xdr:colOff>799286</xdr:colOff>
      <xdr:row>1</xdr:row>
      <xdr:rowOff>59690</xdr:rowOff>
    </xdr:from>
    <xdr:to>
      <xdr:col>402</xdr:col>
      <xdr:colOff>136974</xdr:colOff>
      <xdr:row>1</xdr:row>
      <xdr:rowOff>553466</xdr:rowOff>
    </xdr:to>
    <xdr:sp macro="" textlink="">
      <xdr:nvSpPr>
        <xdr:cNvPr id="1080" name="B ETHNICITY PAGE">
          <a:hlinkClick xmlns:r="http://schemas.openxmlformats.org/officeDocument/2006/relationships" r:id="rId11" tooltip="Back to Ethnicity &amp; Language Page"/>
          <a:extLst>
            <a:ext uri="{FF2B5EF4-FFF2-40B4-BE49-F238E27FC236}">
              <a16:creationId xmlns:a16="http://schemas.microsoft.com/office/drawing/2014/main" id="{4EAC781F-9620-4052-ABB2-535F37FC1276}"/>
            </a:ext>
          </a:extLst>
        </xdr:cNvPr>
        <xdr:cNvSpPr/>
      </xdr:nvSpPr>
      <xdr:spPr>
        <a:xfrm>
          <a:off x="457901072"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394</xdr:col>
      <xdr:colOff>288695</xdr:colOff>
      <xdr:row>1</xdr:row>
      <xdr:rowOff>59690</xdr:rowOff>
    </xdr:from>
    <xdr:to>
      <xdr:col>395</xdr:col>
      <xdr:colOff>517659</xdr:colOff>
      <xdr:row>1</xdr:row>
      <xdr:rowOff>553466</xdr:rowOff>
    </xdr:to>
    <xdr:sp macro="" textlink="">
      <xdr:nvSpPr>
        <xdr:cNvPr id="1081" name="B GEN DATA PAGE">
          <a:hlinkClick xmlns:r="http://schemas.openxmlformats.org/officeDocument/2006/relationships" r:id="rId12" tooltip="IHSS Applicants Page (Current)"/>
          <a:extLst>
            <a:ext uri="{FF2B5EF4-FFF2-40B4-BE49-F238E27FC236}">
              <a16:creationId xmlns:a16="http://schemas.microsoft.com/office/drawing/2014/main" id="{70CA813D-3459-4427-8FFF-9DF2BC733EAA}"/>
            </a:ext>
          </a:extLst>
        </xdr:cNvPr>
        <xdr:cNvSpPr/>
      </xdr:nvSpPr>
      <xdr:spPr>
        <a:xfrm>
          <a:off x="452174872"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398</xdr:col>
      <xdr:colOff>252262</xdr:colOff>
      <xdr:row>1</xdr:row>
      <xdr:rowOff>59690</xdr:rowOff>
    </xdr:from>
    <xdr:to>
      <xdr:col>399</xdr:col>
      <xdr:colOff>459921</xdr:colOff>
      <xdr:row>1</xdr:row>
      <xdr:rowOff>553466</xdr:rowOff>
    </xdr:to>
    <xdr:sp macro="" textlink="">
      <xdr:nvSpPr>
        <xdr:cNvPr id="1082" name="B IHSS SERV PAGE">
          <a:hlinkClick xmlns:r="http://schemas.openxmlformats.org/officeDocument/2006/relationships" r:id="rId13" tooltip="IHSS Services Page (Current)"/>
          <a:extLst>
            <a:ext uri="{FF2B5EF4-FFF2-40B4-BE49-F238E27FC236}">
              <a16:creationId xmlns:a16="http://schemas.microsoft.com/office/drawing/2014/main" id="{942C6A62-8EBF-432E-94D7-4880192D5F09}"/>
            </a:ext>
          </a:extLst>
        </xdr:cNvPr>
        <xdr:cNvSpPr/>
      </xdr:nvSpPr>
      <xdr:spPr>
        <a:xfrm>
          <a:off x="455603988"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399</xdr:col>
      <xdr:colOff>531912</xdr:colOff>
      <xdr:row>1</xdr:row>
      <xdr:rowOff>59690</xdr:rowOff>
    </xdr:from>
    <xdr:to>
      <xdr:col>400</xdr:col>
      <xdr:colOff>688207</xdr:colOff>
      <xdr:row>1</xdr:row>
      <xdr:rowOff>553466</xdr:rowOff>
    </xdr:to>
    <xdr:sp macro="" textlink="">
      <xdr:nvSpPr>
        <xdr:cNvPr id="1083" name="B AGE PAGE">
          <a:hlinkClick xmlns:r="http://schemas.openxmlformats.org/officeDocument/2006/relationships" r:id="rId2" tooltip="Age &amp; Gender Page (Current)"/>
          <a:extLst>
            <a:ext uri="{FF2B5EF4-FFF2-40B4-BE49-F238E27FC236}">
              <a16:creationId xmlns:a16="http://schemas.microsoft.com/office/drawing/2014/main" id="{18C3F4C7-C63A-48DE-97F0-721A84D75F85}"/>
            </a:ext>
          </a:extLst>
        </xdr:cNvPr>
        <xdr:cNvSpPr/>
      </xdr:nvSpPr>
      <xdr:spPr>
        <a:xfrm>
          <a:off x="456758245" y="58420"/>
          <a:ext cx="104571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391</xdr:col>
      <xdr:colOff>559197</xdr:colOff>
      <xdr:row>1</xdr:row>
      <xdr:rowOff>59690</xdr:rowOff>
    </xdr:from>
    <xdr:to>
      <xdr:col>392</xdr:col>
      <xdr:colOff>787881</xdr:colOff>
      <xdr:row>1</xdr:row>
      <xdr:rowOff>553466</xdr:rowOff>
    </xdr:to>
    <xdr:sp macro="" textlink="">
      <xdr:nvSpPr>
        <xdr:cNvPr id="1084" name="B HOME PAGE">
          <a:hlinkClick xmlns:r="http://schemas.openxmlformats.org/officeDocument/2006/relationships" r:id="rId3" tooltip="Back to Dashboard Page"/>
          <a:extLst>
            <a:ext uri="{FF2B5EF4-FFF2-40B4-BE49-F238E27FC236}">
              <a16:creationId xmlns:a16="http://schemas.microsoft.com/office/drawing/2014/main" id="{E48C7091-E779-49F5-B3A7-4CB1161E27F9}"/>
            </a:ext>
          </a:extLst>
        </xdr:cNvPr>
        <xdr:cNvSpPr/>
      </xdr:nvSpPr>
      <xdr:spPr>
        <a:xfrm>
          <a:off x="449861913"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392</xdr:col>
      <xdr:colOff>838635</xdr:colOff>
      <xdr:row>1</xdr:row>
      <xdr:rowOff>59690</xdr:rowOff>
    </xdr:from>
    <xdr:to>
      <xdr:col>394</xdr:col>
      <xdr:colOff>189751</xdr:colOff>
      <xdr:row>1</xdr:row>
      <xdr:rowOff>553466</xdr:rowOff>
    </xdr:to>
    <xdr:sp macro="" textlink="">
      <xdr:nvSpPr>
        <xdr:cNvPr id="1085" name="B GEN DATA PAGE">
          <a:hlinkClick xmlns:r="http://schemas.openxmlformats.org/officeDocument/2006/relationships" r:id="rId4" tooltip="Back to General Data Page"/>
          <a:extLst>
            <a:ext uri="{FF2B5EF4-FFF2-40B4-BE49-F238E27FC236}">
              <a16:creationId xmlns:a16="http://schemas.microsoft.com/office/drawing/2014/main" id="{95BAA8D4-4E28-4F38-B1E7-C2FD42B9CC1C}"/>
            </a:ext>
          </a:extLst>
        </xdr:cNvPr>
        <xdr:cNvSpPr/>
      </xdr:nvSpPr>
      <xdr:spPr>
        <a:xfrm>
          <a:off x="451002835"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395</xdr:col>
      <xdr:colOff>530948</xdr:colOff>
      <xdr:row>1</xdr:row>
      <xdr:rowOff>59690</xdr:rowOff>
    </xdr:from>
    <xdr:to>
      <xdr:col>396</xdr:col>
      <xdr:colOff>762174</xdr:colOff>
      <xdr:row>1</xdr:row>
      <xdr:rowOff>553466</xdr:rowOff>
    </xdr:to>
    <xdr:sp macro="" textlink="">
      <xdr:nvSpPr>
        <xdr:cNvPr id="1086" name="B ABD PAGE">
          <a:hlinkClick xmlns:r="http://schemas.openxmlformats.org/officeDocument/2006/relationships" r:id="rId5" tooltip="Aged, Blind, or Disabled Page (Current)"/>
          <a:extLst>
            <a:ext uri="{FF2B5EF4-FFF2-40B4-BE49-F238E27FC236}">
              <a16:creationId xmlns:a16="http://schemas.microsoft.com/office/drawing/2014/main" id="{64C224BA-D5B9-4A6B-9D09-1EA39EADDAA0}"/>
            </a:ext>
          </a:extLst>
        </xdr:cNvPr>
        <xdr:cNvSpPr/>
      </xdr:nvSpPr>
      <xdr:spPr>
        <a:xfrm>
          <a:off x="453285948"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390</xdr:col>
      <xdr:colOff>292176</xdr:colOff>
      <xdr:row>1</xdr:row>
      <xdr:rowOff>59690</xdr:rowOff>
    </xdr:from>
    <xdr:to>
      <xdr:col>391</xdr:col>
      <xdr:colOff>494473</xdr:colOff>
      <xdr:row>1</xdr:row>
      <xdr:rowOff>553466</xdr:rowOff>
    </xdr:to>
    <xdr:sp macro="" textlink="">
      <xdr:nvSpPr>
        <xdr:cNvPr id="1087" name="B GEN DATA PAGE">
          <a:hlinkClick xmlns:r="http://schemas.openxmlformats.org/officeDocument/2006/relationships" r:id="rId6" tooltip="Back to Navigation Page"/>
          <a:extLst>
            <a:ext uri="{FF2B5EF4-FFF2-40B4-BE49-F238E27FC236}">
              <a16:creationId xmlns:a16="http://schemas.microsoft.com/office/drawing/2014/main" id="{F9287AA9-6AA3-4F2D-BD79-D173237DCDC2}"/>
            </a:ext>
          </a:extLst>
        </xdr:cNvPr>
        <xdr:cNvSpPr/>
      </xdr:nvSpPr>
      <xdr:spPr>
        <a:xfrm>
          <a:off x="448715911"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404</xdr:col>
      <xdr:colOff>749362</xdr:colOff>
      <xdr:row>1</xdr:row>
      <xdr:rowOff>59690</xdr:rowOff>
    </xdr:from>
    <xdr:to>
      <xdr:col>406</xdr:col>
      <xdr:colOff>138032</xdr:colOff>
      <xdr:row>1</xdr:row>
      <xdr:rowOff>557276</xdr:rowOff>
    </xdr:to>
    <xdr:sp macro="" textlink="">
      <xdr:nvSpPr>
        <xdr:cNvPr id="1088" name="B ALL DATA PAGE">
          <a:hlinkClick xmlns:r="http://schemas.openxmlformats.org/officeDocument/2006/relationships" r:id="rId7" tooltip="Back to All Data Page"/>
          <a:extLst>
            <a:ext uri="{FF2B5EF4-FFF2-40B4-BE49-F238E27FC236}">
              <a16:creationId xmlns:a16="http://schemas.microsoft.com/office/drawing/2014/main" id="{C5BD44AA-1EC7-44F3-9944-632696F1DA14}"/>
            </a:ext>
          </a:extLst>
        </xdr:cNvPr>
        <xdr:cNvSpPr/>
      </xdr:nvSpPr>
      <xdr:spPr>
        <a:xfrm>
          <a:off x="461333912"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403</xdr:col>
      <xdr:colOff>494473</xdr:colOff>
      <xdr:row>1</xdr:row>
      <xdr:rowOff>59690</xdr:rowOff>
    </xdr:from>
    <xdr:to>
      <xdr:col>404</xdr:col>
      <xdr:colOff>688443</xdr:colOff>
      <xdr:row>1</xdr:row>
      <xdr:rowOff>553466</xdr:rowOff>
    </xdr:to>
    <xdr:sp macro="" textlink="">
      <xdr:nvSpPr>
        <xdr:cNvPr id="1089" name="B TERMS PAGE">
          <a:hlinkClick xmlns:r="http://schemas.openxmlformats.org/officeDocument/2006/relationships" r:id="rId8" tooltip="Back to Appendix &amp; Terms Page"/>
          <a:extLst>
            <a:ext uri="{FF2B5EF4-FFF2-40B4-BE49-F238E27FC236}">
              <a16:creationId xmlns:a16="http://schemas.microsoft.com/office/drawing/2014/main" id="{9F648261-5835-409A-84FE-6B025510F786}"/>
            </a:ext>
          </a:extLst>
        </xdr:cNvPr>
        <xdr:cNvSpPr/>
      </xdr:nvSpPr>
      <xdr:spPr>
        <a:xfrm>
          <a:off x="460201028"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402</xdr:col>
      <xdr:colOff>213219</xdr:colOff>
      <xdr:row>1</xdr:row>
      <xdr:rowOff>59690</xdr:rowOff>
    </xdr:from>
    <xdr:to>
      <xdr:col>403</xdr:col>
      <xdr:colOff>404914</xdr:colOff>
      <xdr:row>1</xdr:row>
      <xdr:rowOff>553466</xdr:rowOff>
    </xdr:to>
    <xdr:sp macro="" textlink="">
      <xdr:nvSpPr>
        <xdr:cNvPr id="1090" name="B PROV DET PAGE">
          <a:hlinkClick xmlns:r="http://schemas.openxmlformats.org/officeDocument/2006/relationships" r:id="rId9" tooltip="Back to Provider Page"/>
          <a:extLst>
            <a:ext uri="{FF2B5EF4-FFF2-40B4-BE49-F238E27FC236}">
              <a16:creationId xmlns:a16="http://schemas.microsoft.com/office/drawing/2014/main" id="{C2A94D3E-C784-443D-A1C1-1F6C3D385D73}"/>
            </a:ext>
          </a:extLst>
        </xdr:cNvPr>
        <xdr:cNvSpPr/>
      </xdr:nvSpPr>
      <xdr:spPr>
        <a:xfrm>
          <a:off x="459057869"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396</xdr:col>
      <xdr:colOff>825628</xdr:colOff>
      <xdr:row>1</xdr:row>
      <xdr:rowOff>59690</xdr:rowOff>
    </xdr:from>
    <xdr:to>
      <xdr:col>398</xdr:col>
      <xdr:colOff>174203</xdr:colOff>
      <xdr:row>1</xdr:row>
      <xdr:rowOff>553466</xdr:rowOff>
    </xdr:to>
    <xdr:sp macro="" textlink="">
      <xdr:nvSpPr>
        <xdr:cNvPr id="1091" name="B IHSS PROG PAGE">
          <a:hlinkClick xmlns:r="http://schemas.openxmlformats.org/officeDocument/2006/relationships" r:id="rId10" tooltip="Back to Program Equity Page"/>
          <a:extLst>
            <a:ext uri="{FF2B5EF4-FFF2-40B4-BE49-F238E27FC236}">
              <a16:creationId xmlns:a16="http://schemas.microsoft.com/office/drawing/2014/main" id="{464523A3-D581-4B1E-922C-A6598CEF5EB7}"/>
            </a:ext>
          </a:extLst>
        </xdr:cNvPr>
        <xdr:cNvSpPr/>
      </xdr:nvSpPr>
      <xdr:spPr>
        <a:xfrm>
          <a:off x="454457351"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400</xdr:col>
      <xdr:colOff>785951</xdr:colOff>
      <xdr:row>1</xdr:row>
      <xdr:rowOff>59690</xdr:rowOff>
    </xdr:from>
    <xdr:to>
      <xdr:col>402</xdr:col>
      <xdr:colOff>135069</xdr:colOff>
      <xdr:row>1</xdr:row>
      <xdr:rowOff>553466</xdr:rowOff>
    </xdr:to>
    <xdr:sp macro="" textlink="">
      <xdr:nvSpPr>
        <xdr:cNvPr id="1092" name="B ETHNICITY PAGE">
          <a:hlinkClick xmlns:r="http://schemas.openxmlformats.org/officeDocument/2006/relationships" r:id="rId11" tooltip="Back to Ethnicity &amp; Language Page"/>
          <a:extLst>
            <a:ext uri="{FF2B5EF4-FFF2-40B4-BE49-F238E27FC236}">
              <a16:creationId xmlns:a16="http://schemas.microsoft.com/office/drawing/2014/main" id="{C0A64E6D-1FDE-4533-BF1C-8B2C1C7B1813}"/>
            </a:ext>
          </a:extLst>
        </xdr:cNvPr>
        <xdr:cNvSpPr/>
      </xdr:nvSpPr>
      <xdr:spPr>
        <a:xfrm>
          <a:off x="457885197"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394</xdr:col>
      <xdr:colOff>264353</xdr:colOff>
      <xdr:row>1</xdr:row>
      <xdr:rowOff>59690</xdr:rowOff>
    </xdr:from>
    <xdr:to>
      <xdr:col>395</xdr:col>
      <xdr:colOff>481182</xdr:colOff>
      <xdr:row>1</xdr:row>
      <xdr:rowOff>553466</xdr:rowOff>
    </xdr:to>
    <xdr:sp macro="" textlink="">
      <xdr:nvSpPr>
        <xdr:cNvPr id="1093" name="B GEN DATA PAGE">
          <a:hlinkClick xmlns:r="http://schemas.openxmlformats.org/officeDocument/2006/relationships" r:id="rId12" tooltip="IHSS Applicants Page (Current)"/>
          <a:extLst>
            <a:ext uri="{FF2B5EF4-FFF2-40B4-BE49-F238E27FC236}">
              <a16:creationId xmlns:a16="http://schemas.microsoft.com/office/drawing/2014/main" id="{EF8E5A56-9E6B-4429-B10C-5D5EEAC4DB01}"/>
            </a:ext>
          </a:extLst>
        </xdr:cNvPr>
        <xdr:cNvSpPr/>
      </xdr:nvSpPr>
      <xdr:spPr>
        <a:xfrm>
          <a:off x="452152647" y="58420"/>
          <a:ext cx="108381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398</xdr:col>
      <xdr:colOff>216067</xdr:colOff>
      <xdr:row>1</xdr:row>
      <xdr:rowOff>59690</xdr:rowOff>
    </xdr:from>
    <xdr:to>
      <xdr:col>399</xdr:col>
      <xdr:colOff>438966</xdr:colOff>
      <xdr:row>1</xdr:row>
      <xdr:rowOff>553466</xdr:rowOff>
    </xdr:to>
    <xdr:sp macro="" textlink="">
      <xdr:nvSpPr>
        <xdr:cNvPr id="1094" name="B IHSS SERV PAGE">
          <a:hlinkClick xmlns:r="http://schemas.openxmlformats.org/officeDocument/2006/relationships" r:id="rId13" tooltip="IHSS Services Page (Current)"/>
          <a:extLst>
            <a:ext uri="{FF2B5EF4-FFF2-40B4-BE49-F238E27FC236}">
              <a16:creationId xmlns:a16="http://schemas.microsoft.com/office/drawing/2014/main" id="{47FF7821-F9E5-44B2-9F21-B907770D819A}"/>
            </a:ext>
          </a:extLst>
        </xdr:cNvPr>
        <xdr:cNvSpPr/>
      </xdr:nvSpPr>
      <xdr:spPr>
        <a:xfrm>
          <a:off x="455588113"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418</xdr:col>
      <xdr:colOff>327372</xdr:colOff>
      <xdr:row>1</xdr:row>
      <xdr:rowOff>59690</xdr:rowOff>
    </xdr:from>
    <xdr:to>
      <xdr:col>419</xdr:col>
      <xdr:colOff>516968</xdr:colOff>
      <xdr:row>1</xdr:row>
      <xdr:rowOff>553466</xdr:rowOff>
    </xdr:to>
    <xdr:sp macro="" textlink="">
      <xdr:nvSpPr>
        <xdr:cNvPr id="1095" name="B AGE PAGE">
          <a:hlinkClick xmlns:r="http://schemas.openxmlformats.org/officeDocument/2006/relationships" r:id="rId2" tooltip="Age &amp; Gender Page (Current)"/>
          <a:extLst>
            <a:ext uri="{FF2B5EF4-FFF2-40B4-BE49-F238E27FC236}">
              <a16:creationId xmlns:a16="http://schemas.microsoft.com/office/drawing/2014/main" id="{C168B69F-B483-4417-98CF-E3708A364A42}"/>
            </a:ext>
          </a:extLst>
        </xdr:cNvPr>
        <xdr:cNvSpPr/>
      </xdr:nvSpPr>
      <xdr:spPr>
        <a:xfrm>
          <a:off x="473055520"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410</xdr:col>
      <xdr:colOff>367356</xdr:colOff>
      <xdr:row>1</xdr:row>
      <xdr:rowOff>59690</xdr:rowOff>
    </xdr:from>
    <xdr:to>
      <xdr:col>411</xdr:col>
      <xdr:colOff>593784</xdr:colOff>
      <xdr:row>1</xdr:row>
      <xdr:rowOff>553466</xdr:rowOff>
    </xdr:to>
    <xdr:sp macro="" textlink="">
      <xdr:nvSpPr>
        <xdr:cNvPr id="1096" name="B HOME PAGE">
          <a:hlinkClick xmlns:r="http://schemas.openxmlformats.org/officeDocument/2006/relationships" r:id="rId3" tooltip="Back to Dashboard Page"/>
          <a:extLst>
            <a:ext uri="{FF2B5EF4-FFF2-40B4-BE49-F238E27FC236}">
              <a16:creationId xmlns:a16="http://schemas.microsoft.com/office/drawing/2014/main" id="{E373B541-98C1-415E-A1B5-FE973F169623}"/>
            </a:ext>
          </a:extLst>
        </xdr:cNvPr>
        <xdr:cNvSpPr/>
      </xdr:nvSpPr>
      <xdr:spPr>
        <a:xfrm>
          <a:off x="466159188"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411</xdr:col>
      <xdr:colOff>644538</xdr:colOff>
      <xdr:row>1</xdr:row>
      <xdr:rowOff>59690</xdr:rowOff>
    </xdr:from>
    <xdr:to>
      <xdr:col>413</xdr:col>
      <xdr:colOff>733</xdr:colOff>
      <xdr:row>1</xdr:row>
      <xdr:rowOff>553466</xdr:rowOff>
    </xdr:to>
    <xdr:sp macro="" textlink="">
      <xdr:nvSpPr>
        <xdr:cNvPr id="1097" name="B GEN DATA PAGE">
          <a:hlinkClick xmlns:r="http://schemas.openxmlformats.org/officeDocument/2006/relationships" r:id="rId4" tooltip="Back to General Data Page"/>
          <a:extLst>
            <a:ext uri="{FF2B5EF4-FFF2-40B4-BE49-F238E27FC236}">
              <a16:creationId xmlns:a16="http://schemas.microsoft.com/office/drawing/2014/main" id="{B465EF1B-81EB-47E1-93BD-AA960C2B0E12}"/>
            </a:ext>
          </a:extLst>
        </xdr:cNvPr>
        <xdr:cNvSpPr/>
      </xdr:nvSpPr>
      <xdr:spPr>
        <a:xfrm>
          <a:off x="467300110" y="58420"/>
          <a:ext cx="10723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414</xdr:col>
      <xdr:colOff>325138</xdr:colOff>
      <xdr:row>1</xdr:row>
      <xdr:rowOff>59690</xdr:rowOff>
    </xdr:from>
    <xdr:to>
      <xdr:col>415</xdr:col>
      <xdr:colOff>569346</xdr:colOff>
      <xdr:row>1</xdr:row>
      <xdr:rowOff>553466</xdr:rowOff>
    </xdr:to>
    <xdr:sp macro="" textlink="">
      <xdr:nvSpPr>
        <xdr:cNvPr id="1098" name="B ABD PAGE">
          <a:hlinkClick xmlns:r="http://schemas.openxmlformats.org/officeDocument/2006/relationships" r:id="rId5" tooltip="Aged, Blind, or Disabled Page (Current)"/>
          <a:extLst>
            <a:ext uri="{FF2B5EF4-FFF2-40B4-BE49-F238E27FC236}">
              <a16:creationId xmlns:a16="http://schemas.microsoft.com/office/drawing/2014/main" id="{67D9B562-C958-4497-BC44-949572C441BA}"/>
            </a:ext>
          </a:extLst>
        </xdr:cNvPr>
        <xdr:cNvSpPr/>
      </xdr:nvSpPr>
      <xdr:spPr>
        <a:xfrm>
          <a:off x="469583223"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409</xdr:col>
      <xdr:colOff>100053</xdr:colOff>
      <xdr:row>1</xdr:row>
      <xdr:rowOff>59690</xdr:rowOff>
    </xdr:from>
    <xdr:to>
      <xdr:col>410</xdr:col>
      <xdr:colOff>291202</xdr:colOff>
      <xdr:row>1</xdr:row>
      <xdr:rowOff>553466</xdr:rowOff>
    </xdr:to>
    <xdr:sp macro="" textlink="">
      <xdr:nvSpPr>
        <xdr:cNvPr id="1099" name="B GEN DATA PAGE">
          <a:hlinkClick xmlns:r="http://schemas.openxmlformats.org/officeDocument/2006/relationships" r:id="rId6" tooltip="Back to Navigation Page"/>
          <a:extLst>
            <a:ext uri="{FF2B5EF4-FFF2-40B4-BE49-F238E27FC236}">
              <a16:creationId xmlns:a16="http://schemas.microsoft.com/office/drawing/2014/main" id="{18F607DC-7FD3-479D-A82A-9704106273DC}"/>
            </a:ext>
          </a:extLst>
        </xdr:cNvPr>
        <xdr:cNvSpPr/>
      </xdr:nvSpPr>
      <xdr:spPr>
        <a:xfrm>
          <a:off x="465013186"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423</xdr:col>
      <xdr:colOff>574314</xdr:colOff>
      <xdr:row>1</xdr:row>
      <xdr:rowOff>59690</xdr:rowOff>
    </xdr:from>
    <xdr:to>
      <xdr:col>424</xdr:col>
      <xdr:colOff>785944</xdr:colOff>
      <xdr:row>1</xdr:row>
      <xdr:rowOff>557276</xdr:rowOff>
    </xdr:to>
    <xdr:sp macro="" textlink="">
      <xdr:nvSpPr>
        <xdr:cNvPr id="1100" name="B ALL DATA PAGE">
          <a:hlinkClick xmlns:r="http://schemas.openxmlformats.org/officeDocument/2006/relationships" r:id="rId7" tooltip="Back to All Data Page"/>
          <a:extLst>
            <a:ext uri="{FF2B5EF4-FFF2-40B4-BE49-F238E27FC236}">
              <a16:creationId xmlns:a16="http://schemas.microsoft.com/office/drawing/2014/main" id="{A944CECF-205D-451B-AD32-E9A43DFC03F5}"/>
            </a:ext>
          </a:extLst>
        </xdr:cNvPr>
        <xdr:cNvSpPr/>
      </xdr:nvSpPr>
      <xdr:spPr>
        <a:xfrm>
          <a:off x="477631187"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422</xdr:col>
      <xdr:colOff>289931</xdr:colOff>
      <xdr:row>1</xdr:row>
      <xdr:rowOff>59690</xdr:rowOff>
    </xdr:from>
    <xdr:to>
      <xdr:col>423</xdr:col>
      <xdr:colOff>494345</xdr:colOff>
      <xdr:row>1</xdr:row>
      <xdr:rowOff>553466</xdr:rowOff>
    </xdr:to>
    <xdr:sp macro="" textlink="">
      <xdr:nvSpPr>
        <xdr:cNvPr id="1101" name="B TERMS PAGE">
          <a:hlinkClick xmlns:r="http://schemas.openxmlformats.org/officeDocument/2006/relationships" r:id="rId8" tooltip="Back to Appendix &amp; Terms Page"/>
          <a:extLst>
            <a:ext uri="{FF2B5EF4-FFF2-40B4-BE49-F238E27FC236}">
              <a16:creationId xmlns:a16="http://schemas.microsoft.com/office/drawing/2014/main" id="{A5E701C0-14A7-4DB6-B37F-BE76F4E1FDDC}"/>
            </a:ext>
          </a:extLst>
        </xdr:cNvPr>
        <xdr:cNvSpPr/>
      </xdr:nvSpPr>
      <xdr:spPr>
        <a:xfrm>
          <a:off x="476498303"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421</xdr:col>
      <xdr:colOff>24202</xdr:colOff>
      <xdr:row>1</xdr:row>
      <xdr:rowOff>59690</xdr:rowOff>
    </xdr:from>
    <xdr:to>
      <xdr:col>422</xdr:col>
      <xdr:colOff>228031</xdr:colOff>
      <xdr:row>1</xdr:row>
      <xdr:rowOff>553466</xdr:rowOff>
    </xdr:to>
    <xdr:sp macro="" textlink="">
      <xdr:nvSpPr>
        <xdr:cNvPr id="1102" name="B PROV DET PAGE">
          <a:hlinkClick xmlns:r="http://schemas.openxmlformats.org/officeDocument/2006/relationships" r:id="rId9" tooltip="Back to Provider Page"/>
          <a:extLst>
            <a:ext uri="{FF2B5EF4-FFF2-40B4-BE49-F238E27FC236}">
              <a16:creationId xmlns:a16="http://schemas.microsoft.com/office/drawing/2014/main" id="{4FF1FF48-B468-46F1-AAB8-337711464CD1}"/>
            </a:ext>
          </a:extLst>
        </xdr:cNvPr>
        <xdr:cNvSpPr/>
      </xdr:nvSpPr>
      <xdr:spPr>
        <a:xfrm>
          <a:off x="475355144"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415</xdr:col>
      <xdr:colOff>631530</xdr:colOff>
      <xdr:row>1</xdr:row>
      <xdr:rowOff>59690</xdr:rowOff>
    </xdr:from>
    <xdr:to>
      <xdr:col>416</xdr:col>
      <xdr:colOff>824655</xdr:colOff>
      <xdr:row>1</xdr:row>
      <xdr:rowOff>553466</xdr:rowOff>
    </xdr:to>
    <xdr:sp macro="" textlink="">
      <xdr:nvSpPr>
        <xdr:cNvPr id="1103" name="B IHSS PROG PAGE">
          <a:hlinkClick xmlns:r="http://schemas.openxmlformats.org/officeDocument/2006/relationships" r:id="rId10" tooltip="Back to Program Equity Page"/>
          <a:extLst>
            <a:ext uri="{FF2B5EF4-FFF2-40B4-BE49-F238E27FC236}">
              <a16:creationId xmlns:a16="http://schemas.microsoft.com/office/drawing/2014/main" id="{5240208E-5C56-47F6-9C8C-8726B5AC838D}"/>
            </a:ext>
          </a:extLst>
        </xdr:cNvPr>
        <xdr:cNvSpPr/>
      </xdr:nvSpPr>
      <xdr:spPr>
        <a:xfrm>
          <a:off x="470754626"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419</xdr:col>
      <xdr:colOff>595662</xdr:colOff>
      <xdr:row>1</xdr:row>
      <xdr:rowOff>59690</xdr:rowOff>
    </xdr:from>
    <xdr:to>
      <xdr:col>420</xdr:col>
      <xdr:colOff>799492</xdr:colOff>
      <xdr:row>1</xdr:row>
      <xdr:rowOff>553466</xdr:rowOff>
    </xdr:to>
    <xdr:sp macro="" textlink="">
      <xdr:nvSpPr>
        <xdr:cNvPr id="1104" name="B ETHNICITY PAGE">
          <a:hlinkClick xmlns:r="http://schemas.openxmlformats.org/officeDocument/2006/relationships" r:id="rId11" tooltip="Back to Ethnicity &amp; Language Page"/>
          <a:extLst>
            <a:ext uri="{FF2B5EF4-FFF2-40B4-BE49-F238E27FC236}">
              <a16:creationId xmlns:a16="http://schemas.microsoft.com/office/drawing/2014/main" id="{EFC89188-4D06-4298-8BD1-6FDFCB6CE74B}"/>
            </a:ext>
          </a:extLst>
        </xdr:cNvPr>
        <xdr:cNvSpPr/>
      </xdr:nvSpPr>
      <xdr:spPr>
        <a:xfrm>
          <a:off x="474182472"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413</xdr:col>
      <xdr:colOff>75617</xdr:colOff>
      <xdr:row>1</xdr:row>
      <xdr:rowOff>59690</xdr:rowOff>
    </xdr:from>
    <xdr:to>
      <xdr:col>414</xdr:col>
      <xdr:colOff>289624</xdr:colOff>
      <xdr:row>1</xdr:row>
      <xdr:rowOff>553466</xdr:rowOff>
    </xdr:to>
    <xdr:sp macro="" textlink="">
      <xdr:nvSpPr>
        <xdr:cNvPr id="1105" name="B GEN DATA PAGE">
          <a:hlinkClick xmlns:r="http://schemas.openxmlformats.org/officeDocument/2006/relationships" r:id="rId12" tooltip="IHSS Applicants Page (Current)"/>
          <a:extLst>
            <a:ext uri="{FF2B5EF4-FFF2-40B4-BE49-F238E27FC236}">
              <a16:creationId xmlns:a16="http://schemas.microsoft.com/office/drawing/2014/main" id="{C0F225DB-BCBF-4393-A327-B67D9F9752A4}"/>
            </a:ext>
          </a:extLst>
        </xdr:cNvPr>
        <xdr:cNvSpPr/>
      </xdr:nvSpPr>
      <xdr:spPr>
        <a:xfrm>
          <a:off x="468456272"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417</xdr:col>
      <xdr:colOff>23239</xdr:colOff>
      <xdr:row>1</xdr:row>
      <xdr:rowOff>59690</xdr:rowOff>
    </xdr:from>
    <xdr:to>
      <xdr:col>418</xdr:col>
      <xdr:colOff>250653</xdr:colOff>
      <xdr:row>1</xdr:row>
      <xdr:rowOff>553466</xdr:rowOff>
    </xdr:to>
    <xdr:sp macro="" textlink="">
      <xdr:nvSpPr>
        <xdr:cNvPr id="1106" name="B IHSS SERV PAGE">
          <a:hlinkClick xmlns:r="http://schemas.openxmlformats.org/officeDocument/2006/relationships" r:id="rId13" tooltip="IHSS Services Page (Current)"/>
          <a:extLst>
            <a:ext uri="{FF2B5EF4-FFF2-40B4-BE49-F238E27FC236}">
              <a16:creationId xmlns:a16="http://schemas.microsoft.com/office/drawing/2014/main" id="{3306E8F6-C27C-40B8-A7A9-EF124855BDE0}"/>
            </a:ext>
          </a:extLst>
        </xdr:cNvPr>
        <xdr:cNvSpPr/>
      </xdr:nvSpPr>
      <xdr:spPr>
        <a:xfrm>
          <a:off x="471885388"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418</xdr:col>
      <xdr:colOff>328007</xdr:colOff>
      <xdr:row>1</xdr:row>
      <xdr:rowOff>59690</xdr:rowOff>
    </xdr:from>
    <xdr:to>
      <xdr:col>419</xdr:col>
      <xdr:colOff>493473</xdr:colOff>
      <xdr:row>1</xdr:row>
      <xdr:rowOff>553466</xdr:rowOff>
    </xdr:to>
    <xdr:sp macro="" textlink="">
      <xdr:nvSpPr>
        <xdr:cNvPr id="1107" name="B AGE PAGE">
          <a:hlinkClick xmlns:r="http://schemas.openxmlformats.org/officeDocument/2006/relationships" r:id="rId2" tooltip="Age &amp; Gender Page (Current)"/>
          <a:extLst>
            <a:ext uri="{FF2B5EF4-FFF2-40B4-BE49-F238E27FC236}">
              <a16:creationId xmlns:a16="http://schemas.microsoft.com/office/drawing/2014/main" id="{B52F6C21-64A4-4CF5-B009-2D83BDCCD688}"/>
            </a:ext>
          </a:extLst>
        </xdr:cNvPr>
        <xdr:cNvSpPr/>
      </xdr:nvSpPr>
      <xdr:spPr>
        <a:xfrm>
          <a:off x="473039645"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410</xdr:col>
      <xdr:colOff>362911</xdr:colOff>
      <xdr:row>1</xdr:row>
      <xdr:rowOff>59690</xdr:rowOff>
    </xdr:from>
    <xdr:to>
      <xdr:col>411</xdr:col>
      <xdr:colOff>570289</xdr:colOff>
      <xdr:row>1</xdr:row>
      <xdr:rowOff>553466</xdr:rowOff>
    </xdr:to>
    <xdr:sp macro="" textlink="">
      <xdr:nvSpPr>
        <xdr:cNvPr id="1108" name="B HOME PAGE">
          <a:hlinkClick xmlns:r="http://schemas.openxmlformats.org/officeDocument/2006/relationships" r:id="rId3" tooltip="Back to Dashboard Page"/>
          <a:extLst>
            <a:ext uri="{FF2B5EF4-FFF2-40B4-BE49-F238E27FC236}">
              <a16:creationId xmlns:a16="http://schemas.microsoft.com/office/drawing/2014/main" id="{CEF69129-E2FB-40C4-B01A-629B178DFB75}"/>
            </a:ext>
          </a:extLst>
        </xdr:cNvPr>
        <xdr:cNvSpPr/>
      </xdr:nvSpPr>
      <xdr:spPr>
        <a:xfrm>
          <a:off x="466143313"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411</xdr:col>
      <xdr:colOff>632473</xdr:colOff>
      <xdr:row>1</xdr:row>
      <xdr:rowOff>59690</xdr:rowOff>
    </xdr:from>
    <xdr:to>
      <xdr:col>413</xdr:col>
      <xdr:colOff>98</xdr:colOff>
      <xdr:row>1</xdr:row>
      <xdr:rowOff>553466</xdr:rowOff>
    </xdr:to>
    <xdr:sp macro="" textlink="">
      <xdr:nvSpPr>
        <xdr:cNvPr id="1109" name="B GEN DATA PAGE">
          <a:hlinkClick xmlns:r="http://schemas.openxmlformats.org/officeDocument/2006/relationships" r:id="rId4" tooltip="Back to General Data Page"/>
          <a:extLst>
            <a:ext uri="{FF2B5EF4-FFF2-40B4-BE49-F238E27FC236}">
              <a16:creationId xmlns:a16="http://schemas.microsoft.com/office/drawing/2014/main" id="{01072C89-46FD-4371-B616-5F70C4B9915E}"/>
            </a:ext>
          </a:extLst>
        </xdr:cNvPr>
        <xdr:cNvSpPr/>
      </xdr:nvSpPr>
      <xdr:spPr>
        <a:xfrm>
          <a:off x="467284235"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414</xdr:col>
      <xdr:colOff>327043</xdr:colOff>
      <xdr:row>1</xdr:row>
      <xdr:rowOff>59690</xdr:rowOff>
    </xdr:from>
    <xdr:to>
      <xdr:col>415</xdr:col>
      <xdr:colOff>531881</xdr:colOff>
      <xdr:row>1</xdr:row>
      <xdr:rowOff>553466</xdr:rowOff>
    </xdr:to>
    <xdr:sp macro="" textlink="">
      <xdr:nvSpPr>
        <xdr:cNvPr id="1110" name="B ABD PAGE">
          <a:hlinkClick xmlns:r="http://schemas.openxmlformats.org/officeDocument/2006/relationships" r:id="rId5" tooltip="Aged, Blind, or Disabled Page (Current)"/>
          <a:extLst>
            <a:ext uri="{FF2B5EF4-FFF2-40B4-BE49-F238E27FC236}">
              <a16:creationId xmlns:a16="http://schemas.microsoft.com/office/drawing/2014/main" id="{A05EB7C0-1389-4808-9995-F9EC11FE6D21}"/>
            </a:ext>
          </a:extLst>
        </xdr:cNvPr>
        <xdr:cNvSpPr/>
      </xdr:nvSpPr>
      <xdr:spPr>
        <a:xfrm>
          <a:off x="469567348"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409</xdr:col>
      <xdr:colOff>99418</xdr:colOff>
      <xdr:row>1</xdr:row>
      <xdr:rowOff>59690</xdr:rowOff>
    </xdr:from>
    <xdr:to>
      <xdr:col>410</xdr:col>
      <xdr:colOff>288027</xdr:colOff>
      <xdr:row>1</xdr:row>
      <xdr:rowOff>553466</xdr:rowOff>
    </xdr:to>
    <xdr:sp macro="" textlink="">
      <xdr:nvSpPr>
        <xdr:cNvPr id="1111" name="B GEN DATA PAGE">
          <a:hlinkClick xmlns:r="http://schemas.openxmlformats.org/officeDocument/2006/relationships" r:id="rId6" tooltip="Back to Navigation Page"/>
          <a:extLst>
            <a:ext uri="{FF2B5EF4-FFF2-40B4-BE49-F238E27FC236}">
              <a16:creationId xmlns:a16="http://schemas.microsoft.com/office/drawing/2014/main" id="{94C02B55-7A03-4FB9-8A17-3AA03AD438C5}"/>
            </a:ext>
          </a:extLst>
        </xdr:cNvPr>
        <xdr:cNvSpPr/>
      </xdr:nvSpPr>
      <xdr:spPr>
        <a:xfrm>
          <a:off x="464997311"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423</xdr:col>
      <xdr:colOff>557169</xdr:colOff>
      <xdr:row>1</xdr:row>
      <xdr:rowOff>59690</xdr:rowOff>
    </xdr:from>
    <xdr:to>
      <xdr:col>424</xdr:col>
      <xdr:colOff>762449</xdr:colOff>
      <xdr:row>1</xdr:row>
      <xdr:rowOff>557276</xdr:rowOff>
    </xdr:to>
    <xdr:sp macro="" textlink="">
      <xdr:nvSpPr>
        <xdr:cNvPr id="1112" name="B ALL DATA PAGE">
          <a:hlinkClick xmlns:r="http://schemas.openxmlformats.org/officeDocument/2006/relationships" r:id="rId7" tooltip="Back to All Data Page"/>
          <a:extLst>
            <a:ext uri="{FF2B5EF4-FFF2-40B4-BE49-F238E27FC236}">
              <a16:creationId xmlns:a16="http://schemas.microsoft.com/office/drawing/2014/main" id="{47097C23-C162-4FB5-9E91-3D98594766D9}"/>
            </a:ext>
          </a:extLst>
        </xdr:cNvPr>
        <xdr:cNvSpPr/>
      </xdr:nvSpPr>
      <xdr:spPr>
        <a:xfrm>
          <a:off x="477615312"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422</xdr:col>
      <xdr:colOff>289296</xdr:colOff>
      <xdr:row>1</xdr:row>
      <xdr:rowOff>59690</xdr:rowOff>
    </xdr:from>
    <xdr:to>
      <xdr:col>423</xdr:col>
      <xdr:colOff>479458</xdr:colOff>
      <xdr:row>1</xdr:row>
      <xdr:rowOff>553466</xdr:rowOff>
    </xdr:to>
    <xdr:sp macro="" textlink="">
      <xdr:nvSpPr>
        <xdr:cNvPr id="1113" name="B TERMS PAGE">
          <a:hlinkClick xmlns:r="http://schemas.openxmlformats.org/officeDocument/2006/relationships" r:id="rId8" tooltip="Back to Appendix &amp; Terms Page"/>
          <a:extLst>
            <a:ext uri="{FF2B5EF4-FFF2-40B4-BE49-F238E27FC236}">
              <a16:creationId xmlns:a16="http://schemas.microsoft.com/office/drawing/2014/main" id="{034A5E8D-C32A-47DE-A0F8-F3150D5E2491}"/>
            </a:ext>
          </a:extLst>
        </xdr:cNvPr>
        <xdr:cNvSpPr/>
      </xdr:nvSpPr>
      <xdr:spPr>
        <a:xfrm>
          <a:off x="476482428"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421</xdr:col>
      <xdr:colOff>19757</xdr:colOff>
      <xdr:row>1</xdr:row>
      <xdr:rowOff>59690</xdr:rowOff>
    </xdr:from>
    <xdr:to>
      <xdr:col>422</xdr:col>
      <xdr:colOff>215966</xdr:colOff>
      <xdr:row>1</xdr:row>
      <xdr:rowOff>553466</xdr:rowOff>
    </xdr:to>
    <xdr:sp macro="" textlink="">
      <xdr:nvSpPr>
        <xdr:cNvPr id="1114" name="B PROV DET PAGE">
          <a:hlinkClick xmlns:r="http://schemas.openxmlformats.org/officeDocument/2006/relationships" r:id="rId9" tooltip="Back to Provider Page"/>
          <a:extLst>
            <a:ext uri="{FF2B5EF4-FFF2-40B4-BE49-F238E27FC236}">
              <a16:creationId xmlns:a16="http://schemas.microsoft.com/office/drawing/2014/main" id="{B3CB99BE-0C1E-4A26-AAF1-97C10886D5DB}"/>
            </a:ext>
          </a:extLst>
        </xdr:cNvPr>
        <xdr:cNvSpPr/>
      </xdr:nvSpPr>
      <xdr:spPr>
        <a:xfrm>
          <a:off x="475339269"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415</xdr:col>
      <xdr:colOff>632165</xdr:colOff>
      <xdr:row>1</xdr:row>
      <xdr:rowOff>59690</xdr:rowOff>
    </xdr:from>
    <xdr:to>
      <xdr:col>416</xdr:col>
      <xdr:colOff>802430</xdr:colOff>
      <xdr:row>1</xdr:row>
      <xdr:rowOff>553466</xdr:rowOff>
    </xdr:to>
    <xdr:sp macro="" textlink="">
      <xdr:nvSpPr>
        <xdr:cNvPr id="1115" name="B IHSS PROG PAGE">
          <a:hlinkClick xmlns:r="http://schemas.openxmlformats.org/officeDocument/2006/relationships" r:id="rId10" tooltip="Back to Program Equity Page"/>
          <a:extLst>
            <a:ext uri="{FF2B5EF4-FFF2-40B4-BE49-F238E27FC236}">
              <a16:creationId xmlns:a16="http://schemas.microsoft.com/office/drawing/2014/main" id="{08A3B54E-CB40-4188-8ED8-FA4800B4E141}"/>
            </a:ext>
          </a:extLst>
        </xdr:cNvPr>
        <xdr:cNvSpPr/>
      </xdr:nvSpPr>
      <xdr:spPr>
        <a:xfrm>
          <a:off x="470738751"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419</xdr:col>
      <xdr:colOff>568357</xdr:colOff>
      <xdr:row>1</xdr:row>
      <xdr:rowOff>59690</xdr:rowOff>
    </xdr:from>
    <xdr:to>
      <xdr:col>420</xdr:col>
      <xdr:colOff>787427</xdr:colOff>
      <xdr:row>1</xdr:row>
      <xdr:rowOff>553466</xdr:rowOff>
    </xdr:to>
    <xdr:sp macro="" textlink="">
      <xdr:nvSpPr>
        <xdr:cNvPr id="1116" name="B ETHNICITY PAGE">
          <a:hlinkClick xmlns:r="http://schemas.openxmlformats.org/officeDocument/2006/relationships" r:id="rId11" tooltip="Back to Ethnicity &amp; Language Page"/>
          <a:extLst>
            <a:ext uri="{FF2B5EF4-FFF2-40B4-BE49-F238E27FC236}">
              <a16:creationId xmlns:a16="http://schemas.microsoft.com/office/drawing/2014/main" id="{653204EB-6CA6-466D-A869-D2DD0C3688D6}"/>
            </a:ext>
          </a:extLst>
        </xdr:cNvPr>
        <xdr:cNvSpPr/>
      </xdr:nvSpPr>
      <xdr:spPr>
        <a:xfrm>
          <a:off x="474166597"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413</xdr:col>
      <xdr:colOff>63552</xdr:colOff>
      <xdr:row>1</xdr:row>
      <xdr:rowOff>59690</xdr:rowOff>
    </xdr:from>
    <xdr:to>
      <xdr:col>414</xdr:col>
      <xdr:colOff>269092</xdr:colOff>
      <xdr:row>1</xdr:row>
      <xdr:rowOff>553466</xdr:rowOff>
    </xdr:to>
    <xdr:sp macro="" textlink="">
      <xdr:nvSpPr>
        <xdr:cNvPr id="1117" name="B GEN DATA PAGE">
          <a:hlinkClick xmlns:r="http://schemas.openxmlformats.org/officeDocument/2006/relationships" r:id="rId12" tooltip="IHSS Applicants Page (Current)"/>
          <a:extLst>
            <a:ext uri="{FF2B5EF4-FFF2-40B4-BE49-F238E27FC236}">
              <a16:creationId xmlns:a16="http://schemas.microsoft.com/office/drawing/2014/main" id="{4B8DB8FE-E0C1-4366-B868-5CEAA951A4FF}"/>
            </a:ext>
          </a:extLst>
        </xdr:cNvPr>
        <xdr:cNvSpPr/>
      </xdr:nvSpPr>
      <xdr:spPr>
        <a:xfrm>
          <a:off x="468440397" y="58420"/>
          <a:ext cx="107111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417</xdr:col>
      <xdr:colOff>22604</xdr:colOff>
      <xdr:row>1</xdr:row>
      <xdr:rowOff>59690</xdr:rowOff>
    </xdr:from>
    <xdr:to>
      <xdr:col>418</xdr:col>
      <xdr:colOff>252558</xdr:colOff>
      <xdr:row>1</xdr:row>
      <xdr:rowOff>553466</xdr:rowOff>
    </xdr:to>
    <xdr:sp macro="" textlink="">
      <xdr:nvSpPr>
        <xdr:cNvPr id="1118" name="B IHSS SERV PAGE">
          <a:hlinkClick xmlns:r="http://schemas.openxmlformats.org/officeDocument/2006/relationships" r:id="rId13" tooltip="IHSS Services Page (Current)"/>
          <a:extLst>
            <a:ext uri="{FF2B5EF4-FFF2-40B4-BE49-F238E27FC236}">
              <a16:creationId xmlns:a16="http://schemas.microsoft.com/office/drawing/2014/main" id="{240BA459-748E-48B3-87A6-302D575092FE}"/>
            </a:ext>
          </a:extLst>
        </xdr:cNvPr>
        <xdr:cNvSpPr/>
      </xdr:nvSpPr>
      <xdr:spPr>
        <a:xfrm>
          <a:off x="471869513"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437</xdr:col>
      <xdr:colOff>213777</xdr:colOff>
      <xdr:row>1</xdr:row>
      <xdr:rowOff>59690</xdr:rowOff>
    </xdr:from>
    <xdr:to>
      <xdr:col>438</xdr:col>
      <xdr:colOff>402386</xdr:colOff>
      <xdr:row>1</xdr:row>
      <xdr:rowOff>553466</xdr:rowOff>
    </xdr:to>
    <xdr:sp macro="" textlink="">
      <xdr:nvSpPr>
        <xdr:cNvPr id="1119" name="B AGE PAGE">
          <a:hlinkClick xmlns:r="http://schemas.openxmlformats.org/officeDocument/2006/relationships" r:id="rId2" tooltip="Age &amp; Gender Page (Current)"/>
          <a:extLst>
            <a:ext uri="{FF2B5EF4-FFF2-40B4-BE49-F238E27FC236}">
              <a16:creationId xmlns:a16="http://schemas.microsoft.com/office/drawing/2014/main" id="{A77B2D0D-148A-4553-95BB-C895EAAAE0CD}"/>
            </a:ext>
          </a:extLst>
        </xdr:cNvPr>
        <xdr:cNvSpPr/>
      </xdr:nvSpPr>
      <xdr:spPr>
        <a:xfrm>
          <a:off x="489417353"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429</xdr:col>
      <xdr:colOff>248681</xdr:colOff>
      <xdr:row>1</xdr:row>
      <xdr:rowOff>59690</xdr:rowOff>
    </xdr:from>
    <xdr:to>
      <xdr:col>430</xdr:col>
      <xdr:colOff>479202</xdr:colOff>
      <xdr:row>1</xdr:row>
      <xdr:rowOff>553466</xdr:rowOff>
    </xdr:to>
    <xdr:sp macro="" textlink="">
      <xdr:nvSpPr>
        <xdr:cNvPr id="1120" name="B HOME PAGE">
          <a:hlinkClick xmlns:r="http://schemas.openxmlformats.org/officeDocument/2006/relationships" r:id="rId3" tooltip="Back to Dashboard Page"/>
          <a:extLst>
            <a:ext uri="{FF2B5EF4-FFF2-40B4-BE49-F238E27FC236}">
              <a16:creationId xmlns:a16="http://schemas.microsoft.com/office/drawing/2014/main" id="{EE1824E5-D8C5-4C61-AD09-9F32F0D92672}"/>
            </a:ext>
          </a:extLst>
        </xdr:cNvPr>
        <xdr:cNvSpPr/>
      </xdr:nvSpPr>
      <xdr:spPr>
        <a:xfrm>
          <a:off x="482521021"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430</xdr:col>
      <xdr:colOff>518808</xdr:colOff>
      <xdr:row>1</xdr:row>
      <xdr:rowOff>59690</xdr:rowOff>
    </xdr:from>
    <xdr:to>
      <xdr:col>431</xdr:col>
      <xdr:colOff>722091</xdr:colOff>
      <xdr:row>1</xdr:row>
      <xdr:rowOff>553466</xdr:rowOff>
    </xdr:to>
    <xdr:sp macro="" textlink="">
      <xdr:nvSpPr>
        <xdr:cNvPr id="1121" name="B GEN DATA PAGE">
          <a:hlinkClick xmlns:r="http://schemas.openxmlformats.org/officeDocument/2006/relationships" r:id="rId4" tooltip="Back to General Data Page"/>
          <a:extLst>
            <a:ext uri="{FF2B5EF4-FFF2-40B4-BE49-F238E27FC236}">
              <a16:creationId xmlns:a16="http://schemas.microsoft.com/office/drawing/2014/main" id="{898B24BF-239B-471D-8814-3E96A75A8869}"/>
            </a:ext>
          </a:extLst>
        </xdr:cNvPr>
        <xdr:cNvSpPr/>
      </xdr:nvSpPr>
      <xdr:spPr>
        <a:xfrm>
          <a:off x="483655593" y="58420"/>
          <a:ext cx="10850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433</xdr:col>
      <xdr:colOff>212813</xdr:colOff>
      <xdr:row>1</xdr:row>
      <xdr:rowOff>59690</xdr:rowOff>
    </xdr:from>
    <xdr:to>
      <xdr:col>434</xdr:col>
      <xdr:colOff>442063</xdr:colOff>
      <xdr:row>1</xdr:row>
      <xdr:rowOff>553466</xdr:rowOff>
    </xdr:to>
    <xdr:sp macro="" textlink="">
      <xdr:nvSpPr>
        <xdr:cNvPr id="1122" name="B ABD PAGE">
          <a:hlinkClick xmlns:r="http://schemas.openxmlformats.org/officeDocument/2006/relationships" r:id="rId5" tooltip="Aged, Blind, or Disabled Page (Current)"/>
          <a:extLst>
            <a:ext uri="{FF2B5EF4-FFF2-40B4-BE49-F238E27FC236}">
              <a16:creationId xmlns:a16="http://schemas.microsoft.com/office/drawing/2014/main" id="{23C185E0-317F-48A5-9922-3C2668544B48}"/>
            </a:ext>
          </a:extLst>
        </xdr:cNvPr>
        <xdr:cNvSpPr/>
      </xdr:nvSpPr>
      <xdr:spPr>
        <a:xfrm>
          <a:off x="485945056"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428</xdr:col>
      <xdr:colOff>2263</xdr:colOff>
      <xdr:row>1</xdr:row>
      <xdr:rowOff>59690</xdr:rowOff>
    </xdr:from>
    <xdr:to>
      <xdr:col>429</xdr:col>
      <xdr:colOff>176337</xdr:colOff>
      <xdr:row>1</xdr:row>
      <xdr:rowOff>553466</xdr:rowOff>
    </xdr:to>
    <xdr:sp macro="" textlink="">
      <xdr:nvSpPr>
        <xdr:cNvPr id="1123" name="B GEN DATA PAGE">
          <a:hlinkClick xmlns:r="http://schemas.openxmlformats.org/officeDocument/2006/relationships" r:id="rId6" tooltip="Back to Navigation Page"/>
          <a:extLst>
            <a:ext uri="{FF2B5EF4-FFF2-40B4-BE49-F238E27FC236}">
              <a16:creationId xmlns:a16="http://schemas.microsoft.com/office/drawing/2014/main" id="{9FDCD5FF-ACDA-4FDF-911E-81707157651E}"/>
            </a:ext>
          </a:extLst>
        </xdr:cNvPr>
        <xdr:cNvSpPr/>
      </xdr:nvSpPr>
      <xdr:spPr>
        <a:xfrm>
          <a:off x="481375019"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442</xdr:col>
      <xdr:colOff>443222</xdr:colOff>
      <xdr:row>1</xdr:row>
      <xdr:rowOff>59690</xdr:rowOff>
    </xdr:from>
    <xdr:to>
      <xdr:col>443</xdr:col>
      <xdr:colOff>646244</xdr:colOff>
      <xdr:row>1</xdr:row>
      <xdr:rowOff>557276</xdr:rowOff>
    </xdr:to>
    <xdr:sp macro="" textlink="">
      <xdr:nvSpPr>
        <xdr:cNvPr id="1124" name="B ALL DATA PAGE">
          <a:hlinkClick xmlns:r="http://schemas.openxmlformats.org/officeDocument/2006/relationships" r:id="rId7" tooltip="Back to All Data Page"/>
          <a:extLst>
            <a:ext uri="{FF2B5EF4-FFF2-40B4-BE49-F238E27FC236}">
              <a16:creationId xmlns:a16="http://schemas.microsoft.com/office/drawing/2014/main" id="{2F11F1B4-3B6C-470A-9352-29D3E0ED2A82}"/>
            </a:ext>
          </a:extLst>
        </xdr:cNvPr>
        <xdr:cNvSpPr/>
      </xdr:nvSpPr>
      <xdr:spPr>
        <a:xfrm>
          <a:off x="493993020"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441</xdr:col>
      <xdr:colOff>173796</xdr:colOff>
      <xdr:row>1</xdr:row>
      <xdr:rowOff>59690</xdr:rowOff>
    </xdr:from>
    <xdr:to>
      <xdr:col>442</xdr:col>
      <xdr:colOff>365793</xdr:colOff>
      <xdr:row>1</xdr:row>
      <xdr:rowOff>553466</xdr:rowOff>
    </xdr:to>
    <xdr:sp macro="" textlink="">
      <xdr:nvSpPr>
        <xdr:cNvPr id="1125" name="B TERMS PAGE">
          <a:hlinkClick xmlns:r="http://schemas.openxmlformats.org/officeDocument/2006/relationships" r:id="rId8" tooltip="Back to Appendix &amp; Terms Page"/>
          <a:extLst>
            <a:ext uri="{FF2B5EF4-FFF2-40B4-BE49-F238E27FC236}">
              <a16:creationId xmlns:a16="http://schemas.microsoft.com/office/drawing/2014/main" id="{EFDD9113-16D2-41B6-ABD1-1AA7B6BB6137}"/>
            </a:ext>
          </a:extLst>
        </xdr:cNvPr>
        <xdr:cNvSpPr/>
      </xdr:nvSpPr>
      <xdr:spPr>
        <a:xfrm>
          <a:off x="492860136"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439</xdr:col>
      <xdr:colOff>764612</xdr:colOff>
      <xdr:row>1</xdr:row>
      <xdr:rowOff>59690</xdr:rowOff>
    </xdr:from>
    <xdr:to>
      <xdr:col>441</xdr:col>
      <xdr:colOff>97219</xdr:colOff>
      <xdr:row>1</xdr:row>
      <xdr:rowOff>553466</xdr:rowOff>
    </xdr:to>
    <xdr:sp macro="" textlink="">
      <xdr:nvSpPr>
        <xdr:cNvPr id="1126" name="B PROV DET PAGE">
          <a:hlinkClick xmlns:r="http://schemas.openxmlformats.org/officeDocument/2006/relationships" r:id="rId9" tooltip="Back to Provider Page"/>
          <a:extLst>
            <a:ext uri="{FF2B5EF4-FFF2-40B4-BE49-F238E27FC236}">
              <a16:creationId xmlns:a16="http://schemas.microsoft.com/office/drawing/2014/main" id="{250EFB7A-D7A2-47CA-A03B-A0013B569121}"/>
            </a:ext>
          </a:extLst>
        </xdr:cNvPr>
        <xdr:cNvSpPr/>
      </xdr:nvSpPr>
      <xdr:spPr>
        <a:xfrm>
          <a:off x="491716977"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434</xdr:col>
      <xdr:colOff>495640</xdr:colOff>
      <xdr:row>1</xdr:row>
      <xdr:rowOff>59690</xdr:rowOff>
    </xdr:from>
    <xdr:to>
      <xdr:col>435</xdr:col>
      <xdr:colOff>684954</xdr:colOff>
      <xdr:row>1</xdr:row>
      <xdr:rowOff>553466</xdr:rowOff>
    </xdr:to>
    <xdr:sp macro="" textlink="">
      <xdr:nvSpPr>
        <xdr:cNvPr id="1127" name="B IHSS PROG PAGE">
          <a:hlinkClick xmlns:r="http://schemas.openxmlformats.org/officeDocument/2006/relationships" r:id="rId10" tooltip="Back to Program Equity Page"/>
          <a:extLst>
            <a:ext uri="{FF2B5EF4-FFF2-40B4-BE49-F238E27FC236}">
              <a16:creationId xmlns:a16="http://schemas.microsoft.com/office/drawing/2014/main" id="{DA68CBC3-E1C7-419C-A8C3-C912C0CED03E}"/>
            </a:ext>
          </a:extLst>
        </xdr:cNvPr>
        <xdr:cNvSpPr/>
      </xdr:nvSpPr>
      <xdr:spPr>
        <a:xfrm>
          <a:off x="487116459"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438</xdr:col>
      <xdr:colOff>479810</xdr:colOff>
      <xdr:row>1</xdr:row>
      <xdr:rowOff>59690</xdr:rowOff>
    </xdr:from>
    <xdr:to>
      <xdr:col>439</xdr:col>
      <xdr:colOff>669952</xdr:colOff>
      <xdr:row>1</xdr:row>
      <xdr:rowOff>553466</xdr:rowOff>
    </xdr:to>
    <xdr:sp macro="" textlink="">
      <xdr:nvSpPr>
        <xdr:cNvPr id="1128" name="B ETHNICITY PAGE">
          <a:hlinkClick xmlns:r="http://schemas.openxmlformats.org/officeDocument/2006/relationships" r:id="rId11" tooltip="Back to Ethnicity &amp; Language Page"/>
          <a:extLst>
            <a:ext uri="{FF2B5EF4-FFF2-40B4-BE49-F238E27FC236}">
              <a16:creationId xmlns:a16="http://schemas.microsoft.com/office/drawing/2014/main" id="{ECC99EFC-0946-49C0-83B8-20C53FF298AD}"/>
            </a:ext>
          </a:extLst>
        </xdr:cNvPr>
        <xdr:cNvSpPr/>
      </xdr:nvSpPr>
      <xdr:spPr>
        <a:xfrm>
          <a:off x="490544305"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431</xdr:col>
      <xdr:colOff>819835</xdr:colOff>
      <xdr:row>1</xdr:row>
      <xdr:rowOff>59690</xdr:rowOff>
    </xdr:from>
    <xdr:to>
      <xdr:col>433</xdr:col>
      <xdr:colOff>174759</xdr:colOff>
      <xdr:row>1</xdr:row>
      <xdr:rowOff>553466</xdr:rowOff>
    </xdr:to>
    <xdr:sp macro="" textlink="">
      <xdr:nvSpPr>
        <xdr:cNvPr id="1129" name="B GEN DATA PAGE">
          <a:hlinkClick xmlns:r="http://schemas.openxmlformats.org/officeDocument/2006/relationships" r:id="rId12" tooltip="IHSS Applicants Page (Current)"/>
          <a:extLst>
            <a:ext uri="{FF2B5EF4-FFF2-40B4-BE49-F238E27FC236}">
              <a16:creationId xmlns:a16="http://schemas.microsoft.com/office/drawing/2014/main" id="{057FAC92-9269-4CC4-841B-D448833D243A}"/>
            </a:ext>
          </a:extLst>
        </xdr:cNvPr>
        <xdr:cNvSpPr/>
      </xdr:nvSpPr>
      <xdr:spPr>
        <a:xfrm>
          <a:off x="484818105"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435</xdr:col>
      <xdr:colOff>782698</xdr:colOff>
      <xdr:row>1</xdr:row>
      <xdr:rowOff>59690</xdr:rowOff>
    </xdr:from>
    <xdr:to>
      <xdr:col>437</xdr:col>
      <xdr:colOff>140163</xdr:colOff>
      <xdr:row>1</xdr:row>
      <xdr:rowOff>553466</xdr:rowOff>
    </xdr:to>
    <xdr:sp macro="" textlink="">
      <xdr:nvSpPr>
        <xdr:cNvPr id="1130" name="B IHSS SERV PAGE">
          <a:hlinkClick xmlns:r="http://schemas.openxmlformats.org/officeDocument/2006/relationships" r:id="rId13" tooltip="IHSS Services Page (Current)"/>
          <a:extLst>
            <a:ext uri="{FF2B5EF4-FFF2-40B4-BE49-F238E27FC236}">
              <a16:creationId xmlns:a16="http://schemas.microsoft.com/office/drawing/2014/main" id="{00C0C039-76F4-446F-803B-3C241694D40C}"/>
            </a:ext>
          </a:extLst>
        </xdr:cNvPr>
        <xdr:cNvSpPr/>
      </xdr:nvSpPr>
      <xdr:spPr>
        <a:xfrm>
          <a:off x="488247221"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437</xdr:col>
      <xdr:colOff>214412</xdr:colOff>
      <xdr:row>1</xdr:row>
      <xdr:rowOff>59690</xdr:rowOff>
    </xdr:from>
    <xdr:to>
      <xdr:col>438</xdr:col>
      <xdr:colOff>364921</xdr:colOff>
      <xdr:row>1</xdr:row>
      <xdr:rowOff>553466</xdr:rowOff>
    </xdr:to>
    <xdr:sp macro="" textlink="">
      <xdr:nvSpPr>
        <xdr:cNvPr id="1131" name="B AGE PAGE">
          <a:hlinkClick xmlns:r="http://schemas.openxmlformats.org/officeDocument/2006/relationships" r:id="rId2" tooltip="Age &amp; Gender Page (Current)"/>
          <a:extLst>
            <a:ext uri="{FF2B5EF4-FFF2-40B4-BE49-F238E27FC236}">
              <a16:creationId xmlns:a16="http://schemas.microsoft.com/office/drawing/2014/main" id="{4B9BCC01-5DF5-46B2-9671-78A8D22099EB}"/>
            </a:ext>
          </a:extLst>
        </xdr:cNvPr>
        <xdr:cNvSpPr/>
      </xdr:nvSpPr>
      <xdr:spPr>
        <a:xfrm>
          <a:off x="489401478" y="58420"/>
          <a:ext cx="104571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429</xdr:col>
      <xdr:colOff>254396</xdr:colOff>
      <xdr:row>1</xdr:row>
      <xdr:rowOff>59690</xdr:rowOff>
    </xdr:from>
    <xdr:to>
      <xdr:col>430</xdr:col>
      <xdr:colOff>443007</xdr:colOff>
      <xdr:row>1</xdr:row>
      <xdr:rowOff>553466</xdr:rowOff>
    </xdr:to>
    <xdr:sp macro="" textlink="">
      <xdr:nvSpPr>
        <xdr:cNvPr id="1132" name="B HOME PAGE">
          <a:hlinkClick xmlns:r="http://schemas.openxmlformats.org/officeDocument/2006/relationships" r:id="rId3" tooltip="Back to Dashboard Page"/>
          <a:extLst>
            <a:ext uri="{FF2B5EF4-FFF2-40B4-BE49-F238E27FC236}">
              <a16:creationId xmlns:a16="http://schemas.microsoft.com/office/drawing/2014/main" id="{EFBCD2DF-A01F-4C3B-B09C-0ECD33B6BF92}"/>
            </a:ext>
          </a:extLst>
        </xdr:cNvPr>
        <xdr:cNvSpPr/>
      </xdr:nvSpPr>
      <xdr:spPr>
        <a:xfrm>
          <a:off x="482505146"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430</xdr:col>
      <xdr:colOff>482613</xdr:colOff>
      <xdr:row>1</xdr:row>
      <xdr:rowOff>59690</xdr:rowOff>
    </xdr:from>
    <xdr:to>
      <xdr:col>431</xdr:col>
      <xdr:colOff>722726</xdr:colOff>
      <xdr:row>1</xdr:row>
      <xdr:rowOff>553466</xdr:rowOff>
    </xdr:to>
    <xdr:sp macro="" textlink="">
      <xdr:nvSpPr>
        <xdr:cNvPr id="1133" name="B GEN DATA PAGE">
          <a:hlinkClick xmlns:r="http://schemas.openxmlformats.org/officeDocument/2006/relationships" r:id="rId4" tooltip="Back to General Data Page"/>
          <a:extLst>
            <a:ext uri="{FF2B5EF4-FFF2-40B4-BE49-F238E27FC236}">
              <a16:creationId xmlns:a16="http://schemas.microsoft.com/office/drawing/2014/main" id="{215B3021-E7E2-4096-8DCD-529658EDD9FE}"/>
            </a:ext>
          </a:extLst>
        </xdr:cNvPr>
        <xdr:cNvSpPr/>
      </xdr:nvSpPr>
      <xdr:spPr>
        <a:xfrm>
          <a:off x="483646068"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433</xdr:col>
      <xdr:colOff>210908</xdr:colOff>
      <xdr:row>1</xdr:row>
      <xdr:rowOff>59690</xdr:rowOff>
    </xdr:from>
    <xdr:to>
      <xdr:col>434</xdr:col>
      <xdr:colOff>405868</xdr:colOff>
      <xdr:row>1</xdr:row>
      <xdr:rowOff>553466</xdr:rowOff>
    </xdr:to>
    <xdr:sp macro="" textlink="">
      <xdr:nvSpPr>
        <xdr:cNvPr id="1134" name="B ABD PAGE">
          <a:hlinkClick xmlns:r="http://schemas.openxmlformats.org/officeDocument/2006/relationships" r:id="rId5" tooltip="Aged, Blind, or Disabled Page (Current)"/>
          <a:extLst>
            <a:ext uri="{FF2B5EF4-FFF2-40B4-BE49-F238E27FC236}">
              <a16:creationId xmlns:a16="http://schemas.microsoft.com/office/drawing/2014/main" id="{2C799EE4-514B-4AB1-8FAF-91DD40378524}"/>
            </a:ext>
          </a:extLst>
        </xdr:cNvPr>
        <xdr:cNvSpPr/>
      </xdr:nvSpPr>
      <xdr:spPr>
        <a:xfrm>
          <a:off x="485929181"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427</xdr:col>
      <xdr:colOff>822048</xdr:colOff>
      <xdr:row>1</xdr:row>
      <xdr:rowOff>59690</xdr:rowOff>
    </xdr:from>
    <xdr:to>
      <xdr:col>429</xdr:col>
      <xdr:colOff>175702</xdr:colOff>
      <xdr:row>1</xdr:row>
      <xdr:rowOff>553466</xdr:rowOff>
    </xdr:to>
    <xdr:sp macro="" textlink="">
      <xdr:nvSpPr>
        <xdr:cNvPr id="1135" name="B GEN DATA PAGE">
          <a:hlinkClick xmlns:r="http://schemas.openxmlformats.org/officeDocument/2006/relationships" r:id="rId6" tooltip="Back to Navigation Page"/>
          <a:extLst>
            <a:ext uri="{FF2B5EF4-FFF2-40B4-BE49-F238E27FC236}">
              <a16:creationId xmlns:a16="http://schemas.microsoft.com/office/drawing/2014/main" id="{AC5DC69A-B6AE-4227-9316-F263167BC2CF}"/>
            </a:ext>
          </a:extLst>
        </xdr:cNvPr>
        <xdr:cNvSpPr/>
      </xdr:nvSpPr>
      <xdr:spPr>
        <a:xfrm>
          <a:off x="481359144"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442</xdr:col>
      <xdr:colOff>441317</xdr:colOff>
      <xdr:row>1</xdr:row>
      <xdr:rowOff>59690</xdr:rowOff>
    </xdr:from>
    <xdr:to>
      <xdr:col>443</xdr:col>
      <xdr:colOff>645609</xdr:colOff>
      <xdr:row>1</xdr:row>
      <xdr:rowOff>557276</xdr:rowOff>
    </xdr:to>
    <xdr:sp macro="" textlink="">
      <xdr:nvSpPr>
        <xdr:cNvPr id="1136" name="B ALL DATA PAGE">
          <a:hlinkClick xmlns:r="http://schemas.openxmlformats.org/officeDocument/2006/relationships" r:id="rId7" tooltip="Back to All Data Page"/>
          <a:extLst>
            <a:ext uri="{FF2B5EF4-FFF2-40B4-BE49-F238E27FC236}">
              <a16:creationId xmlns:a16="http://schemas.microsoft.com/office/drawing/2014/main" id="{BAE65EC0-E2AC-410F-9292-7EBA5FA0A798}"/>
            </a:ext>
          </a:extLst>
        </xdr:cNvPr>
        <xdr:cNvSpPr/>
      </xdr:nvSpPr>
      <xdr:spPr>
        <a:xfrm>
          <a:off x="493977145" y="58420"/>
          <a:ext cx="108200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441</xdr:col>
      <xdr:colOff>175701</xdr:colOff>
      <xdr:row>1</xdr:row>
      <xdr:rowOff>59690</xdr:rowOff>
    </xdr:from>
    <xdr:to>
      <xdr:col>442</xdr:col>
      <xdr:colOff>366428</xdr:colOff>
      <xdr:row>1</xdr:row>
      <xdr:rowOff>553466</xdr:rowOff>
    </xdr:to>
    <xdr:sp macro="" textlink="">
      <xdr:nvSpPr>
        <xdr:cNvPr id="1137" name="B TERMS PAGE">
          <a:hlinkClick xmlns:r="http://schemas.openxmlformats.org/officeDocument/2006/relationships" r:id="rId8" tooltip="Back to Appendix &amp; Terms Page"/>
          <a:extLst>
            <a:ext uri="{FF2B5EF4-FFF2-40B4-BE49-F238E27FC236}">
              <a16:creationId xmlns:a16="http://schemas.microsoft.com/office/drawing/2014/main" id="{249A70B4-6ADE-4AA7-887D-18F2C09BE63C}"/>
            </a:ext>
          </a:extLst>
        </xdr:cNvPr>
        <xdr:cNvSpPr/>
      </xdr:nvSpPr>
      <xdr:spPr>
        <a:xfrm>
          <a:off x="492844261"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439</xdr:col>
      <xdr:colOff>746197</xdr:colOff>
      <xdr:row>1</xdr:row>
      <xdr:rowOff>59690</xdr:rowOff>
    </xdr:from>
    <xdr:to>
      <xdr:col>441</xdr:col>
      <xdr:colOff>97854</xdr:colOff>
      <xdr:row>1</xdr:row>
      <xdr:rowOff>553466</xdr:rowOff>
    </xdr:to>
    <xdr:sp macro="" textlink="">
      <xdr:nvSpPr>
        <xdr:cNvPr id="1138" name="B PROV DET PAGE">
          <a:hlinkClick xmlns:r="http://schemas.openxmlformats.org/officeDocument/2006/relationships" r:id="rId9" tooltip="Back to Provider Page"/>
          <a:extLst>
            <a:ext uri="{FF2B5EF4-FFF2-40B4-BE49-F238E27FC236}">
              <a16:creationId xmlns:a16="http://schemas.microsoft.com/office/drawing/2014/main" id="{4C9354E4-D352-4891-8F69-EB1B665D1AEC}"/>
            </a:ext>
          </a:extLst>
        </xdr:cNvPr>
        <xdr:cNvSpPr/>
      </xdr:nvSpPr>
      <xdr:spPr>
        <a:xfrm>
          <a:off x="491701102"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434</xdr:col>
      <xdr:colOff>495005</xdr:colOff>
      <xdr:row>1</xdr:row>
      <xdr:rowOff>59690</xdr:rowOff>
    </xdr:from>
    <xdr:to>
      <xdr:col>435</xdr:col>
      <xdr:colOff>684319</xdr:colOff>
      <xdr:row>1</xdr:row>
      <xdr:rowOff>553466</xdr:rowOff>
    </xdr:to>
    <xdr:sp macro="" textlink="">
      <xdr:nvSpPr>
        <xdr:cNvPr id="1139" name="B IHSS PROG PAGE">
          <a:hlinkClick xmlns:r="http://schemas.openxmlformats.org/officeDocument/2006/relationships" r:id="rId10" tooltip="Back to Program Equity Page"/>
          <a:extLst>
            <a:ext uri="{FF2B5EF4-FFF2-40B4-BE49-F238E27FC236}">
              <a16:creationId xmlns:a16="http://schemas.microsoft.com/office/drawing/2014/main" id="{386F4316-242E-4401-855A-BD711E038604}"/>
            </a:ext>
          </a:extLst>
        </xdr:cNvPr>
        <xdr:cNvSpPr/>
      </xdr:nvSpPr>
      <xdr:spPr>
        <a:xfrm>
          <a:off x="487100584"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438</xdr:col>
      <xdr:colOff>444885</xdr:colOff>
      <xdr:row>1</xdr:row>
      <xdr:rowOff>59690</xdr:rowOff>
    </xdr:from>
    <xdr:to>
      <xdr:col>439</xdr:col>
      <xdr:colOff>635027</xdr:colOff>
      <xdr:row>1</xdr:row>
      <xdr:rowOff>553466</xdr:rowOff>
    </xdr:to>
    <xdr:sp macro="" textlink="">
      <xdr:nvSpPr>
        <xdr:cNvPr id="1140" name="B ETHNICITY PAGE">
          <a:hlinkClick xmlns:r="http://schemas.openxmlformats.org/officeDocument/2006/relationships" r:id="rId11" tooltip="Back to Ethnicity &amp; Language Page"/>
          <a:extLst>
            <a:ext uri="{FF2B5EF4-FFF2-40B4-BE49-F238E27FC236}">
              <a16:creationId xmlns:a16="http://schemas.microsoft.com/office/drawing/2014/main" id="{852B3F1B-D8CD-4553-AD7E-C5EF3FED2F93}"/>
            </a:ext>
          </a:extLst>
        </xdr:cNvPr>
        <xdr:cNvSpPr/>
      </xdr:nvSpPr>
      <xdr:spPr>
        <a:xfrm>
          <a:off x="490528430"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431</xdr:col>
      <xdr:colOff>784910</xdr:colOff>
      <xdr:row>1</xdr:row>
      <xdr:rowOff>59690</xdr:rowOff>
    </xdr:from>
    <xdr:to>
      <xdr:col>433</xdr:col>
      <xdr:colOff>136024</xdr:colOff>
      <xdr:row>1</xdr:row>
      <xdr:rowOff>553466</xdr:rowOff>
    </xdr:to>
    <xdr:sp macro="" textlink="">
      <xdr:nvSpPr>
        <xdr:cNvPr id="1141" name="B GEN DATA PAGE">
          <a:hlinkClick xmlns:r="http://schemas.openxmlformats.org/officeDocument/2006/relationships" r:id="rId12" tooltip="IHSS Applicants Page (Current)"/>
          <a:extLst>
            <a:ext uri="{FF2B5EF4-FFF2-40B4-BE49-F238E27FC236}">
              <a16:creationId xmlns:a16="http://schemas.microsoft.com/office/drawing/2014/main" id="{790E3F9B-8ACD-4B18-A817-B8CCB480C541}"/>
            </a:ext>
          </a:extLst>
        </xdr:cNvPr>
        <xdr:cNvSpPr/>
      </xdr:nvSpPr>
      <xdr:spPr>
        <a:xfrm>
          <a:off x="484795880" y="58420"/>
          <a:ext cx="108381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435</xdr:col>
      <xdr:colOff>763013</xdr:colOff>
      <xdr:row>1</xdr:row>
      <xdr:rowOff>59690</xdr:rowOff>
    </xdr:from>
    <xdr:to>
      <xdr:col>437</xdr:col>
      <xdr:colOff>116668</xdr:colOff>
      <xdr:row>1</xdr:row>
      <xdr:rowOff>553466</xdr:rowOff>
    </xdr:to>
    <xdr:sp macro="" textlink="">
      <xdr:nvSpPr>
        <xdr:cNvPr id="1142" name="B IHSS SERV PAGE">
          <a:hlinkClick xmlns:r="http://schemas.openxmlformats.org/officeDocument/2006/relationships" r:id="rId13" tooltip="IHSS Services Page (Current)"/>
          <a:extLst>
            <a:ext uri="{FF2B5EF4-FFF2-40B4-BE49-F238E27FC236}">
              <a16:creationId xmlns:a16="http://schemas.microsoft.com/office/drawing/2014/main" id="{9B094F69-BEEE-4999-A132-76CD50D7BC53}"/>
            </a:ext>
          </a:extLst>
        </xdr:cNvPr>
        <xdr:cNvSpPr/>
      </xdr:nvSpPr>
      <xdr:spPr>
        <a:xfrm>
          <a:off x="488231346"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456</xdr:col>
      <xdr:colOff>20313</xdr:colOff>
      <xdr:row>1</xdr:row>
      <xdr:rowOff>59690</xdr:rowOff>
    </xdr:from>
    <xdr:to>
      <xdr:col>457</xdr:col>
      <xdr:colOff>175339</xdr:colOff>
      <xdr:row>1</xdr:row>
      <xdr:rowOff>553466</xdr:rowOff>
    </xdr:to>
    <xdr:sp macro="" textlink="">
      <xdr:nvSpPr>
        <xdr:cNvPr id="1143" name="B AGE PAGE">
          <a:hlinkClick xmlns:r="http://schemas.openxmlformats.org/officeDocument/2006/relationships" r:id="rId2" tooltip="Age &amp; Gender Page (Current)"/>
          <a:extLst>
            <a:ext uri="{FF2B5EF4-FFF2-40B4-BE49-F238E27FC236}">
              <a16:creationId xmlns:a16="http://schemas.microsoft.com/office/drawing/2014/main" id="{5A69FDEF-A3A0-4EAD-A5ED-8A00C0E8AE88}"/>
            </a:ext>
          </a:extLst>
        </xdr:cNvPr>
        <xdr:cNvSpPr/>
      </xdr:nvSpPr>
      <xdr:spPr>
        <a:xfrm>
          <a:off x="505698753"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448</xdr:col>
      <xdr:colOff>60299</xdr:colOff>
      <xdr:row>1</xdr:row>
      <xdr:rowOff>59690</xdr:rowOff>
    </xdr:from>
    <xdr:to>
      <xdr:col>449</xdr:col>
      <xdr:colOff>265841</xdr:colOff>
      <xdr:row>1</xdr:row>
      <xdr:rowOff>553466</xdr:rowOff>
    </xdr:to>
    <xdr:sp macro="" textlink="">
      <xdr:nvSpPr>
        <xdr:cNvPr id="1144" name="B HOME PAGE">
          <a:hlinkClick xmlns:r="http://schemas.openxmlformats.org/officeDocument/2006/relationships" r:id="rId3" tooltip="Back to Dashboard Page"/>
          <a:extLst>
            <a:ext uri="{FF2B5EF4-FFF2-40B4-BE49-F238E27FC236}">
              <a16:creationId xmlns:a16="http://schemas.microsoft.com/office/drawing/2014/main" id="{96FA1CFE-8725-4A96-89C3-7CE135D7B432}"/>
            </a:ext>
          </a:extLst>
        </xdr:cNvPr>
        <xdr:cNvSpPr/>
      </xdr:nvSpPr>
      <xdr:spPr>
        <a:xfrm>
          <a:off x="498802421"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449</xdr:col>
      <xdr:colOff>326331</xdr:colOff>
      <xdr:row>1</xdr:row>
      <xdr:rowOff>59690</xdr:rowOff>
    </xdr:from>
    <xdr:to>
      <xdr:col>450</xdr:col>
      <xdr:colOff>518468</xdr:colOff>
      <xdr:row>1</xdr:row>
      <xdr:rowOff>553466</xdr:rowOff>
    </xdr:to>
    <xdr:sp macro="" textlink="">
      <xdr:nvSpPr>
        <xdr:cNvPr id="1145" name="B GEN DATA PAGE">
          <a:hlinkClick xmlns:r="http://schemas.openxmlformats.org/officeDocument/2006/relationships" r:id="rId4" tooltip="Back to General Data Page"/>
          <a:extLst>
            <a:ext uri="{FF2B5EF4-FFF2-40B4-BE49-F238E27FC236}">
              <a16:creationId xmlns:a16="http://schemas.microsoft.com/office/drawing/2014/main" id="{6BAFE69C-CC5F-4F3F-BF89-CAAD03161FC7}"/>
            </a:ext>
          </a:extLst>
        </xdr:cNvPr>
        <xdr:cNvSpPr/>
      </xdr:nvSpPr>
      <xdr:spPr>
        <a:xfrm>
          <a:off x="499943343" y="58420"/>
          <a:ext cx="10723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452</xdr:col>
      <xdr:colOff>2840</xdr:colOff>
      <xdr:row>1</xdr:row>
      <xdr:rowOff>59690</xdr:rowOff>
    </xdr:from>
    <xdr:to>
      <xdr:col>453</xdr:col>
      <xdr:colOff>249306</xdr:colOff>
      <xdr:row>1</xdr:row>
      <xdr:rowOff>553466</xdr:rowOff>
    </xdr:to>
    <xdr:sp macro="" textlink="">
      <xdr:nvSpPr>
        <xdr:cNvPr id="1146" name="B ABD PAGE">
          <a:hlinkClick xmlns:r="http://schemas.openxmlformats.org/officeDocument/2006/relationships" r:id="rId5" tooltip="Aged, Blind, or Disabled Page (Current)"/>
          <a:extLst>
            <a:ext uri="{FF2B5EF4-FFF2-40B4-BE49-F238E27FC236}">
              <a16:creationId xmlns:a16="http://schemas.microsoft.com/office/drawing/2014/main" id="{E55CAE52-3D6D-4154-84B7-2BE57D3B20BB}"/>
            </a:ext>
          </a:extLst>
        </xdr:cNvPr>
        <xdr:cNvSpPr/>
      </xdr:nvSpPr>
      <xdr:spPr>
        <a:xfrm>
          <a:off x="502226456"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446</xdr:col>
      <xdr:colOff>634299</xdr:colOff>
      <xdr:row>1</xdr:row>
      <xdr:rowOff>59690</xdr:rowOff>
    </xdr:from>
    <xdr:to>
      <xdr:col>447</xdr:col>
      <xdr:colOff>838855</xdr:colOff>
      <xdr:row>1</xdr:row>
      <xdr:rowOff>553466</xdr:rowOff>
    </xdr:to>
    <xdr:sp macro="" textlink="">
      <xdr:nvSpPr>
        <xdr:cNvPr id="1147" name="B GEN DATA PAGE">
          <a:hlinkClick xmlns:r="http://schemas.openxmlformats.org/officeDocument/2006/relationships" r:id="rId6" tooltip="Back to Navigation Page"/>
          <a:extLst>
            <a:ext uri="{FF2B5EF4-FFF2-40B4-BE49-F238E27FC236}">
              <a16:creationId xmlns:a16="http://schemas.microsoft.com/office/drawing/2014/main" id="{13AD9615-1FBC-481F-BA34-737336A8EFD0}"/>
            </a:ext>
          </a:extLst>
        </xdr:cNvPr>
        <xdr:cNvSpPr/>
      </xdr:nvSpPr>
      <xdr:spPr>
        <a:xfrm>
          <a:off x="497656419"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461</xdr:col>
      <xdr:colOff>250464</xdr:colOff>
      <xdr:row>1</xdr:row>
      <xdr:rowOff>59690</xdr:rowOff>
    </xdr:from>
    <xdr:to>
      <xdr:col>462</xdr:col>
      <xdr:colOff>442478</xdr:colOff>
      <xdr:row>1</xdr:row>
      <xdr:rowOff>557276</xdr:rowOff>
    </xdr:to>
    <xdr:sp macro="" textlink="">
      <xdr:nvSpPr>
        <xdr:cNvPr id="1148" name="B ALL DATA PAGE">
          <a:hlinkClick xmlns:r="http://schemas.openxmlformats.org/officeDocument/2006/relationships" r:id="rId7" tooltip="Back to All Data Page"/>
          <a:extLst>
            <a:ext uri="{FF2B5EF4-FFF2-40B4-BE49-F238E27FC236}">
              <a16:creationId xmlns:a16="http://schemas.microsoft.com/office/drawing/2014/main" id="{25133924-9AE2-4973-8181-54CD3E018B8A}"/>
            </a:ext>
          </a:extLst>
        </xdr:cNvPr>
        <xdr:cNvSpPr/>
      </xdr:nvSpPr>
      <xdr:spPr>
        <a:xfrm>
          <a:off x="510274420"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459</xdr:col>
      <xdr:colOff>837583</xdr:colOff>
      <xdr:row>1</xdr:row>
      <xdr:rowOff>59690</xdr:rowOff>
    </xdr:from>
    <xdr:to>
      <xdr:col>461</xdr:col>
      <xdr:colOff>175575</xdr:colOff>
      <xdr:row>1</xdr:row>
      <xdr:rowOff>553466</xdr:rowOff>
    </xdr:to>
    <xdr:sp macro="" textlink="">
      <xdr:nvSpPr>
        <xdr:cNvPr id="1149" name="B TERMS PAGE">
          <a:hlinkClick xmlns:r="http://schemas.openxmlformats.org/officeDocument/2006/relationships" r:id="rId8" tooltip="Back to Appendix &amp; Terms Page"/>
          <a:extLst>
            <a:ext uri="{FF2B5EF4-FFF2-40B4-BE49-F238E27FC236}">
              <a16:creationId xmlns:a16="http://schemas.microsoft.com/office/drawing/2014/main" id="{7D46062D-E7B8-4AFF-ADBA-942397C63EE4}"/>
            </a:ext>
          </a:extLst>
        </xdr:cNvPr>
        <xdr:cNvSpPr/>
      </xdr:nvSpPr>
      <xdr:spPr>
        <a:xfrm>
          <a:off x="509141536"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458</xdr:col>
      <xdr:colOff>569877</xdr:colOff>
      <xdr:row>1</xdr:row>
      <xdr:rowOff>59690</xdr:rowOff>
    </xdr:from>
    <xdr:to>
      <xdr:col>459</xdr:col>
      <xdr:colOff>763546</xdr:colOff>
      <xdr:row>1</xdr:row>
      <xdr:rowOff>553466</xdr:rowOff>
    </xdr:to>
    <xdr:sp macro="" textlink="">
      <xdr:nvSpPr>
        <xdr:cNvPr id="1150" name="B PROV DET PAGE">
          <a:hlinkClick xmlns:r="http://schemas.openxmlformats.org/officeDocument/2006/relationships" r:id="rId9" tooltip="Back to Provider Page"/>
          <a:extLst>
            <a:ext uri="{FF2B5EF4-FFF2-40B4-BE49-F238E27FC236}">
              <a16:creationId xmlns:a16="http://schemas.microsoft.com/office/drawing/2014/main" id="{3DFA34F9-5834-4596-8F51-0CEC635D92E7}"/>
            </a:ext>
          </a:extLst>
        </xdr:cNvPr>
        <xdr:cNvSpPr/>
      </xdr:nvSpPr>
      <xdr:spPr>
        <a:xfrm>
          <a:off x="507998377"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453</xdr:col>
      <xdr:colOff>291734</xdr:colOff>
      <xdr:row>1</xdr:row>
      <xdr:rowOff>59690</xdr:rowOff>
    </xdr:from>
    <xdr:to>
      <xdr:col>454</xdr:col>
      <xdr:colOff>482601</xdr:colOff>
      <xdr:row>1</xdr:row>
      <xdr:rowOff>553466</xdr:rowOff>
    </xdr:to>
    <xdr:sp macro="" textlink="">
      <xdr:nvSpPr>
        <xdr:cNvPr id="1151" name="B IHSS PROG PAGE">
          <a:hlinkClick xmlns:r="http://schemas.openxmlformats.org/officeDocument/2006/relationships" r:id="rId10" tooltip="Back to Program Equity Page"/>
          <a:extLst>
            <a:ext uri="{FF2B5EF4-FFF2-40B4-BE49-F238E27FC236}">
              <a16:creationId xmlns:a16="http://schemas.microsoft.com/office/drawing/2014/main" id="{40BB18A7-F7A3-404F-8232-403A09C76E0A}"/>
            </a:ext>
          </a:extLst>
        </xdr:cNvPr>
        <xdr:cNvSpPr/>
      </xdr:nvSpPr>
      <xdr:spPr>
        <a:xfrm>
          <a:off x="503397859"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457</xdr:col>
      <xdr:colOff>263911</xdr:colOff>
      <xdr:row>1</xdr:row>
      <xdr:rowOff>59690</xdr:rowOff>
    </xdr:from>
    <xdr:to>
      <xdr:col>458</xdr:col>
      <xdr:colOff>478745</xdr:colOff>
      <xdr:row>1</xdr:row>
      <xdr:rowOff>553466</xdr:rowOff>
    </xdr:to>
    <xdr:sp macro="" textlink="">
      <xdr:nvSpPr>
        <xdr:cNvPr id="1152" name="B ETHNICITY PAGE">
          <a:hlinkClick xmlns:r="http://schemas.openxmlformats.org/officeDocument/2006/relationships" r:id="rId11" tooltip="Back to Ethnicity &amp; Language Page"/>
          <a:extLst>
            <a:ext uri="{FF2B5EF4-FFF2-40B4-BE49-F238E27FC236}">
              <a16:creationId xmlns:a16="http://schemas.microsoft.com/office/drawing/2014/main" id="{72837E23-EBEE-4653-B1C6-0D01886126B0}"/>
            </a:ext>
          </a:extLst>
        </xdr:cNvPr>
        <xdr:cNvSpPr/>
      </xdr:nvSpPr>
      <xdr:spPr>
        <a:xfrm>
          <a:off x="506825705"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450</xdr:col>
      <xdr:colOff>608592</xdr:colOff>
      <xdr:row>1</xdr:row>
      <xdr:rowOff>59690</xdr:rowOff>
    </xdr:from>
    <xdr:to>
      <xdr:col>451</xdr:col>
      <xdr:colOff>801716</xdr:colOff>
      <xdr:row>1</xdr:row>
      <xdr:rowOff>553466</xdr:rowOff>
    </xdr:to>
    <xdr:sp macro="" textlink="">
      <xdr:nvSpPr>
        <xdr:cNvPr id="1153" name="B GEN DATA PAGE">
          <a:hlinkClick xmlns:r="http://schemas.openxmlformats.org/officeDocument/2006/relationships" r:id="rId12" tooltip="IHSS Applicants Page (Current)"/>
          <a:extLst>
            <a:ext uri="{FF2B5EF4-FFF2-40B4-BE49-F238E27FC236}">
              <a16:creationId xmlns:a16="http://schemas.microsoft.com/office/drawing/2014/main" id="{7C856930-57BD-4ADB-9BC9-5EA60FA73A9C}"/>
            </a:ext>
          </a:extLst>
        </xdr:cNvPr>
        <xdr:cNvSpPr/>
      </xdr:nvSpPr>
      <xdr:spPr>
        <a:xfrm>
          <a:off x="501099505"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454</xdr:col>
      <xdr:colOff>568915</xdr:colOff>
      <xdr:row>1</xdr:row>
      <xdr:rowOff>59690</xdr:rowOff>
    </xdr:from>
    <xdr:to>
      <xdr:col>455</xdr:col>
      <xdr:colOff>783629</xdr:colOff>
      <xdr:row>1</xdr:row>
      <xdr:rowOff>553466</xdr:rowOff>
    </xdr:to>
    <xdr:sp macro="" textlink="">
      <xdr:nvSpPr>
        <xdr:cNvPr id="1154" name="B IHSS SERV PAGE">
          <a:hlinkClick xmlns:r="http://schemas.openxmlformats.org/officeDocument/2006/relationships" r:id="rId13" tooltip="IHSS Services Page (Current)"/>
          <a:extLst>
            <a:ext uri="{FF2B5EF4-FFF2-40B4-BE49-F238E27FC236}">
              <a16:creationId xmlns:a16="http://schemas.microsoft.com/office/drawing/2014/main" id="{208B3120-7309-4589-B7A5-7E143AC97B0C}"/>
            </a:ext>
          </a:extLst>
        </xdr:cNvPr>
        <xdr:cNvSpPr/>
      </xdr:nvSpPr>
      <xdr:spPr>
        <a:xfrm>
          <a:off x="504528621"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455</xdr:col>
      <xdr:colOff>838828</xdr:colOff>
      <xdr:row>1</xdr:row>
      <xdr:rowOff>59690</xdr:rowOff>
    </xdr:from>
    <xdr:to>
      <xdr:col>457</xdr:col>
      <xdr:colOff>174704</xdr:colOff>
      <xdr:row>1</xdr:row>
      <xdr:rowOff>553466</xdr:rowOff>
    </xdr:to>
    <xdr:sp macro="" textlink="">
      <xdr:nvSpPr>
        <xdr:cNvPr id="1155" name="B AGE PAGE">
          <a:hlinkClick xmlns:r="http://schemas.openxmlformats.org/officeDocument/2006/relationships" r:id="rId2" tooltip="Age &amp; Gender Page (Current)"/>
          <a:extLst>
            <a:ext uri="{FF2B5EF4-FFF2-40B4-BE49-F238E27FC236}">
              <a16:creationId xmlns:a16="http://schemas.microsoft.com/office/drawing/2014/main" id="{31F20A4C-E2A4-4589-9E91-2636A326AC3F}"/>
            </a:ext>
          </a:extLst>
        </xdr:cNvPr>
        <xdr:cNvSpPr/>
      </xdr:nvSpPr>
      <xdr:spPr>
        <a:xfrm>
          <a:off x="505682878"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448</xdr:col>
      <xdr:colOff>24104</xdr:colOff>
      <xdr:row>1</xdr:row>
      <xdr:rowOff>59690</xdr:rowOff>
    </xdr:from>
    <xdr:to>
      <xdr:col>449</xdr:col>
      <xdr:colOff>251519</xdr:colOff>
      <xdr:row>1</xdr:row>
      <xdr:rowOff>553466</xdr:rowOff>
    </xdr:to>
    <xdr:sp macro="" textlink="">
      <xdr:nvSpPr>
        <xdr:cNvPr id="1156" name="B HOME PAGE">
          <a:hlinkClick xmlns:r="http://schemas.openxmlformats.org/officeDocument/2006/relationships" r:id="rId3" tooltip="Back to Dashboard Page"/>
          <a:extLst>
            <a:ext uri="{FF2B5EF4-FFF2-40B4-BE49-F238E27FC236}">
              <a16:creationId xmlns:a16="http://schemas.microsoft.com/office/drawing/2014/main" id="{B7944A9F-39F4-4425-A325-11E8723C3398}"/>
            </a:ext>
          </a:extLst>
        </xdr:cNvPr>
        <xdr:cNvSpPr/>
      </xdr:nvSpPr>
      <xdr:spPr>
        <a:xfrm>
          <a:off x="498786546"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449</xdr:col>
      <xdr:colOff>288866</xdr:colOff>
      <xdr:row>1</xdr:row>
      <xdr:rowOff>59690</xdr:rowOff>
    </xdr:from>
    <xdr:to>
      <xdr:col>450</xdr:col>
      <xdr:colOff>517833</xdr:colOff>
      <xdr:row>1</xdr:row>
      <xdr:rowOff>553466</xdr:rowOff>
    </xdr:to>
    <xdr:sp macro="" textlink="">
      <xdr:nvSpPr>
        <xdr:cNvPr id="1157" name="B GEN DATA PAGE">
          <a:hlinkClick xmlns:r="http://schemas.openxmlformats.org/officeDocument/2006/relationships" r:id="rId4" tooltip="Back to General Data Page"/>
          <a:extLst>
            <a:ext uri="{FF2B5EF4-FFF2-40B4-BE49-F238E27FC236}">
              <a16:creationId xmlns:a16="http://schemas.microsoft.com/office/drawing/2014/main" id="{5ED8A809-1707-4505-87BB-808D5E5CC4B2}"/>
            </a:ext>
          </a:extLst>
        </xdr:cNvPr>
        <xdr:cNvSpPr/>
      </xdr:nvSpPr>
      <xdr:spPr>
        <a:xfrm>
          <a:off x="499927468"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451</xdr:col>
      <xdr:colOff>837865</xdr:colOff>
      <xdr:row>1</xdr:row>
      <xdr:rowOff>59690</xdr:rowOff>
    </xdr:from>
    <xdr:to>
      <xdr:col>453</xdr:col>
      <xdr:colOff>213111</xdr:colOff>
      <xdr:row>1</xdr:row>
      <xdr:rowOff>553466</xdr:rowOff>
    </xdr:to>
    <xdr:sp macro="" textlink="">
      <xdr:nvSpPr>
        <xdr:cNvPr id="1158" name="B ABD PAGE">
          <a:hlinkClick xmlns:r="http://schemas.openxmlformats.org/officeDocument/2006/relationships" r:id="rId5" tooltip="Aged, Blind, or Disabled Page (Current)"/>
          <a:extLst>
            <a:ext uri="{FF2B5EF4-FFF2-40B4-BE49-F238E27FC236}">
              <a16:creationId xmlns:a16="http://schemas.microsoft.com/office/drawing/2014/main" id="{C51A3E00-0E81-40A3-8CF8-FABE71976AC3}"/>
            </a:ext>
          </a:extLst>
        </xdr:cNvPr>
        <xdr:cNvSpPr/>
      </xdr:nvSpPr>
      <xdr:spPr>
        <a:xfrm>
          <a:off x="502210581"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446</xdr:col>
      <xdr:colOff>612074</xdr:colOff>
      <xdr:row>1</xdr:row>
      <xdr:rowOff>59690</xdr:rowOff>
    </xdr:from>
    <xdr:to>
      <xdr:col>447</xdr:col>
      <xdr:colOff>821710</xdr:colOff>
      <xdr:row>1</xdr:row>
      <xdr:rowOff>553466</xdr:rowOff>
    </xdr:to>
    <xdr:sp macro="" textlink="">
      <xdr:nvSpPr>
        <xdr:cNvPr id="1159" name="B GEN DATA PAGE">
          <a:hlinkClick xmlns:r="http://schemas.openxmlformats.org/officeDocument/2006/relationships" r:id="rId6" tooltip="Back to Navigation Page"/>
          <a:extLst>
            <a:ext uri="{FF2B5EF4-FFF2-40B4-BE49-F238E27FC236}">
              <a16:creationId xmlns:a16="http://schemas.microsoft.com/office/drawing/2014/main" id="{FC365CC7-284D-45E2-BA57-65DD9C36EE58}"/>
            </a:ext>
          </a:extLst>
        </xdr:cNvPr>
        <xdr:cNvSpPr/>
      </xdr:nvSpPr>
      <xdr:spPr>
        <a:xfrm>
          <a:off x="497640544"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461</xdr:col>
      <xdr:colOff>214269</xdr:colOff>
      <xdr:row>1</xdr:row>
      <xdr:rowOff>59690</xdr:rowOff>
    </xdr:from>
    <xdr:to>
      <xdr:col>462</xdr:col>
      <xdr:colOff>443113</xdr:colOff>
      <xdr:row>1</xdr:row>
      <xdr:rowOff>557276</xdr:rowOff>
    </xdr:to>
    <xdr:sp macro="" textlink="">
      <xdr:nvSpPr>
        <xdr:cNvPr id="1160" name="B ALL DATA PAGE">
          <a:hlinkClick xmlns:r="http://schemas.openxmlformats.org/officeDocument/2006/relationships" r:id="rId7" tooltip="Back to All Data Page"/>
          <a:extLst>
            <a:ext uri="{FF2B5EF4-FFF2-40B4-BE49-F238E27FC236}">
              <a16:creationId xmlns:a16="http://schemas.microsoft.com/office/drawing/2014/main" id="{55E804C1-B5D1-40C4-A185-4876B1245DA5}"/>
            </a:ext>
          </a:extLst>
        </xdr:cNvPr>
        <xdr:cNvSpPr/>
      </xdr:nvSpPr>
      <xdr:spPr>
        <a:xfrm>
          <a:off x="510258545"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459</xdr:col>
      <xdr:colOff>824248</xdr:colOff>
      <xdr:row>1</xdr:row>
      <xdr:rowOff>59690</xdr:rowOff>
    </xdr:from>
    <xdr:to>
      <xdr:col>461</xdr:col>
      <xdr:colOff>139380</xdr:colOff>
      <xdr:row>1</xdr:row>
      <xdr:rowOff>553466</xdr:rowOff>
    </xdr:to>
    <xdr:sp macro="" textlink="">
      <xdr:nvSpPr>
        <xdr:cNvPr id="1161" name="B TERMS PAGE">
          <a:hlinkClick xmlns:r="http://schemas.openxmlformats.org/officeDocument/2006/relationships" r:id="rId8" tooltip="Back to Appendix &amp; Terms Page"/>
          <a:extLst>
            <a:ext uri="{FF2B5EF4-FFF2-40B4-BE49-F238E27FC236}">
              <a16:creationId xmlns:a16="http://schemas.microsoft.com/office/drawing/2014/main" id="{3D2FF647-7553-45F2-A371-1FB7CACF008B}"/>
            </a:ext>
          </a:extLst>
        </xdr:cNvPr>
        <xdr:cNvSpPr/>
      </xdr:nvSpPr>
      <xdr:spPr>
        <a:xfrm>
          <a:off x="509125661"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458</xdr:col>
      <xdr:colOff>533682</xdr:colOff>
      <xdr:row>1</xdr:row>
      <xdr:rowOff>59690</xdr:rowOff>
    </xdr:from>
    <xdr:to>
      <xdr:col>459</xdr:col>
      <xdr:colOff>747671</xdr:colOff>
      <xdr:row>1</xdr:row>
      <xdr:rowOff>553466</xdr:rowOff>
    </xdr:to>
    <xdr:sp macro="" textlink="">
      <xdr:nvSpPr>
        <xdr:cNvPr id="1162" name="B PROV DET PAGE">
          <a:hlinkClick xmlns:r="http://schemas.openxmlformats.org/officeDocument/2006/relationships" r:id="rId9" tooltip="Back to Provider Page"/>
          <a:extLst>
            <a:ext uri="{FF2B5EF4-FFF2-40B4-BE49-F238E27FC236}">
              <a16:creationId xmlns:a16="http://schemas.microsoft.com/office/drawing/2014/main" id="{333EB0FB-559E-40E7-BBDE-348E4574A11F}"/>
            </a:ext>
          </a:extLst>
        </xdr:cNvPr>
        <xdr:cNvSpPr/>
      </xdr:nvSpPr>
      <xdr:spPr>
        <a:xfrm>
          <a:off x="507982502"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453</xdr:col>
      <xdr:colOff>288559</xdr:colOff>
      <xdr:row>1</xdr:row>
      <xdr:rowOff>59690</xdr:rowOff>
    </xdr:from>
    <xdr:to>
      <xdr:col>454</xdr:col>
      <xdr:colOff>477874</xdr:colOff>
      <xdr:row>1</xdr:row>
      <xdr:rowOff>553466</xdr:rowOff>
    </xdr:to>
    <xdr:sp macro="" textlink="">
      <xdr:nvSpPr>
        <xdr:cNvPr id="1163" name="B IHSS PROG PAGE">
          <a:hlinkClick xmlns:r="http://schemas.openxmlformats.org/officeDocument/2006/relationships" r:id="rId10" tooltip="Back to Program Equity Page"/>
          <a:extLst>
            <a:ext uri="{FF2B5EF4-FFF2-40B4-BE49-F238E27FC236}">
              <a16:creationId xmlns:a16="http://schemas.microsoft.com/office/drawing/2014/main" id="{2200FCDB-6504-4999-8896-B1223573EC9D}"/>
            </a:ext>
          </a:extLst>
        </xdr:cNvPr>
        <xdr:cNvSpPr/>
      </xdr:nvSpPr>
      <xdr:spPr>
        <a:xfrm>
          <a:off x="503381984"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457</xdr:col>
      <xdr:colOff>248318</xdr:colOff>
      <xdr:row>1</xdr:row>
      <xdr:rowOff>59690</xdr:rowOff>
    </xdr:from>
    <xdr:to>
      <xdr:col>458</xdr:col>
      <xdr:colOff>441280</xdr:colOff>
      <xdr:row>1</xdr:row>
      <xdr:rowOff>553466</xdr:rowOff>
    </xdr:to>
    <xdr:sp macro="" textlink="">
      <xdr:nvSpPr>
        <xdr:cNvPr id="1164" name="B ETHNICITY PAGE">
          <a:hlinkClick xmlns:r="http://schemas.openxmlformats.org/officeDocument/2006/relationships" r:id="rId11" tooltip="Back to Ethnicity &amp; Language Page"/>
          <a:extLst>
            <a:ext uri="{FF2B5EF4-FFF2-40B4-BE49-F238E27FC236}">
              <a16:creationId xmlns:a16="http://schemas.microsoft.com/office/drawing/2014/main" id="{137093EC-75B6-4D20-9753-EF809C0623EF}"/>
            </a:ext>
          </a:extLst>
        </xdr:cNvPr>
        <xdr:cNvSpPr/>
      </xdr:nvSpPr>
      <xdr:spPr>
        <a:xfrm>
          <a:off x="506809830"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450</xdr:col>
      <xdr:colOff>595257</xdr:colOff>
      <xdr:row>1</xdr:row>
      <xdr:rowOff>59690</xdr:rowOff>
    </xdr:from>
    <xdr:to>
      <xdr:col>451</xdr:col>
      <xdr:colOff>801081</xdr:colOff>
      <xdr:row>1</xdr:row>
      <xdr:rowOff>553466</xdr:rowOff>
    </xdr:to>
    <xdr:sp macro="" textlink="">
      <xdr:nvSpPr>
        <xdr:cNvPr id="1165" name="B GEN DATA PAGE">
          <a:hlinkClick xmlns:r="http://schemas.openxmlformats.org/officeDocument/2006/relationships" r:id="rId12" tooltip="IHSS Applicants Page (Current)"/>
          <a:extLst>
            <a:ext uri="{FF2B5EF4-FFF2-40B4-BE49-F238E27FC236}">
              <a16:creationId xmlns:a16="http://schemas.microsoft.com/office/drawing/2014/main" id="{36034E3A-FEA1-4519-85D8-EC06EFD751CE}"/>
            </a:ext>
          </a:extLst>
        </xdr:cNvPr>
        <xdr:cNvSpPr/>
      </xdr:nvSpPr>
      <xdr:spPr>
        <a:xfrm>
          <a:off x="501083630" y="58420"/>
          <a:ext cx="107111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454</xdr:col>
      <xdr:colOff>521290</xdr:colOff>
      <xdr:row>1</xdr:row>
      <xdr:rowOff>59690</xdr:rowOff>
    </xdr:from>
    <xdr:to>
      <xdr:col>455</xdr:col>
      <xdr:colOff>785534</xdr:colOff>
      <xdr:row>1</xdr:row>
      <xdr:rowOff>553466</xdr:rowOff>
    </xdr:to>
    <xdr:sp macro="" textlink="">
      <xdr:nvSpPr>
        <xdr:cNvPr id="1166" name="B IHSS SERV PAGE">
          <a:hlinkClick xmlns:r="http://schemas.openxmlformats.org/officeDocument/2006/relationships" r:id="rId13" tooltip="IHSS Services Page (Current)"/>
          <a:extLst>
            <a:ext uri="{FF2B5EF4-FFF2-40B4-BE49-F238E27FC236}">
              <a16:creationId xmlns:a16="http://schemas.microsoft.com/office/drawing/2014/main" id="{8BABE912-54F6-462D-BEBF-83DB28BC2314}"/>
            </a:ext>
          </a:extLst>
        </xdr:cNvPr>
        <xdr:cNvSpPr/>
      </xdr:nvSpPr>
      <xdr:spPr>
        <a:xfrm>
          <a:off x="504512746"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474</xdr:col>
      <xdr:colOff>97924</xdr:colOff>
      <xdr:row>1</xdr:row>
      <xdr:rowOff>59690</xdr:rowOff>
    </xdr:from>
    <xdr:to>
      <xdr:col>475</xdr:col>
      <xdr:colOff>252245</xdr:colOff>
      <xdr:row>1</xdr:row>
      <xdr:rowOff>553466</xdr:rowOff>
    </xdr:to>
    <xdr:sp macro="" textlink="">
      <xdr:nvSpPr>
        <xdr:cNvPr id="1167" name="B AGE PAGE">
          <a:hlinkClick xmlns:r="http://schemas.openxmlformats.org/officeDocument/2006/relationships" r:id="rId2" tooltip="Age &amp; Gender Page (Current)"/>
          <a:extLst>
            <a:ext uri="{FF2B5EF4-FFF2-40B4-BE49-F238E27FC236}">
              <a16:creationId xmlns:a16="http://schemas.microsoft.com/office/drawing/2014/main" id="{AB480F30-01EC-4931-A686-C9537ADFB883}"/>
            </a:ext>
          </a:extLst>
        </xdr:cNvPr>
        <xdr:cNvSpPr/>
      </xdr:nvSpPr>
      <xdr:spPr>
        <a:xfrm>
          <a:off x="521510253"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466</xdr:col>
      <xdr:colOff>250092</xdr:colOff>
      <xdr:row>1</xdr:row>
      <xdr:rowOff>59690</xdr:rowOff>
    </xdr:from>
    <xdr:to>
      <xdr:col>467</xdr:col>
      <xdr:colOff>443780</xdr:colOff>
      <xdr:row>1</xdr:row>
      <xdr:rowOff>553466</xdr:rowOff>
    </xdr:to>
    <xdr:sp macro="" textlink="">
      <xdr:nvSpPr>
        <xdr:cNvPr id="1168" name="B HOME PAGE">
          <a:hlinkClick xmlns:r="http://schemas.openxmlformats.org/officeDocument/2006/relationships" r:id="rId3" tooltip="Back to Dashboard Page"/>
          <a:extLst>
            <a:ext uri="{FF2B5EF4-FFF2-40B4-BE49-F238E27FC236}">
              <a16:creationId xmlns:a16="http://schemas.microsoft.com/office/drawing/2014/main" id="{A991421F-1797-44A2-AD2B-E94834BF7A4A}"/>
            </a:ext>
          </a:extLst>
        </xdr:cNvPr>
        <xdr:cNvSpPr/>
      </xdr:nvSpPr>
      <xdr:spPr>
        <a:xfrm>
          <a:off x="514613921"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467</xdr:col>
      <xdr:colOff>480564</xdr:colOff>
      <xdr:row>1</xdr:row>
      <xdr:rowOff>59690</xdr:rowOff>
    </xdr:from>
    <xdr:to>
      <xdr:col>468</xdr:col>
      <xdr:colOff>710379</xdr:colOff>
      <xdr:row>1</xdr:row>
      <xdr:rowOff>553466</xdr:rowOff>
    </xdr:to>
    <xdr:sp macro="" textlink="">
      <xdr:nvSpPr>
        <xdr:cNvPr id="1169" name="B GEN DATA PAGE">
          <a:hlinkClick xmlns:r="http://schemas.openxmlformats.org/officeDocument/2006/relationships" r:id="rId4" tooltip="Back to General Data Page"/>
          <a:extLst>
            <a:ext uri="{FF2B5EF4-FFF2-40B4-BE49-F238E27FC236}">
              <a16:creationId xmlns:a16="http://schemas.microsoft.com/office/drawing/2014/main" id="{D216C20C-DEBD-4A45-B2C4-92FBBCA29C84}"/>
            </a:ext>
          </a:extLst>
        </xdr:cNvPr>
        <xdr:cNvSpPr/>
      </xdr:nvSpPr>
      <xdr:spPr>
        <a:xfrm>
          <a:off x="515748493" y="58420"/>
          <a:ext cx="10850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470</xdr:col>
      <xdr:colOff>115588</xdr:colOff>
      <xdr:row>1</xdr:row>
      <xdr:rowOff>59690</xdr:rowOff>
    </xdr:from>
    <xdr:to>
      <xdr:col>471</xdr:col>
      <xdr:colOff>291921</xdr:colOff>
      <xdr:row>1</xdr:row>
      <xdr:rowOff>553466</xdr:rowOff>
    </xdr:to>
    <xdr:sp macro="" textlink="">
      <xdr:nvSpPr>
        <xdr:cNvPr id="1170" name="B ABD PAGE">
          <a:hlinkClick xmlns:r="http://schemas.openxmlformats.org/officeDocument/2006/relationships" r:id="rId5" tooltip="Aged, Blind, or Disabled Page (Current)"/>
          <a:extLst>
            <a:ext uri="{FF2B5EF4-FFF2-40B4-BE49-F238E27FC236}">
              <a16:creationId xmlns:a16="http://schemas.microsoft.com/office/drawing/2014/main" id="{63C906BB-5342-4CDC-B779-ADD1F629C211}"/>
            </a:ext>
          </a:extLst>
        </xdr:cNvPr>
        <xdr:cNvSpPr/>
      </xdr:nvSpPr>
      <xdr:spPr>
        <a:xfrm>
          <a:off x="518037956"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464</xdr:col>
      <xdr:colOff>821553</xdr:colOff>
      <xdr:row>1</xdr:row>
      <xdr:rowOff>59690</xdr:rowOff>
    </xdr:from>
    <xdr:to>
      <xdr:col>466</xdr:col>
      <xdr:colOff>154888</xdr:colOff>
      <xdr:row>1</xdr:row>
      <xdr:rowOff>553466</xdr:rowOff>
    </xdr:to>
    <xdr:sp macro="" textlink="">
      <xdr:nvSpPr>
        <xdr:cNvPr id="1171" name="B GEN DATA PAGE">
          <a:hlinkClick xmlns:r="http://schemas.openxmlformats.org/officeDocument/2006/relationships" r:id="rId6" tooltip="Back to Navigation Page"/>
          <a:extLst>
            <a:ext uri="{FF2B5EF4-FFF2-40B4-BE49-F238E27FC236}">
              <a16:creationId xmlns:a16="http://schemas.microsoft.com/office/drawing/2014/main" id="{055FDEB8-CF92-4C34-8860-14574838F328}"/>
            </a:ext>
          </a:extLst>
        </xdr:cNvPr>
        <xdr:cNvSpPr/>
      </xdr:nvSpPr>
      <xdr:spPr>
        <a:xfrm>
          <a:off x="513467919"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479</xdr:col>
      <xdr:colOff>327370</xdr:colOff>
      <xdr:row>1</xdr:row>
      <xdr:rowOff>59690</xdr:rowOff>
    </xdr:from>
    <xdr:to>
      <xdr:col>480</xdr:col>
      <xdr:colOff>554661</xdr:colOff>
      <xdr:row>1</xdr:row>
      <xdr:rowOff>557276</xdr:rowOff>
    </xdr:to>
    <xdr:sp macro="" textlink="">
      <xdr:nvSpPr>
        <xdr:cNvPr id="1172" name="B ALL DATA PAGE">
          <a:hlinkClick xmlns:r="http://schemas.openxmlformats.org/officeDocument/2006/relationships" r:id="rId7" tooltip="Back to All Data Page"/>
          <a:extLst>
            <a:ext uri="{FF2B5EF4-FFF2-40B4-BE49-F238E27FC236}">
              <a16:creationId xmlns:a16="http://schemas.microsoft.com/office/drawing/2014/main" id="{2BFD1F36-11D6-4B02-B361-B9DAD8EC436C}"/>
            </a:ext>
          </a:extLst>
        </xdr:cNvPr>
        <xdr:cNvSpPr/>
      </xdr:nvSpPr>
      <xdr:spPr>
        <a:xfrm>
          <a:off x="526085920"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478</xdr:col>
      <xdr:colOff>61754</xdr:colOff>
      <xdr:row>1</xdr:row>
      <xdr:rowOff>59690</xdr:rowOff>
    </xdr:from>
    <xdr:to>
      <xdr:col>479</xdr:col>
      <xdr:colOff>252481</xdr:colOff>
      <xdr:row>1</xdr:row>
      <xdr:rowOff>553466</xdr:rowOff>
    </xdr:to>
    <xdr:sp macro="" textlink="">
      <xdr:nvSpPr>
        <xdr:cNvPr id="1173" name="B TERMS PAGE">
          <a:hlinkClick xmlns:r="http://schemas.openxmlformats.org/officeDocument/2006/relationships" r:id="rId8" tooltip="Back to Appendix &amp; Terms Page"/>
          <a:extLst>
            <a:ext uri="{FF2B5EF4-FFF2-40B4-BE49-F238E27FC236}">
              <a16:creationId xmlns:a16="http://schemas.microsoft.com/office/drawing/2014/main" id="{CA2F25D1-7F48-45C6-B045-40775EEA43FB}"/>
            </a:ext>
          </a:extLst>
        </xdr:cNvPr>
        <xdr:cNvSpPr/>
      </xdr:nvSpPr>
      <xdr:spPr>
        <a:xfrm>
          <a:off x="524953036"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476</xdr:col>
      <xdr:colOff>632248</xdr:colOff>
      <xdr:row>1</xdr:row>
      <xdr:rowOff>59690</xdr:rowOff>
    </xdr:from>
    <xdr:to>
      <xdr:col>478</xdr:col>
      <xdr:colOff>417</xdr:colOff>
      <xdr:row>1</xdr:row>
      <xdr:rowOff>553466</xdr:rowOff>
    </xdr:to>
    <xdr:sp macro="" textlink="">
      <xdr:nvSpPr>
        <xdr:cNvPr id="1174" name="B PROV DET PAGE">
          <a:hlinkClick xmlns:r="http://schemas.openxmlformats.org/officeDocument/2006/relationships" r:id="rId9" tooltip="Back to Provider Page"/>
          <a:extLst>
            <a:ext uri="{FF2B5EF4-FFF2-40B4-BE49-F238E27FC236}">
              <a16:creationId xmlns:a16="http://schemas.microsoft.com/office/drawing/2014/main" id="{56C8D994-8720-40D0-8FAD-8B61E22C0CB0}"/>
            </a:ext>
          </a:extLst>
        </xdr:cNvPr>
        <xdr:cNvSpPr/>
      </xdr:nvSpPr>
      <xdr:spPr>
        <a:xfrm>
          <a:off x="523809877"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471</xdr:col>
      <xdr:colOff>366805</xdr:colOff>
      <xdr:row>1</xdr:row>
      <xdr:rowOff>59690</xdr:rowOff>
    </xdr:from>
    <xdr:to>
      <xdr:col>472</xdr:col>
      <xdr:colOff>570372</xdr:colOff>
      <xdr:row>1</xdr:row>
      <xdr:rowOff>553466</xdr:rowOff>
    </xdr:to>
    <xdr:sp macro="" textlink="">
      <xdr:nvSpPr>
        <xdr:cNvPr id="1175" name="B IHSS PROG PAGE">
          <a:hlinkClick xmlns:r="http://schemas.openxmlformats.org/officeDocument/2006/relationships" r:id="rId10" tooltip="Back to Program Equity Page"/>
          <a:extLst>
            <a:ext uri="{FF2B5EF4-FFF2-40B4-BE49-F238E27FC236}">
              <a16:creationId xmlns:a16="http://schemas.microsoft.com/office/drawing/2014/main" id="{807110AC-1D48-4ADB-AE4B-04FE196826D5}"/>
            </a:ext>
          </a:extLst>
        </xdr:cNvPr>
        <xdr:cNvSpPr/>
      </xdr:nvSpPr>
      <xdr:spPr>
        <a:xfrm>
          <a:off x="519209359"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475</xdr:col>
      <xdr:colOff>324589</xdr:colOff>
      <xdr:row>1</xdr:row>
      <xdr:rowOff>59690</xdr:rowOff>
    </xdr:from>
    <xdr:to>
      <xdr:col>476</xdr:col>
      <xdr:colOff>521078</xdr:colOff>
      <xdr:row>1</xdr:row>
      <xdr:rowOff>553466</xdr:rowOff>
    </xdr:to>
    <xdr:sp macro="" textlink="">
      <xdr:nvSpPr>
        <xdr:cNvPr id="1176" name="B ETHNICITY PAGE">
          <a:hlinkClick xmlns:r="http://schemas.openxmlformats.org/officeDocument/2006/relationships" r:id="rId11" tooltip="Back to Ethnicity &amp; Language Page"/>
          <a:extLst>
            <a:ext uri="{FF2B5EF4-FFF2-40B4-BE49-F238E27FC236}">
              <a16:creationId xmlns:a16="http://schemas.microsoft.com/office/drawing/2014/main" id="{AFD06E35-14D4-485E-A979-926352E43208}"/>
            </a:ext>
          </a:extLst>
        </xdr:cNvPr>
        <xdr:cNvSpPr/>
      </xdr:nvSpPr>
      <xdr:spPr>
        <a:xfrm>
          <a:off x="522637205"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468</xdr:col>
      <xdr:colOff>782723</xdr:colOff>
      <xdr:row>1</xdr:row>
      <xdr:rowOff>59690</xdr:rowOff>
    </xdr:from>
    <xdr:to>
      <xdr:col>470</xdr:col>
      <xdr:colOff>61024</xdr:colOff>
      <xdr:row>1</xdr:row>
      <xdr:rowOff>553466</xdr:rowOff>
    </xdr:to>
    <xdr:sp macro="" textlink="">
      <xdr:nvSpPr>
        <xdr:cNvPr id="1177" name="B GEN DATA PAGE">
          <a:hlinkClick xmlns:r="http://schemas.openxmlformats.org/officeDocument/2006/relationships" r:id="rId12" tooltip="IHSS Applicants Page (Current)"/>
          <a:extLst>
            <a:ext uri="{FF2B5EF4-FFF2-40B4-BE49-F238E27FC236}">
              <a16:creationId xmlns:a16="http://schemas.microsoft.com/office/drawing/2014/main" id="{4B333D8A-EA34-4143-A927-762D9D12FA92}"/>
            </a:ext>
          </a:extLst>
        </xdr:cNvPr>
        <xdr:cNvSpPr/>
      </xdr:nvSpPr>
      <xdr:spPr>
        <a:xfrm>
          <a:off x="516911005"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472</xdr:col>
      <xdr:colOff>650336</xdr:colOff>
      <xdr:row>1</xdr:row>
      <xdr:rowOff>59690</xdr:rowOff>
    </xdr:from>
    <xdr:to>
      <xdr:col>474</xdr:col>
      <xdr:colOff>2720</xdr:colOff>
      <xdr:row>1</xdr:row>
      <xdr:rowOff>553466</xdr:rowOff>
    </xdr:to>
    <xdr:sp macro="" textlink="">
      <xdr:nvSpPr>
        <xdr:cNvPr id="1178" name="B IHSS SERV PAGE">
          <a:hlinkClick xmlns:r="http://schemas.openxmlformats.org/officeDocument/2006/relationships" r:id="rId13" tooltip="IHSS Services Page (Current)"/>
          <a:extLst>
            <a:ext uri="{FF2B5EF4-FFF2-40B4-BE49-F238E27FC236}">
              <a16:creationId xmlns:a16="http://schemas.microsoft.com/office/drawing/2014/main" id="{F047D02A-545B-4C58-AC18-E55127160F3D}"/>
            </a:ext>
          </a:extLst>
        </xdr:cNvPr>
        <xdr:cNvSpPr/>
      </xdr:nvSpPr>
      <xdr:spPr>
        <a:xfrm>
          <a:off x="520340121"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474</xdr:col>
      <xdr:colOff>59189</xdr:colOff>
      <xdr:row>1</xdr:row>
      <xdr:rowOff>59690</xdr:rowOff>
    </xdr:from>
    <xdr:to>
      <xdr:col>475</xdr:col>
      <xdr:colOff>250340</xdr:colOff>
      <xdr:row>1</xdr:row>
      <xdr:rowOff>553466</xdr:rowOff>
    </xdr:to>
    <xdr:sp macro="" textlink="">
      <xdr:nvSpPr>
        <xdr:cNvPr id="1179" name="B AGE PAGE">
          <a:hlinkClick xmlns:r="http://schemas.openxmlformats.org/officeDocument/2006/relationships" r:id="rId2" tooltip="Age &amp; Gender Page (Current)"/>
          <a:extLst>
            <a:ext uri="{FF2B5EF4-FFF2-40B4-BE49-F238E27FC236}">
              <a16:creationId xmlns:a16="http://schemas.microsoft.com/office/drawing/2014/main" id="{187489EF-44ED-4E5D-B791-3391BB40554F}"/>
            </a:ext>
          </a:extLst>
        </xdr:cNvPr>
        <xdr:cNvSpPr/>
      </xdr:nvSpPr>
      <xdr:spPr>
        <a:xfrm>
          <a:off x="521494378" y="58420"/>
          <a:ext cx="104571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466</xdr:col>
      <xdr:colOff>215167</xdr:colOff>
      <xdr:row>1</xdr:row>
      <xdr:rowOff>59690</xdr:rowOff>
    </xdr:from>
    <xdr:to>
      <xdr:col>467</xdr:col>
      <xdr:colOff>439335</xdr:colOff>
      <xdr:row>1</xdr:row>
      <xdr:rowOff>553466</xdr:rowOff>
    </xdr:to>
    <xdr:sp macro="" textlink="">
      <xdr:nvSpPr>
        <xdr:cNvPr id="1180" name="B HOME PAGE">
          <a:hlinkClick xmlns:r="http://schemas.openxmlformats.org/officeDocument/2006/relationships" r:id="rId3" tooltip="Back to Dashboard Page"/>
          <a:extLst>
            <a:ext uri="{FF2B5EF4-FFF2-40B4-BE49-F238E27FC236}">
              <a16:creationId xmlns:a16="http://schemas.microsoft.com/office/drawing/2014/main" id="{6099046B-5F1E-422E-98AC-54EDBC98B3DB}"/>
            </a:ext>
          </a:extLst>
        </xdr:cNvPr>
        <xdr:cNvSpPr/>
      </xdr:nvSpPr>
      <xdr:spPr>
        <a:xfrm>
          <a:off x="514598046"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467</xdr:col>
      <xdr:colOff>481199</xdr:colOff>
      <xdr:row>1</xdr:row>
      <xdr:rowOff>59690</xdr:rowOff>
    </xdr:from>
    <xdr:to>
      <xdr:col>468</xdr:col>
      <xdr:colOff>688154</xdr:colOff>
      <xdr:row>1</xdr:row>
      <xdr:rowOff>553466</xdr:rowOff>
    </xdr:to>
    <xdr:sp macro="" textlink="">
      <xdr:nvSpPr>
        <xdr:cNvPr id="1181" name="B GEN DATA PAGE">
          <a:hlinkClick xmlns:r="http://schemas.openxmlformats.org/officeDocument/2006/relationships" r:id="rId4" tooltip="Back to General Data Page"/>
          <a:extLst>
            <a:ext uri="{FF2B5EF4-FFF2-40B4-BE49-F238E27FC236}">
              <a16:creationId xmlns:a16="http://schemas.microsoft.com/office/drawing/2014/main" id="{D81EFB6C-1F1D-4159-A0A5-E937CAD778B6}"/>
            </a:ext>
          </a:extLst>
        </xdr:cNvPr>
        <xdr:cNvSpPr/>
      </xdr:nvSpPr>
      <xdr:spPr>
        <a:xfrm>
          <a:off x="515738968"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470</xdr:col>
      <xdr:colOff>100983</xdr:colOff>
      <xdr:row>1</xdr:row>
      <xdr:rowOff>59690</xdr:rowOff>
    </xdr:from>
    <xdr:to>
      <xdr:col>471</xdr:col>
      <xdr:colOff>290016</xdr:colOff>
      <xdr:row>1</xdr:row>
      <xdr:rowOff>553466</xdr:rowOff>
    </xdr:to>
    <xdr:sp macro="" textlink="">
      <xdr:nvSpPr>
        <xdr:cNvPr id="1182" name="B ABD PAGE">
          <a:hlinkClick xmlns:r="http://schemas.openxmlformats.org/officeDocument/2006/relationships" r:id="rId5" tooltip="Aged, Blind, or Disabled Page (Current)"/>
          <a:extLst>
            <a:ext uri="{FF2B5EF4-FFF2-40B4-BE49-F238E27FC236}">
              <a16:creationId xmlns:a16="http://schemas.microsoft.com/office/drawing/2014/main" id="{1D783FFE-A9F7-4BDA-9EF3-5C52AD8B1EC7}"/>
            </a:ext>
          </a:extLst>
        </xdr:cNvPr>
        <xdr:cNvSpPr/>
      </xdr:nvSpPr>
      <xdr:spPr>
        <a:xfrm>
          <a:off x="518022081"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464</xdr:col>
      <xdr:colOff>803138</xdr:colOff>
      <xdr:row>1</xdr:row>
      <xdr:rowOff>59690</xdr:rowOff>
    </xdr:from>
    <xdr:to>
      <xdr:col>466</xdr:col>
      <xdr:colOff>140283</xdr:colOff>
      <xdr:row>1</xdr:row>
      <xdr:rowOff>553466</xdr:rowOff>
    </xdr:to>
    <xdr:sp macro="" textlink="">
      <xdr:nvSpPr>
        <xdr:cNvPr id="1183" name="B GEN DATA PAGE">
          <a:hlinkClick xmlns:r="http://schemas.openxmlformats.org/officeDocument/2006/relationships" r:id="rId6" tooltip="Back to Navigation Page"/>
          <a:extLst>
            <a:ext uri="{FF2B5EF4-FFF2-40B4-BE49-F238E27FC236}">
              <a16:creationId xmlns:a16="http://schemas.microsoft.com/office/drawing/2014/main" id="{AE044C49-ED79-4678-A0FD-9901C945C971}"/>
            </a:ext>
          </a:extLst>
        </xdr:cNvPr>
        <xdr:cNvSpPr/>
      </xdr:nvSpPr>
      <xdr:spPr>
        <a:xfrm>
          <a:off x="513452044"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479</xdr:col>
      <xdr:colOff>292445</xdr:colOff>
      <xdr:row>1</xdr:row>
      <xdr:rowOff>59690</xdr:rowOff>
    </xdr:from>
    <xdr:to>
      <xdr:col>480</xdr:col>
      <xdr:colOff>521006</xdr:colOff>
      <xdr:row>1</xdr:row>
      <xdr:rowOff>557276</xdr:rowOff>
    </xdr:to>
    <xdr:sp macro="" textlink="">
      <xdr:nvSpPr>
        <xdr:cNvPr id="1184" name="B ALL DATA PAGE">
          <a:hlinkClick xmlns:r="http://schemas.openxmlformats.org/officeDocument/2006/relationships" r:id="rId7" tooltip="Back to All Data Page"/>
          <a:extLst>
            <a:ext uri="{FF2B5EF4-FFF2-40B4-BE49-F238E27FC236}">
              <a16:creationId xmlns:a16="http://schemas.microsoft.com/office/drawing/2014/main" id="{01AB9C3B-648E-4A7D-B17D-31A698F26004}"/>
            </a:ext>
          </a:extLst>
        </xdr:cNvPr>
        <xdr:cNvSpPr/>
      </xdr:nvSpPr>
      <xdr:spPr>
        <a:xfrm>
          <a:off x="526070045" y="58420"/>
          <a:ext cx="108200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478</xdr:col>
      <xdr:colOff>25559</xdr:colOff>
      <xdr:row>1</xdr:row>
      <xdr:rowOff>59690</xdr:rowOff>
    </xdr:from>
    <xdr:to>
      <xdr:col>479</xdr:col>
      <xdr:colOff>215016</xdr:colOff>
      <xdr:row>1</xdr:row>
      <xdr:rowOff>553466</xdr:rowOff>
    </xdr:to>
    <xdr:sp macro="" textlink="">
      <xdr:nvSpPr>
        <xdr:cNvPr id="1185" name="B TERMS PAGE">
          <a:hlinkClick xmlns:r="http://schemas.openxmlformats.org/officeDocument/2006/relationships" r:id="rId8" tooltip="Back to Appendix &amp; Terms Page"/>
          <a:extLst>
            <a:ext uri="{FF2B5EF4-FFF2-40B4-BE49-F238E27FC236}">
              <a16:creationId xmlns:a16="http://schemas.microsoft.com/office/drawing/2014/main" id="{2998D474-0098-44BA-80A0-BD10685D0C28}"/>
            </a:ext>
          </a:extLst>
        </xdr:cNvPr>
        <xdr:cNvSpPr/>
      </xdr:nvSpPr>
      <xdr:spPr>
        <a:xfrm>
          <a:off x="524937161"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476</xdr:col>
      <xdr:colOff>597323</xdr:colOff>
      <xdr:row>1</xdr:row>
      <xdr:rowOff>59690</xdr:rowOff>
    </xdr:from>
    <xdr:to>
      <xdr:col>477</xdr:col>
      <xdr:colOff>821472</xdr:colOff>
      <xdr:row>1</xdr:row>
      <xdr:rowOff>553466</xdr:rowOff>
    </xdr:to>
    <xdr:sp macro="" textlink="">
      <xdr:nvSpPr>
        <xdr:cNvPr id="1186" name="B PROV DET PAGE">
          <a:hlinkClick xmlns:r="http://schemas.openxmlformats.org/officeDocument/2006/relationships" r:id="rId9" tooltip="Back to Provider Page"/>
          <a:extLst>
            <a:ext uri="{FF2B5EF4-FFF2-40B4-BE49-F238E27FC236}">
              <a16:creationId xmlns:a16="http://schemas.microsoft.com/office/drawing/2014/main" id="{027716AF-903B-4151-A9FC-3B5AFB3A6F87}"/>
            </a:ext>
          </a:extLst>
        </xdr:cNvPr>
        <xdr:cNvSpPr/>
      </xdr:nvSpPr>
      <xdr:spPr>
        <a:xfrm>
          <a:off x="523794002"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471</xdr:col>
      <xdr:colOff>368710</xdr:colOff>
      <xdr:row>1</xdr:row>
      <xdr:rowOff>59690</xdr:rowOff>
    </xdr:from>
    <xdr:to>
      <xdr:col>472</xdr:col>
      <xdr:colOff>555767</xdr:colOff>
      <xdr:row>1</xdr:row>
      <xdr:rowOff>553466</xdr:rowOff>
    </xdr:to>
    <xdr:sp macro="" textlink="">
      <xdr:nvSpPr>
        <xdr:cNvPr id="1187" name="B IHSS PROG PAGE">
          <a:hlinkClick xmlns:r="http://schemas.openxmlformats.org/officeDocument/2006/relationships" r:id="rId10" tooltip="Back to Program Equity Page"/>
          <a:extLst>
            <a:ext uri="{FF2B5EF4-FFF2-40B4-BE49-F238E27FC236}">
              <a16:creationId xmlns:a16="http://schemas.microsoft.com/office/drawing/2014/main" id="{A2F23B4B-A2AC-4144-86A2-AE6007284F18}"/>
            </a:ext>
          </a:extLst>
        </xdr:cNvPr>
        <xdr:cNvSpPr/>
      </xdr:nvSpPr>
      <xdr:spPr>
        <a:xfrm>
          <a:off x="519193484"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475</xdr:col>
      <xdr:colOff>330304</xdr:colOff>
      <xdr:row>1</xdr:row>
      <xdr:rowOff>59690</xdr:rowOff>
    </xdr:from>
    <xdr:to>
      <xdr:col>476</xdr:col>
      <xdr:colOff>556003</xdr:colOff>
      <xdr:row>1</xdr:row>
      <xdr:rowOff>553466</xdr:rowOff>
    </xdr:to>
    <xdr:sp macro="" textlink="">
      <xdr:nvSpPr>
        <xdr:cNvPr id="1188" name="B ETHNICITY PAGE">
          <a:hlinkClick xmlns:r="http://schemas.openxmlformats.org/officeDocument/2006/relationships" r:id="rId11" tooltip="Back to Ethnicity &amp; Language Page"/>
          <a:extLst>
            <a:ext uri="{FF2B5EF4-FFF2-40B4-BE49-F238E27FC236}">
              <a16:creationId xmlns:a16="http://schemas.microsoft.com/office/drawing/2014/main" id="{E2526795-415D-40C4-9B2B-AC6A28EDB468}"/>
            </a:ext>
          </a:extLst>
        </xdr:cNvPr>
        <xdr:cNvSpPr/>
      </xdr:nvSpPr>
      <xdr:spPr>
        <a:xfrm>
          <a:off x="522621330"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468</xdr:col>
      <xdr:colOff>747798</xdr:colOff>
      <xdr:row>1</xdr:row>
      <xdr:rowOff>59690</xdr:rowOff>
    </xdr:from>
    <xdr:to>
      <xdr:col>470</xdr:col>
      <xdr:colOff>62929</xdr:colOff>
      <xdr:row>1</xdr:row>
      <xdr:rowOff>553466</xdr:rowOff>
    </xdr:to>
    <xdr:sp macro="" textlink="">
      <xdr:nvSpPr>
        <xdr:cNvPr id="1189" name="B GEN DATA PAGE">
          <a:hlinkClick xmlns:r="http://schemas.openxmlformats.org/officeDocument/2006/relationships" r:id="rId12" tooltip="IHSS Applicants Page (Current)"/>
          <a:extLst>
            <a:ext uri="{FF2B5EF4-FFF2-40B4-BE49-F238E27FC236}">
              <a16:creationId xmlns:a16="http://schemas.microsoft.com/office/drawing/2014/main" id="{64871A2C-BA69-47BE-8A32-DFEF29599625}"/>
            </a:ext>
          </a:extLst>
        </xdr:cNvPr>
        <xdr:cNvSpPr/>
      </xdr:nvSpPr>
      <xdr:spPr>
        <a:xfrm>
          <a:off x="516888780" y="58420"/>
          <a:ext cx="108381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472</xdr:col>
      <xdr:colOff>609061</xdr:colOff>
      <xdr:row>1</xdr:row>
      <xdr:rowOff>59690</xdr:rowOff>
    </xdr:from>
    <xdr:to>
      <xdr:col>473</xdr:col>
      <xdr:colOff>837745</xdr:colOff>
      <xdr:row>1</xdr:row>
      <xdr:rowOff>553466</xdr:rowOff>
    </xdr:to>
    <xdr:sp macro="" textlink="">
      <xdr:nvSpPr>
        <xdr:cNvPr id="1190" name="B IHSS SERV PAGE">
          <a:hlinkClick xmlns:r="http://schemas.openxmlformats.org/officeDocument/2006/relationships" r:id="rId13" tooltip="IHSS Services Page (Current)"/>
          <a:extLst>
            <a:ext uri="{FF2B5EF4-FFF2-40B4-BE49-F238E27FC236}">
              <a16:creationId xmlns:a16="http://schemas.microsoft.com/office/drawing/2014/main" id="{1E7572E0-3F8F-45C4-8BEF-97F39CDA3034}"/>
            </a:ext>
          </a:extLst>
        </xdr:cNvPr>
        <xdr:cNvSpPr/>
      </xdr:nvSpPr>
      <xdr:spPr>
        <a:xfrm>
          <a:off x="520324246" y="58420"/>
          <a:ext cx="10850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492</xdr:col>
      <xdr:colOff>688756</xdr:colOff>
      <xdr:row>1</xdr:row>
      <xdr:rowOff>59690</xdr:rowOff>
    </xdr:from>
    <xdr:to>
      <xdr:col>494</xdr:col>
      <xdr:colOff>501</xdr:colOff>
      <xdr:row>1</xdr:row>
      <xdr:rowOff>553466</xdr:rowOff>
    </xdr:to>
    <xdr:sp macro="" textlink="">
      <xdr:nvSpPr>
        <xdr:cNvPr id="1191" name="B AGE PAGE">
          <a:hlinkClick xmlns:r="http://schemas.openxmlformats.org/officeDocument/2006/relationships" r:id="rId2" tooltip="Age &amp; Gender Page (Current)"/>
          <a:extLst>
            <a:ext uri="{FF2B5EF4-FFF2-40B4-BE49-F238E27FC236}">
              <a16:creationId xmlns:a16="http://schemas.microsoft.com/office/drawing/2014/main" id="{B0E92A64-7B32-4194-8D73-D57A38F9A6DD}"/>
            </a:ext>
          </a:extLst>
        </xdr:cNvPr>
        <xdr:cNvSpPr/>
      </xdr:nvSpPr>
      <xdr:spPr>
        <a:xfrm>
          <a:off x="537791653"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484</xdr:col>
      <xdr:colOff>781940</xdr:colOff>
      <xdr:row>1</xdr:row>
      <xdr:rowOff>59690</xdr:rowOff>
    </xdr:from>
    <xdr:to>
      <xdr:col>486</xdr:col>
      <xdr:colOff>134324</xdr:colOff>
      <xdr:row>1</xdr:row>
      <xdr:rowOff>553466</xdr:rowOff>
    </xdr:to>
    <xdr:sp macro="" textlink="">
      <xdr:nvSpPr>
        <xdr:cNvPr id="1192" name="B HOME PAGE">
          <a:hlinkClick xmlns:r="http://schemas.openxmlformats.org/officeDocument/2006/relationships" r:id="rId3" tooltip="Back to Dashboard Page"/>
          <a:extLst>
            <a:ext uri="{FF2B5EF4-FFF2-40B4-BE49-F238E27FC236}">
              <a16:creationId xmlns:a16="http://schemas.microsoft.com/office/drawing/2014/main" id="{7879DFD1-37E5-4176-AC9B-0A42A820A760}"/>
            </a:ext>
          </a:extLst>
        </xdr:cNvPr>
        <xdr:cNvSpPr/>
      </xdr:nvSpPr>
      <xdr:spPr>
        <a:xfrm>
          <a:off x="530895321"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486</xdr:col>
      <xdr:colOff>176753</xdr:colOff>
      <xdr:row>1</xdr:row>
      <xdr:rowOff>59690</xdr:rowOff>
    </xdr:from>
    <xdr:to>
      <xdr:col>487</xdr:col>
      <xdr:colOff>363811</xdr:colOff>
      <xdr:row>1</xdr:row>
      <xdr:rowOff>553466</xdr:rowOff>
    </xdr:to>
    <xdr:sp macro="" textlink="">
      <xdr:nvSpPr>
        <xdr:cNvPr id="1193" name="B GEN DATA PAGE">
          <a:hlinkClick xmlns:r="http://schemas.openxmlformats.org/officeDocument/2006/relationships" r:id="rId4" tooltip="Back to General Data Page"/>
          <a:extLst>
            <a:ext uri="{FF2B5EF4-FFF2-40B4-BE49-F238E27FC236}">
              <a16:creationId xmlns:a16="http://schemas.microsoft.com/office/drawing/2014/main" id="{43E653E7-8610-4F94-A2F9-3B3C83BAF126}"/>
            </a:ext>
          </a:extLst>
        </xdr:cNvPr>
        <xdr:cNvSpPr/>
      </xdr:nvSpPr>
      <xdr:spPr>
        <a:xfrm>
          <a:off x="532036243" y="58420"/>
          <a:ext cx="10723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488</xdr:col>
      <xdr:colOff>724199</xdr:colOff>
      <xdr:row>1</xdr:row>
      <xdr:rowOff>59690</xdr:rowOff>
    </xdr:from>
    <xdr:to>
      <xdr:col>490</xdr:col>
      <xdr:colOff>60498</xdr:colOff>
      <xdr:row>1</xdr:row>
      <xdr:rowOff>553466</xdr:rowOff>
    </xdr:to>
    <xdr:sp macro="" textlink="">
      <xdr:nvSpPr>
        <xdr:cNvPr id="1194" name="B ABD PAGE">
          <a:hlinkClick xmlns:r="http://schemas.openxmlformats.org/officeDocument/2006/relationships" r:id="rId5" tooltip="Aged, Blind, or Disabled Page (Current)"/>
          <a:extLst>
            <a:ext uri="{FF2B5EF4-FFF2-40B4-BE49-F238E27FC236}">
              <a16:creationId xmlns:a16="http://schemas.microsoft.com/office/drawing/2014/main" id="{F0451681-1A9F-48CA-82E9-C1CFC1EDF14D}"/>
            </a:ext>
          </a:extLst>
        </xdr:cNvPr>
        <xdr:cNvSpPr/>
      </xdr:nvSpPr>
      <xdr:spPr>
        <a:xfrm>
          <a:off x="534319356"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483</xdr:col>
      <xdr:colOff>497421</xdr:colOff>
      <xdr:row>1</xdr:row>
      <xdr:rowOff>59690</xdr:rowOff>
    </xdr:from>
    <xdr:to>
      <xdr:col>484</xdr:col>
      <xdr:colOff>682926</xdr:colOff>
      <xdr:row>1</xdr:row>
      <xdr:rowOff>553466</xdr:rowOff>
    </xdr:to>
    <xdr:sp macro="" textlink="">
      <xdr:nvSpPr>
        <xdr:cNvPr id="1195" name="B GEN DATA PAGE">
          <a:hlinkClick xmlns:r="http://schemas.openxmlformats.org/officeDocument/2006/relationships" r:id="rId6" tooltip="Back to Navigation Page"/>
          <a:extLst>
            <a:ext uri="{FF2B5EF4-FFF2-40B4-BE49-F238E27FC236}">
              <a16:creationId xmlns:a16="http://schemas.microsoft.com/office/drawing/2014/main" id="{0C886679-3838-4403-AD6F-7C465A47CED5}"/>
            </a:ext>
          </a:extLst>
        </xdr:cNvPr>
        <xdr:cNvSpPr/>
      </xdr:nvSpPr>
      <xdr:spPr>
        <a:xfrm>
          <a:off x="529749319"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498</xdr:col>
      <xdr:colOff>59116</xdr:colOff>
      <xdr:row>1</xdr:row>
      <xdr:rowOff>59690</xdr:rowOff>
    </xdr:from>
    <xdr:to>
      <xdr:col>499</xdr:col>
      <xdr:colOff>264961</xdr:colOff>
      <xdr:row>1</xdr:row>
      <xdr:rowOff>557276</xdr:rowOff>
    </xdr:to>
    <xdr:sp macro="" textlink="">
      <xdr:nvSpPr>
        <xdr:cNvPr id="1196" name="B ALL DATA PAGE">
          <a:hlinkClick xmlns:r="http://schemas.openxmlformats.org/officeDocument/2006/relationships" r:id="rId7" tooltip="Back to All Data Page"/>
          <a:extLst>
            <a:ext uri="{FF2B5EF4-FFF2-40B4-BE49-F238E27FC236}">
              <a16:creationId xmlns:a16="http://schemas.microsoft.com/office/drawing/2014/main" id="{0E5F3967-3D63-4D22-A870-6E8FC9B04795}"/>
            </a:ext>
          </a:extLst>
        </xdr:cNvPr>
        <xdr:cNvSpPr/>
      </xdr:nvSpPr>
      <xdr:spPr>
        <a:xfrm>
          <a:off x="542367320"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496</xdr:col>
      <xdr:colOff>634806</xdr:colOff>
      <xdr:row>1</xdr:row>
      <xdr:rowOff>59690</xdr:rowOff>
    </xdr:from>
    <xdr:to>
      <xdr:col>497</xdr:col>
      <xdr:colOff>840207</xdr:colOff>
      <xdr:row>1</xdr:row>
      <xdr:rowOff>553466</xdr:rowOff>
    </xdr:to>
    <xdr:sp macro="" textlink="">
      <xdr:nvSpPr>
        <xdr:cNvPr id="1197" name="B TERMS PAGE">
          <a:hlinkClick xmlns:r="http://schemas.openxmlformats.org/officeDocument/2006/relationships" r:id="rId8" tooltip="Back to Appendix &amp; Terms Page"/>
          <a:extLst>
            <a:ext uri="{FF2B5EF4-FFF2-40B4-BE49-F238E27FC236}">
              <a16:creationId xmlns:a16="http://schemas.microsoft.com/office/drawing/2014/main" id="{DD7CAFCA-39C8-40B2-A284-9756E9619F5C}"/>
            </a:ext>
          </a:extLst>
        </xdr:cNvPr>
        <xdr:cNvSpPr/>
      </xdr:nvSpPr>
      <xdr:spPr>
        <a:xfrm>
          <a:off x="541234436"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495</xdr:col>
      <xdr:colOff>366818</xdr:colOff>
      <xdr:row>1</xdr:row>
      <xdr:rowOff>59690</xdr:rowOff>
    </xdr:from>
    <xdr:to>
      <xdr:col>496</xdr:col>
      <xdr:colOff>570929</xdr:colOff>
      <xdr:row>1</xdr:row>
      <xdr:rowOff>553466</xdr:rowOff>
    </xdr:to>
    <xdr:sp macro="" textlink="">
      <xdr:nvSpPr>
        <xdr:cNvPr id="1198" name="B PROV DET PAGE">
          <a:hlinkClick xmlns:r="http://schemas.openxmlformats.org/officeDocument/2006/relationships" r:id="rId9" tooltip="Back to Provider Page"/>
          <a:extLst>
            <a:ext uri="{FF2B5EF4-FFF2-40B4-BE49-F238E27FC236}">
              <a16:creationId xmlns:a16="http://schemas.microsoft.com/office/drawing/2014/main" id="{AE698290-DB3F-4151-B09C-D28653AAA362}"/>
            </a:ext>
          </a:extLst>
        </xdr:cNvPr>
        <xdr:cNvSpPr/>
      </xdr:nvSpPr>
      <xdr:spPr>
        <a:xfrm>
          <a:off x="540091277"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490</xdr:col>
      <xdr:colOff>101657</xdr:colOff>
      <xdr:row>1</xdr:row>
      <xdr:rowOff>59690</xdr:rowOff>
    </xdr:from>
    <xdr:to>
      <xdr:col>491</xdr:col>
      <xdr:colOff>303671</xdr:colOff>
      <xdr:row>1</xdr:row>
      <xdr:rowOff>553466</xdr:rowOff>
    </xdr:to>
    <xdr:sp macro="" textlink="">
      <xdr:nvSpPr>
        <xdr:cNvPr id="1199" name="B IHSS PROG PAGE">
          <a:hlinkClick xmlns:r="http://schemas.openxmlformats.org/officeDocument/2006/relationships" r:id="rId10" tooltip="Back to Program Equity Page"/>
          <a:extLst>
            <a:ext uri="{FF2B5EF4-FFF2-40B4-BE49-F238E27FC236}">
              <a16:creationId xmlns:a16="http://schemas.microsoft.com/office/drawing/2014/main" id="{9BFA65C4-2E8A-4FCD-B4A9-3AC4FAC3F338}"/>
            </a:ext>
          </a:extLst>
        </xdr:cNvPr>
        <xdr:cNvSpPr/>
      </xdr:nvSpPr>
      <xdr:spPr>
        <a:xfrm>
          <a:off x="535490759"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494</xdr:col>
      <xdr:colOff>74115</xdr:colOff>
      <xdr:row>1</xdr:row>
      <xdr:rowOff>59690</xdr:rowOff>
    </xdr:from>
    <xdr:to>
      <xdr:col>495</xdr:col>
      <xdr:colOff>291208</xdr:colOff>
      <xdr:row>1</xdr:row>
      <xdr:rowOff>553466</xdr:rowOff>
    </xdr:to>
    <xdr:sp macro="" textlink="">
      <xdr:nvSpPr>
        <xdr:cNvPr id="1200" name="B ETHNICITY PAGE">
          <a:hlinkClick xmlns:r="http://schemas.openxmlformats.org/officeDocument/2006/relationships" r:id="rId11" tooltip="Back to Ethnicity &amp; Language Page"/>
          <a:extLst>
            <a:ext uri="{FF2B5EF4-FFF2-40B4-BE49-F238E27FC236}">
              <a16:creationId xmlns:a16="http://schemas.microsoft.com/office/drawing/2014/main" id="{4B379DE2-58E5-47EF-A443-7E48273F2AB8}"/>
            </a:ext>
          </a:extLst>
        </xdr:cNvPr>
        <xdr:cNvSpPr/>
      </xdr:nvSpPr>
      <xdr:spPr>
        <a:xfrm>
          <a:off x="538918605"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487</xdr:col>
      <xdr:colOff>483145</xdr:colOff>
      <xdr:row>1</xdr:row>
      <xdr:rowOff>59690</xdr:rowOff>
    </xdr:from>
    <xdr:to>
      <xdr:col>488</xdr:col>
      <xdr:colOff>670905</xdr:colOff>
      <xdr:row>1</xdr:row>
      <xdr:rowOff>553466</xdr:rowOff>
    </xdr:to>
    <xdr:sp macro="" textlink="">
      <xdr:nvSpPr>
        <xdr:cNvPr id="1201" name="B GEN DATA PAGE">
          <a:hlinkClick xmlns:r="http://schemas.openxmlformats.org/officeDocument/2006/relationships" r:id="rId12" tooltip="IHSS Applicants Page (Current)"/>
          <a:extLst>
            <a:ext uri="{FF2B5EF4-FFF2-40B4-BE49-F238E27FC236}">
              <a16:creationId xmlns:a16="http://schemas.microsoft.com/office/drawing/2014/main" id="{CDE7D808-0A44-464D-8564-00E8288A20A6}"/>
            </a:ext>
          </a:extLst>
        </xdr:cNvPr>
        <xdr:cNvSpPr/>
      </xdr:nvSpPr>
      <xdr:spPr>
        <a:xfrm>
          <a:off x="533192405"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491</xdr:col>
      <xdr:colOff>364585</xdr:colOff>
      <xdr:row>1</xdr:row>
      <xdr:rowOff>59690</xdr:rowOff>
    </xdr:from>
    <xdr:to>
      <xdr:col>492</xdr:col>
      <xdr:colOff>610062</xdr:colOff>
      <xdr:row>1</xdr:row>
      <xdr:rowOff>553466</xdr:rowOff>
    </xdr:to>
    <xdr:sp macro="" textlink="">
      <xdr:nvSpPr>
        <xdr:cNvPr id="1202" name="B IHSS SERV PAGE">
          <a:hlinkClick xmlns:r="http://schemas.openxmlformats.org/officeDocument/2006/relationships" r:id="rId13" tooltip="IHSS Services Page (Current)"/>
          <a:extLst>
            <a:ext uri="{FF2B5EF4-FFF2-40B4-BE49-F238E27FC236}">
              <a16:creationId xmlns:a16="http://schemas.microsoft.com/office/drawing/2014/main" id="{DA3522F6-54DE-4FA1-9DD7-D5A466C1C7CA}"/>
            </a:ext>
          </a:extLst>
        </xdr:cNvPr>
        <xdr:cNvSpPr/>
      </xdr:nvSpPr>
      <xdr:spPr>
        <a:xfrm>
          <a:off x="536621521"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492</xdr:col>
      <xdr:colOff>647481</xdr:colOff>
      <xdr:row>1</xdr:row>
      <xdr:rowOff>59690</xdr:rowOff>
    </xdr:from>
    <xdr:to>
      <xdr:col>493</xdr:col>
      <xdr:colOff>836796</xdr:colOff>
      <xdr:row>1</xdr:row>
      <xdr:rowOff>553466</xdr:rowOff>
    </xdr:to>
    <xdr:sp macro="" textlink="">
      <xdr:nvSpPr>
        <xdr:cNvPr id="1203" name="B AGE PAGE">
          <a:hlinkClick xmlns:r="http://schemas.openxmlformats.org/officeDocument/2006/relationships" r:id="rId2" tooltip="Age &amp; Gender Page (Current)"/>
          <a:extLst>
            <a:ext uri="{FF2B5EF4-FFF2-40B4-BE49-F238E27FC236}">
              <a16:creationId xmlns:a16="http://schemas.microsoft.com/office/drawing/2014/main" id="{6832A97A-65B2-44B2-8ED8-867918F96E47}"/>
            </a:ext>
          </a:extLst>
        </xdr:cNvPr>
        <xdr:cNvSpPr/>
      </xdr:nvSpPr>
      <xdr:spPr>
        <a:xfrm>
          <a:off x="537775778"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484</xdr:col>
      <xdr:colOff>782575</xdr:colOff>
      <xdr:row>1</xdr:row>
      <xdr:rowOff>59690</xdr:rowOff>
    </xdr:from>
    <xdr:to>
      <xdr:col>486</xdr:col>
      <xdr:colOff>99399</xdr:colOff>
      <xdr:row>1</xdr:row>
      <xdr:rowOff>553466</xdr:rowOff>
    </xdr:to>
    <xdr:sp macro="" textlink="">
      <xdr:nvSpPr>
        <xdr:cNvPr id="1204" name="B HOME PAGE">
          <a:hlinkClick xmlns:r="http://schemas.openxmlformats.org/officeDocument/2006/relationships" r:id="rId3" tooltip="Back to Dashboard Page"/>
          <a:extLst>
            <a:ext uri="{FF2B5EF4-FFF2-40B4-BE49-F238E27FC236}">
              <a16:creationId xmlns:a16="http://schemas.microsoft.com/office/drawing/2014/main" id="{D1CF751B-4214-45FD-8626-38E52CB75BA2}"/>
            </a:ext>
          </a:extLst>
        </xdr:cNvPr>
        <xdr:cNvSpPr/>
      </xdr:nvSpPr>
      <xdr:spPr>
        <a:xfrm>
          <a:off x="530879446"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486</xdr:col>
      <xdr:colOff>176118</xdr:colOff>
      <xdr:row>1</xdr:row>
      <xdr:rowOff>59690</xdr:rowOff>
    </xdr:from>
    <xdr:to>
      <xdr:col>487</xdr:col>
      <xdr:colOff>378416</xdr:colOff>
      <xdr:row>1</xdr:row>
      <xdr:rowOff>553466</xdr:rowOff>
    </xdr:to>
    <xdr:sp macro="" textlink="">
      <xdr:nvSpPr>
        <xdr:cNvPr id="1205" name="B GEN DATA PAGE">
          <a:hlinkClick xmlns:r="http://schemas.openxmlformats.org/officeDocument/2006/relationships" r:id="rId4" tooltip="Back to General Data Page"/>
          <a:extLst>
            <a:ext uri="{FF2B5EF4-FFF2-40B4-BE49-F238E27FC236}">
              <a16:creationId xmlns:a16="http://schemas.microsoft.com/office/drawing/2014/main" id="{7662200A-2C37-4B54-B3ED-4604F5155258}"/>
            </a:ext>
          </a:extLst>
        </xdr:cNvPr>
        <xdr:cNvSpPr/>
      </xdr:nvSpPr>
      <xdr:spPr>
        <a:xfrm>
          <a:off x="532020368"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488</xdr:col>
      <xdr:colOff>670224</xdr:colOff>
      <xdr:row>1</xdr:row>
      <xdr:rowOff>59690</xdr:rowOff>
    </xdr:from>
    <xdr:to>
      <xdr:col>490</xdr:col>
      <xdr:colOff>21763</xdr:colOff>
      <xdr:row>1</xdr:row>
      <xdr:rowOff>553466</xdr:rowOff>
    </xdr:to>
    <xdr:sp macro="" textlink="">
      <xdr:nvSpPr>
        <xdr:cNvPr id="1206" name="B ABD PAGE">
          <a:hlinkClick xmlns:r="http://schemas.openxmlformats.org/officeDocument/2006/relationships" r:id="rId5" tooltip="Aged, Blind, or Disabled Page (Current)"/>
          <a:extLst>
            <a:ext uri="{FF2B5EF4-FFF2-40B4-BE49-F238E27FC236}">
              <a16:creationId xmlns:a16="http://schemas.microsoft.com/office/drawing/2014/main" id="{6994EBB5-AE1C-4AEB-B0F6-C7B30E52D001}"/>
            </a:ext>
          </a:extLst>
        </xdr:cNvPr>
        <xdr:cNvSpPr/>
      </xdr:nvSpPr>
      <xdr:spPr>
        <a:xfrm>
          <a:off x="534303481"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483</xdr:col>
      <xdr:colOff>481546</xdr:colOff>
      <xdr:row>1</xdr:row>
      <xdr:rowOff>59690</xdr:rowOff>
    </xdr:from>
    <xdr:to>
      <xdr:col>484</xdr:col>
      <xdr:colOff>683561</xdr:colOff>
      <xdr:row>1</xdr:row>
      <xdr:rowOff>553466</xdr:rowOff>
    </xdr:to>
    <xdr:sp macro="" textlink="">
      <xdr:nvSpPr>
        <xdr:cNvPr id="1207" name="B GEN DATA PAGE">
          <a:hlinkClick xmlns:r="http://schemas.openxmlformats.org/officeDocument/2006/relationships" r:id="rId6" tooltip="Back to Navigation Page"/>
          <a:extLst>
            <a:ext uri="{FF2B5EF4-FFF2-40B4-BE49-F238E27FC236}">
              <a16:creationId xmlns:a16="http://schemas.microsoft.com/office/drawing/2014/main" id="{50B166BB-5D43-4709-9F5B-A2CD6C66DC3D}"/>
            </a:ext>
          </a:extLst>
        </xdr:cNvPr>
        <xdr:cNvSpPr/>
      </xdr:nvSpPr>
      <xdr:spPr>
        <a:xfrm>
          <a:off x="529733444"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498</xdr:col>
      <xdr:colOff>35621</xdr:colOff>
      <xdr:row>1</xdr:row>
      <xdr:rowOff>59690</xdr:rowOff>
    </xdr:from>
    <xdr:to>
      <xdr:col>499</xdr:col>
      <xdr:colOff>250356</xdr:colOff>
      <xdr:row>1</xdr:row>
      <xdr:rowOff>557276</xdr:rowOff>
    </xdr:to>
    <xdr:sp macro="" textlink="">
      <xdr:nvSpPr>
        <xdr:cNvPr id="1208" name="B ALL DATA PAGE">
          <a:hlinkClick xmlns:r="http://schemas.openxmlformats.org/officeDocument/2006/relationships" r:id="rId7" tooltip="Back to All Data Page"/>
          <a:extLst>
            <a:ext uri="{FF2B5EF4-FFF2-40B4-BE49-F238E27FC236}">
              <a16:creationId xmlns:a16="http://schemas.microsoft.com/office/drawing/2014/main" id="{4C7E71BC-18F3-44F8-90AA-4C55A91C01B5}"/>
            </a:ext>
          </a:extLst>
        </xdr:cNvPr>
        <xdr:cNvSpPr/>
      </xdr:nvSpPr>
      <xdr:spPr>
        <a:xfrm>
          <a:off x="542351445"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496</xdr:col>
      <xdr:colOff>631631</xdr:colOff>
      <xdr:row>1</xdr:row>
      <xdr:rowOff>59690</xdr:rowOff>
    </xdr:from>
    <xdr:to>
      <xdr:col>497</xdr:col>
      <xdr:colOff>825602</xdr:colOff>
      <xdr:row>1</xdr:row>
      <xdr:rowOff>553466</xdr:rowOff>
    </xdr:to>
    <xdr:sp macro="" textlink="">
      <xdr:nvSpPr>
        <xdr:cNvPr id="1209" name="B TERMS PAGE">
          <a:hlinkClick xmlns:r="http://schemas.openxmlformats.org/officeDocument/2006/relationships" r:id="rId8" tooltip="Back to Appendix &amp; Terms Page"/>
          <a:extLst>
            <a:ext uri="{FF2B5EF4-FFF2-40B4-BE49-F238E27FC236}">
              <a16:creationId xmlns:a16="http://schemas.microsoft.com/office/drawing/2014/main" id="{E67B7A18-AC10-48D5-A5F0-B74F981CEA9A}"/>
            </a:ext>
          </a:extLst>
        </xdr:cNvPr>
        <xdr:cNvSpPr/>
      </xdr:nvSpPr>
      <xdr:spPr>
        <a:xfrm>
          <a:off x="541218561"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495</xdr:col>
      <xdr:colOff>367453</xdr:colOff>
      <xdr:row>1</xdr:row>
      <xdr:rowOff>59690</xdr:rowOff>
    </xdr:from>
    <xdr:to>
      <xdr:col>496</xdr:col>
      <xdr:colOff>556324</xdr:colOff>
      <xdr:row>1</xdr:row>
      <xdr:rowOff>553466</xdr:rowOff>
    </xdr:to>
    <xdr:sp macro="" textlink="">
      <xdr:nvSpPr>
        <xdr:cNvPr id="1210" name="B PROV DET PAGE">
          <a:hlinkClick xmlns:r="http://schemas.openxmlformats.org/officeDocument/2006/relationships" r:id="rId9" tooltip="Back to Provider Page"/>
          <a:extLst>
            <a:ext uri="{FF2B5EF4-FFF2-40B4-BE49-F238E27FC236}">
              <a16:creationId xmlns:a16="http://schemas.microsoft.com/office/drawing/2014/main" id="{6C40DB97-077D-467F-9E53-1BA270B38830}"/>
            </a:ext>
          </a:extLst>
        </xdr:cNvPr>
        <xdr:cNvSpPr/>
      </xdr:nvSpPr>
      <xdr:spPr>
        <a:xfrm>
          <a:off x="540075402"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490</xdr:col>
      <xdr:colOff>99752</xdr:colOff>
      <xdr:row>1</xdr:row>
      <xdr:rowOff>59690</xdr:rowOff>
    </xdr:from>
    <xdr:to>
      <xdr:col>491</xdr:col>
      <xdr:colOff>289066</xdr:colOff>
      <xdr:row>1</xdr:row>
      <xdr:rowOff>553466</xdr:rowOff>
    </xdr:to>
    <xdr:sp macro="" textlink="">
      <xdr:nvSpPr>
        <xdr:cNvPr id="1211" name="B IHSS PROG PAGE">
          <a:hlinkClick xmlns:r="http://schemas.openxmlformats.org/officeDocument/2006/relationships" r:id="rId10" tooltip="Back to Program Equity Page"/>
          <a:extLst>
            <a:ext uri="{FF2B5EF4-FFF2-40B4-BE49-F238E27FC236}">
              <a16:creationId xmlns:a16="http://schemas.microsoft.com/office/drawing/2014/main" id="{6112DDFB-78A5-42AF-843F-D366C9E1BAF8}"/>
            </a:ext>
          </a:extLst>
        </xdr:cNvPr>
        <xdr:cNvSpPr/>
      </xdr:nvSpPr>
      <xdr:spPr>
        <a:xfrm>
          <a:off x="535474884"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494</xdr:col>
      <xdr:colOff>59510</xdr:colOff>
      <xdr:row>1</xdr:row>
      <xdr:rowOff>59690</xdr:rowOff>
    </xdr:from>
    <xdr:to>
      <xdr:col>495</xdr:col>
      <xdr:colOff>263903</xdr:colOff>
      <xdr:row>1</xdr:row>
      <xdr:rowOff>553466</xdr:rowOff>
    </xdr:to>
    <xdr:sp macro="" textlink="">
      <xdr:nvSpPr>
        <xdr:cNvPr id="1212" name="B ETHNICITY PAGE">
          <a:hlinkClick xmlns:r="http://schemas.openxmlformats.org/officeDocument/2006/relationships" r:id="rId11" tooltip="Back to Ethnicity &amp; Language Page"/>
          <a:extLst>
            <a:ext uri="{FF2B5EF4-FFF2-40B4-BE49-F238E27FC236}">
              <a16:creationId xmlns:a16="http://schemas.microsoft.com/office/drawing/2014/main" id="{49C73D3A-713A-4862-A4F8-8C3B8EE0DADC}"/>
            </a:ext>
          </a:extLst>
        </xdr:cNvPr>
        <xdr:cNvSpPr/>
      </xdr:nvSpPr>
      <xdr:spPr>
        <a:xfrm>
          <a:off x="538902730"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487</xdr:col>
      <xdr:colOff>440600</xdr:colOff>
      <xdr:row>1</xdr:row>
      <xdr:rowOff>59690</xdr:rowOff>
    </xdr:from>
    <xdr:to>
      <xdr:col>488</xdr:col>
      <xdr:colOff>644870</xdr:colOff>
      <xdr:row>1</xdr:row>
      <xdr:rowOff>553466</xdr:rowOff>
    </xdr:to>
    <xdr:sp macro="" textlink="">
      <xdr:nvSpPr>
        <xdr:cNvPr id="1213" name="B GEN DATA PAGE">
          <a:hlinkClick xmlns:r="http://schemas.openxmlformats.org/officeDocument/2006/relationships" r:id="rId12" tooltip="IHSS Applicants Page (Current)"/>
          <a:extLst>
            <a:ext uri="{FF2B5EF4-FFF2-40B4-BE49-F238E27FC236}">
              <a16:creationId xmlns:a16="http://schemas.microsoft.com/office/drawing/2014/main" id="{CC4993C1-EEC0-41DE-8C67-1B3010F2FD74}"/>
            </a:ext>
          </a:extLst>
        </xdr:cNvPr>
        <xdr:cNvSpPr/>
      </xdr:nvSpPr>
      <xdr:spPr>
        <a:xfrm>
          <a:off x="533176530" y="58420"/>
          <a:ext cx="107111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491</xdr:col>
      <xdr:colOff>365220</xdr:colOff>
      <xdr:row>1</xdr:row>
      <xdr:rowOff>59690</xdr:rowOff>
    </xdr:from>
    <xdr:to>
      <xdr:col>492</xdr:col>
      <xdr:colOff>558627</xdr:colOff>
      <xdr:row>1</xdr:row>
      <xdr:rowOff>553466</xdr:rowOff>
    </xdr:to>
    <xdr:sp macro="" textlink="">
      <xdr:nvSpPr>
        <xdr:cNvPr id="1214" name="B IHSS SERV PAGE">
          <a:hlinkClick xmlns:r="http://schemas.openxmlformats.org/officeDocument/2006/relationships" r:id="rId13" tooltip="IHSS Services Page (Current)"/>
          <a:extLst>
            <a:ext uri="{FF2B5EF4-FFF2-40B4-BE49-F238E27FC236}">
              <a16:creationId xmlns:a16="http://schemas.microsoft.com/office/drawing/2014/main" id="{43BD3F21-5EE7-4FC5-9D2B-9369DAA4D689}"/>
            </a:ext>
          </a:extLst>
        </xdr:cNvPr>
        <xdr:cNvSpPr/>
      </xdr:nvSpPr>
      <xdr:spPr>
        <a:xfrm>
          <a:off x="536605646"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511</xdr:col>
      <xdr:colOff>404988</xdr:colOff>
      <xdr:row>1</xdr:row>
      <xdr:rowOff>59690</xdr:rowOff>
    </xdr:from>
    <xdr:to>
      <xdr:col>512</xdr:col>
      <xdr:colOff>559023</xdr:colOff>
      <xdr:row>1</xdr:row>
      <xdr:rowOff>553466</xdr:rowOff>
    </xdr:to>
    <xdr:sp macro="" textlink="">
      <xdr:nvSpPr>
        <xdr:cNvPr id="1215" name="B AGE PAGE">
          <a:hlinkClick xmlns:r="http://schemas.openxmlformats.org/officeDocument/2006/relationships" r:id="rId2" tooltip="Age &amp; Gender Page (Current)"/>
          <a:extLst>
            <a:ext uri="{FF2B5EF4-FFF2-40B4-BE49-F238E27FC236}">
              <a16:creationId xmlns:a16="http://schemas.microsoft.com/office/drawing/2014/main" id="{FDD560AD-823C-4A5A-83B1-55F066338958}"/>
            </a:ext>
          </a:extLst>
        </xdr:cNvPr>
        <xdr:cNvSpPr/>
      </xdr:nvSpPr>
      <xdr:spPr>
        <a:xfrm>
          <a:off x="554153492"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503</xdr:col>
      <xdr:colOff>536411</xdr:colOff>
      <xdr:row>1</xdr:row>
      <xdr:rowOff>59690</xdr:rowOff>
    </xdr:from>
    <xdr:to>
      <xdr:col>504</xdr:col>
      <xdr:colOff>762556</xdr:colOff>
      <xdr:row>1</xdr:row>
      <xdr:rowOff>553466</xdr:rowOff>
    </xdr:to>
    <xdr:sp macro="" textlink="">
      <xdr:nvSpPr>
        <xdr:cNvPr id="1216" name="B HOME PAGE">
          <a:hlinkClick xmlns:r="http://schemas.openxmlformats.org/officeDocument/2006/relationships" r:id="rId3" tooltip="Back to Dashboard Page"/>
          <a:extLst>
            <a:ext uri="{FF2B5EF4-FFF2-40B4-BE49-F238E27FC236}">
              <a16:creationId xmlns:a16="http://schemas.microsoft.com/office/drawing/2014/main" id="{25C96121-C58B-483D-87AB-A80EFFB77DE5}"/>
            </a:ext>
          </a:extLst>
        </xdr:cNvPr>
        <xdr:cNvSpPr/>
      </xdr:nvSpPr>
      <xdr:spPr>
        <a:xfrm>
          <a:off x="547257160"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504</xdr:col>
      <xdr:colOff>820930</xdr:colOff>
      <xdr:row>1</xdr:row>
      <xdr:rowOff>59690</xdr:rowOff>
    </xdr:from>
    <xdr:to>
      <xdr:col>506</xdr:col>
      <xdr:colOff>155254</xdr:colOff>
      <xdr:row>1</xdr:row>
      <xdr:rowOff>553466</xdr:rowOff>
    </xdr:to>
    <xdr:sp macro="" textlink="">
      <xdr:nvSpPr>
        <xdr:cNvPr id="1217" name="B GEN DATA PAGE">
          <a:hlinkClick xmlns:r="http://schemas.openxmlformats.org/officeDocument/2006/relationships" r:id="rId4" tooltip="Back to General Data Page"/>
          <a:extLst>
            <a:ext uri="{FF2B5EF4-FFF2-40B4-BE49-F238E27FC236}">
              <a16:creationId xmlns:a16="http://schemas.microsoft.com/office/drawing/2014/main" id="{1B497309-75C6-403D-A3F3-535074A6E630}"/>
            </a:ext>
          </a:extLst>
        </xdr:cNvPr>
        <xdr:cNvSpPr/>
      </xdr:nvSpPr>
      <xdr:spPr>
        <a:xfrm>
          <a:off x="548391732" y="58420"/>
          <a:ext cx="10850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507</xdr:col>
      <xdr:colOff>440572</xdr:colOff>
      <xdr:row>1</xdr:row>
      <xdr:rowOff>59690</xdr:rowOff>
    </xdr:from>
    <xdr:to>
      <xdr:col>508</xdr:col>
      <xdr:colOff>646539</xdr:colOff>
      <xdr:row>1</xdr:row>
      <xdr:rowOff>553466</xdr:rowOff>
    </xdr:to>
    <xdr:sp macro="" textlink="">
      <xdr:nvSpPr>
        <xdr:cNvPr id="1218" name="B ABD PAGE">
          <a:hlinkClick xmlns:r="http://schemas.openxmlformats.org/officeDocument/2006/relationships" r:id="rId5" tooltip="Aged, Blind, or Disabled Page (Current)"/>
          <a:extLst>
            <a:ext uri="{FF2B5EF4-FFF2-40B4-BE49-F238E27FC236}">
              <a16:creationId xmlns:a16="http://schemas.microsoft.com/office/drawing/2014/main" id="{0496E62A-1F6E-44B8-89E4-C603DACCA98E}"/>
            </a:ext>
          </a:extLst>
        </xdr:cNvPr>
        <xdr:cNvSpPr/>
      </xdr:nvSpPr>
      <xdr:spPr>
        <a:xfrm>
          <a:off x="550681195"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502</xdr:col>
      <xdr:colOff>252882</xdr:colOff>
      <xdr:row>1</xdr:row>
      <xdr:rowOff>59690</xdr:rowOff>
    </xdr:from>
    <xdr:to>
      <xdr:col>503</xdr:col>
      <xdr:colOff>479025</xdr:colOff>
      <xdr:row>1</xdr:row>
      <xdr:rowOff>553466</xdr:rowOff>
    </xdr:to>
    <xdr:sp macro="" textlink="">
      <xdr:nvSpPr>
        <xdr:cNvPr id="1219" name="B GEN DATA PAGE">
          <a:hlinkClick xmlns:r="http://schemas.openxmlformats.org/officeDocument/2006/relationships" r:id="rId6" tooltip="Back to Navigation Page"/>
          <a:extLst>
            <a:ext uri="{FF2B5EF4-FFF2-40B4-BE49-F238E27FC236}">
              <a16:creationId xmlns:a16="http://schemas.microsoft.com/office/drawing/2014/main" id="{38771721-2199-43EC-8236-6A4280186BD9}"/>
            </a:ext>
          </a:extLst>
        </xdr:cNvPr>
        <xdr:cNvSpPr/>
      </xdr:nvSpPr>
      <xdr:spPr>
        <a:xfrm>
          <a:off x="546111158"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516</xdr:col>
      <xdr:colOff>634149</xdr:colOff>
      <xdr:row>1</xdr:row>
      <xdr:rowOff>59690</xdr:rowOff>
    </xdr:from>
    <xdr:to>
      <xdr:col>518</xdr:col>
      <xdr:colOff>524</xdr:colOff>
      <xdr:row>1</xdr:row>
      <xdr:rowOff>557276</xdr:rowOff>
    </xdr:to>
    <xdr:sp macro="" textlink="">
      <xdr:nvSpPr>
        <xdr:cNvPr id="1220" name="B ALL DATA PAGE">
          <a:hlinkClick xmlns:r="http://schemas.openxmlformats.org/officeDocument/2006/relationships" r:id="rId7" tooltip="Back to All Data Page"/>
          <a:extLst>
            <a:ext uri="{FF2B5EF4-FFF2-40B4-BE49-F238E27FC236}">
              <a16:creationId xmlns:a16="http://schemas.microsoft.com/office/drawing/2014/main" id="{4BA9CCF5-E3A0-454C-9D4B-41E2F12E48F6}"/>
            </a:ext>
          </a:extLst>
        </xdr:cNvPr>
        <xdr:cNvSpPr/>
      </xdr:nvSpPr>
      <xdr:spPr>
        <a:xfrm>
          <a:off x="558729159"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515</xdr:col>
      <xdr:colOff>368817</xdr:colOff>
      <xdr:row>1</xdr:row>
      <xdr:rowOff>59690</xdr:rowOff>
    </xdr:from>
    <xdr:to>
      <xdr:col>516</xdr:col>
      <xdr:colOff>556720</xdr:colOff>
      <xdr:row>1</xdr:row>
      <xdr:rowOff>553466</xdr:rowOff>
    </xdr:to>
    <xdr:sp macro="" textlink="">
      <xdr:nvSpPr>
        <xdr:cNvPr id="1221" name="B TERMS PAGE">
          <a:hlinkClick xmlns:r="http://schemas.openxmlformats.org/officeDocument/2006/relationships" r:id="rId8" tooltip="Back to Appendix &amp; Terms Page"/>
          <a:extLst>
            <a:ext uri="{FF2B5EF4-FFF2-40B4-BE49-F238E27FC236}">
              <a16:creationId xmlns:a16="http://schemas.microsoft.com/office/drawing/2014/main" id="{BF7DC31A-935E-4D73-BF36-B0B33C9E09F7}"/>
            </a:ext>
          </a:extLst>
        </xdr:cNvPr>
        <xdr:cNvSpPr/>
      </xdr:nvSpPr>
      <xdr:spPr>
        <a:xfrm>
          <a:off x="557596275"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514</xdr:col>
      <xdr:colOff>97302</xdr:colOff>
      <xdr:row>1</xdr:row>
      <xdr:rowOff>59690</xdr:rowOff>
    </xdr:from>
    <xdr:to>
      <xdr:col>515</xdr:col>
      <xdr:colOff>290970</xdr:colOff>
      <xdr:row>1</xdr:row>
      <xdr:rowOff>553466</xdr:rowOff>
    </xdr:to>
    <xdr:sp macro="" textlink="">
      <xdr:nvSpPr>
        <xdr:cNvPr id="1222" name="B PROV DET PAGE">
          <a:hlinkClick xmlns:r="http://schemas.openxmlformats.org/officeDocument/2006/relationships" r:id="rId9" tooltip="Back to Provider Page"/>
          <a:extLst>
            <a:ext uri="{FF2B5EF4-FFF2-40B4-BE49-F238E27FC236}">
              <a16:creationId xmlns:a16="http://schemas.microsoft.com/office/drawing/2014/main" id="{75D87B6F-8A74-4C73-AC75-A21389D62D02}"/>
            </a:ext>
          </a:extLst>
        </xdr:cNvPr>
        <xdr:cNvSpPr/>
      </xdr:nvSpPr>
      <xdr:spPr>
        <a:xfrm>
          <a:off x="556453116"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508</xdr:col>
      <xdr:colOff>709993</xdr:colOff>
      <xdr:row>1</xdr:row>
      <xdr:rowOff>59690</xdr:rowOff>
    </xdr:from>
    <xdr:to>
      <xdr:col>510</xdr:col>
      <xdr:colOff>25265</xdr:colOff>
      <xdr:row>1</xdr:row>
      <xdr:rowOff>553466</xdr:rowOff>
    </xdr:to>
    <xdr:sp macro="" textlink="">
      <xdr:nvSpPr>
        <xdr:cNvPr id="1223" name="B IHSS PROG PAGE">
          <a:hlinkClick xmlns:r="http://schemas.openxmlformats.org/officeDocument/2006/relationships" r:id="rId10" tooltip="Back to Program Equity Page"/>
          <a:extLst>
            <a:ext uri="{FF2B5EF4-FFF2-40B4-BE49-F238E27FC236}">
              <a16:creationId xmlns:a16="http://schemas.microsoft.com/office/drawing/2014/main" id="{98959CF9-F1EC-4189-8186-9F1A9C93F951}"/>
            </a:ext>
          </a:extLst>
        </xdr:cNvPr>
        <xdr:cNvSpPr/>
      </xdr:nvSpPr>
      <xdr:spPr>
        <a:xfrm>
          <a:off x="551852598" y="58420"/>
          <a:ext cx="10546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512</xdr:col>
      <xdr:colOff>650417</xdr:colOff>
      <xdr:row>1</xdr:row>
      <xdr:rowOff>59690</xdr:rowOff>
    </xdr:from>
    <xdr:to>
      <xdr:col>514</xdr:col>
      <xdr:colOff>102</xdr:colOff>
      <xdr:row>1</xdr:row>
      <xdr:rowOff>553466</xdr:rowOff>
    </xdr:to>
    <xdr:sp macro="" textlink="">
      <xdr:nvSpPr>
        <xdr:cNvPr id="1224" name="B ETHNICITY PAGE">
          <a:hlinkClick xmlns:r="http://schemas.openxmlformats.org/officeDocument/2006/relationships" r:id="rId11" tooltip="Back to Ethnicity &amp; Language Page"/>
          <a:extLst>
            <a:ext uri="{FF2B5EF4-FFF2-40B4-BE49-F238E27FC236}">
              <a16:creationId xmlns:a16="http://schemas.microsoft.com/office/drawing/2014/main" id="{F99B85FD-92CF-4A27-A5DA-4D98427E33C6}"/>
            </a:ext>
          </a:extLst>
        </xdr:cNvPr>
        <xdr:cNvSpPr/>
      </xdr:nvSpPr>
      <xdr:spPr>
        <a:xfrm>
          <a:off x="555280444" y="58420"/>
          <a:ext cx="107420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506</xdr:col>
      <xdr:colOff>251728</xdr:colOff>
      <xdr:row>1</xdr:row>
      <xdr:rowOff>59690</xdr:rowOff>
    </xdr:from>
    <xdr:to>
      <xdr:col>507</xdr:col>
      <xdr:colOff>378388</xdr:colOff>
      <xdr:row>1</xdr:row>
      <xdr:rowOff>553466</xdr:rowOff>
    </xdr:to>
    <xdr:sp macro="" textlink="">
      <xdr:nvSpPr>
        <xdr:cNvPr id="1225" name="B GEN DATA PAGE">
          <a:hlinkClick xmlns:r="http://schemas.openxmlformats.org/officeDocument/2006/relationships" r:id="rId12" tooltip="IHSS Applicants Page (Current)"/>
          <a:extLst>
            <a:ext uri="{FF2B5EF4-FFF2-40B4-BE49-F238E27FC236}">
              <a16:creationId xmlns:a16="http://schemas.microsoft.com/office/drawing/2014/main" id="{68AE7123-E945-41FB-81F2-CEC6BF838389}"/>
            </a:ext>
          </a:extLst>
        </xdr:cNvPr>
        <xdr:cNvSpPr/>
      </xdr:nvSpPr>
      <xdr:spPr>
        <a:xfrm>
          <a:off x="549554244"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510</xdr:col>
      <xdr:colOff>101419</xdr:colOff>
      <xdr:row>1</xdr:row>
      <xdr:rowOff>59690</xdr:rowOff>
    </xdr:from>
    <xdr:to>
      <xdr:col>511</xdr:col>
      <xdr:colOff>325024</xdr:colOff>
      <xdr:row>1</xdr:row>
      <xdr:rowOff>553466</xdr:rowOff>
    </xdr:to>
    <xdr:sp macro="" textlink="">
      <xdr:nvSpPr>
        <xdr:cNvPr id="1226" name="B IHSS SERV PAGE">
          <a:hlinkClick xmlns:r="http://schemas.openxmlformats.org/officeDocument/2006/relationships" r:id="rId13" tooltip="IHSS Services Page (Current)"/>
          <a:extLst>
            <a:ext uri="{FF2B5EF4-FFF2-40B4-BE49-F238E27FC236}">
              <a16:creationId xmlns:a16="http://schemas.microsoft.com/office/drawing/2014/main" id="{AE929652-D3A2-4B06-A50E-AF5F12937545}"/>
            </a:ext>
          </a:extLst>
        </xdr:cNvPr>
        <xdr:cNvSpPr/>
      </xdr:nvSpPr>
      <xdr:spPr>
        <a:xfrm>
          <a:off x="552983360" y="58420"/>
          <a:ext cx="10850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511</xdr:col>
      <xdr:colOff>368793</xdr:colOff>
      <xdr:row>1</xdr:row>
      <xdr:rowOff>59690</xdr:rowOff>
    </xdr:from>
    <xdr:to>
      <xdr:col>512</xdr:col>
      <xdr:colOff>557118</xdr:colOff>
      <xdr:row>1</xdr:row>
      <xdr:rowOff>553466</xdr:rowOff>
    </xdr:to>
    <xdr:sp macro="" textlink="">
      <xdr:nvSpPr>
        <xdr:cNvPr id="1227" name="B AGE PAGE">
          <a:hlinkClick xmlns:r="http://schemas.openxmlformats.org/officeDocument/2006/relationships" r:id="rId2" tooltip="Age &amp; Gender Page (Current)"/>
          <a:extLst>
            <a:ext uri="{FF2B5EF4-FFF2-40B4-BE49-F238E27FC236}">
              <a16:creationId xmlns:a16="http://schemas.microsoft.com/office/drawing/2014/main" id="{511F73DE-DE79-4925-9488-6D835B30319E}"/>
            </a:ext>
          </a:extLst>
        </xdr:cNvPr>
        <xdr:cNvSpPr/>
      </xdr:nvSpPr>
      <xdr:spPr>
        <a:xfrm>
          <a:off x="554137617" y="58420"/>
          <a:ext cx="104571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503</xdr:col>
      <xdr:colOff>535776</xdr:colOff>
      <xdr:row>1</xdr:row>
      <xdr:rowOff>59690</xdr:rowOff>
    </xdr:from>
    <xdr:to>
      <xdr:col>504</xdr:col>
      <xdr:colOff>744141</xdr:colOff>
      <xdr:row>1</xdr:row>
      <xdr:rowOff>553466</xdr:rowOff>
    </xdr:to>
    <xdr:sp macro="" textlink="">
      <xdr:nvSpPr>
        <xdr:cNvPr id="1228" name="B HOME PAGE">
          <a:hlinkClick xmlns:r="http://schemas.openxmlformats.org/officeDocument/2006/relationships" r:id="rId3" tooltip="Back to Dashboard Page"/>
          <a:extLst>
            <a:ext uri="{FF2B5EF4-FFF2-40B4-BE49-F238E27FC236}">
              <a16:creationId xmlns:a16="http://schemas.microsoft.com/office/drawing/2014/main" id="{D1BEAAD4-C2C4-424B-A5F9-5877739FB7E5}"/>
            </a:ext>
          </a:extLst>
        </xdr:cNvPr>
        <xdr:cNvSpPr/>
      </xdr:nvSpPr>
      <xdr:spPr>
        <a:xfrm>
          <a:off x="547241285"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504</xdr:col>
      <xdr:colOff>801245</xdr:colOff>
      <xdr:row>1</xdr:row>
      <xdr:rowOff>59690</xdr:rowOff>
    </xdr:from>
    <xdr:to>
      <xdr:col>506</xdr:col>
      <xdr:colOff>139379</xdr:colOff>
      <xdr:row>1</xdr:row>
      <xdr:rowOff>553466</xdr:rowOff>
    </xdr:to>
    <xdr:sp macro="" textlink="">
      <xdr:nvSpPr>
        <xdr:cNvPr id="1229" name="B GEN DATA PAGE">
          <a:hlinkClick xmlns:r="http://schemas.openxmlformats.org/officeDocument/2006/relationships" r:id="rId4" tooltip="Back to General Data Page"/>
          <a:extLst>
            <a:ext uri="{FF2B5EF4-FFF2-40B4-BE49-F238E27FC236}">
              <a16:creationId xmlns:a16="http://schemas.microsoft.com/office/drawing/2014/main" id="{30D2C41B-06A0-4B7B-8976-9E38D8043FD4}"/>
            </a:ext>
          </a:extLst>
        </xdr:cNvPr>
        <xdr:cNvSpPr/>
      </xdr:nvSpPr>
      <xdr:spPr>
        <a:xfrm>
          <a:off x="548382207" y="58420"/>
          <a:ext cx="10723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507</xdr:col>
      <xdr:colOff>403107</xdr:colOff>
      <xdr:row>1</xdr:row>
      <xdr:rowOff>59690</xdr:rowOff>
    </xdr:from>
    <xdr:to>
      <xdr:col>508</xdr:col>
      <xdr:colOff>634474</xdr:colOff>
      <xdr:row>1</xdr:row>
      <xdr:rowOff>553466</xdr:rowOff>
    </xdr:to>
    <xdr:sp macro="" textlink="">
      <xdr:nvSpPr>
        <xdr:cNvPr id="1230" name="B ABD PAGE">
          <a:hlinkClick xmlns:r="http://schemas.openxmlformats.org/officeDocument/2006/relationships" r:id="rId5" tooltip="Aged, Blind, or Disabled Page (Current)"/>
          <a:extLst>
            <a:ext uri="{FF2B5EF4-FFF2-40B4-BE49-F238E27FC236}">
              <a16:creationId xmlns:a16="http://schemas.microsoft.com/office/drawing/2014/main" id="{1907DED8-6DF5-4897-ABC8-160712ECFBFD}"/>
            </a:ext>
          </a:extLst>
        </xdr:cNvPr>
        <xdr:cNvSpPr/>
      </xdr:nvSpPr>
      <xdr:spPr>
        <a:xfrm>
          <a:off x="550665320"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502</xdr:col>
      <xdr:colOff>250977</xdr:colOff>
      <xdr:row>1</xdr:row>
      <xdr:rowOff>59690</xdr:rowOff>
    </xdr:from>
    <xdr:to>
      <xdr:col>503</xdr:col>
      <xdr:colOff>440290</xdr:colOff>
      <xdr:row>1</xdr:row>
      <xdr:rowOff>553466</xdr:rowOff>
    </xdr:to>
    <xdr:sp macro="" textlink="">
      <xdr:nvSpPr>
        <xdr:cNvPr id="1231" name="B GEN DATA PAGE">
          <a:hlinkClick xmlns:r="http://schemas.openxmlformats.org/officeDocument/2006/relationships" r:id="rId6" tooltip="Back to Navigation Page"/>
          <a:extLst>
            <a:ext uri="{FF2B5EF4-FFF2-40B4-BE49-F238E27FC236}">
              <a16:creationId xmlns:a16="http://schemas.microsoft.com/office/drawing/2014/main" id="{74E04985-1135-49FF-ACB2-E230BF1DB3CB}"/>
            </a:ext>
          </a:extLst>
        </xdr:cNvPr>
        <xdr:cNvSpPr/>
      </xdr:nvSpPr>
      <xdr:spPr>
        <a:xfrm>
          <a:off x="546088933" y="58420"/>
          <a:ext cx="10736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516</xdr:col>
      <xdr:colOff>611924</xdr:colOff>
      <xdr:row>1</xdr:row>
      <xdr:rowOff>59690</xdr:rowOff>
    </xdr:from>
    <xdr:to>
      <xdr:col>517</xdr:col>
      <xdr:colOff>821579</xdr:colOff>
      <xdr:row>1</xdr:row>
      <xdr:rowOff>557276</xdr:rowOff>
    </xdr:to>
    <xdr:sp macro="" textlink="">
      <xdr:nvSpPr>
        <xdr:cNvPr id="1232" name="B ALL DATA PAGE">
          <a:hlinkClick xmlns:r="http://schemas.openxmlformats.org/officeDocument/2006/relationships" r:id="rId7" tooltip="Back to All Data Page"/>
          <a:extLst>
            <a:ext uri="{FF2B5EF4-FFF2-40B4-BE49-F238E27FC236}">
              <a16:creationId xmlns:a16="http://schemas.microsoft.com/office/drawing/2014/main" id="{8664F599-1288-4754-9743-D93FC5C843CD}"/>
            </a:ext>
          </a:extLst>
        </xdr:cNvPr>
        <xdr:cNvSpPr/>
      </xdr:nvSpPr>
      <xdr:spPr>
        <a:xfrm>
          <a:off x="558713284" y="58420"/>
          <a:ext cx="108200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515</xdr:col>
      <xdr:colOff>363102</xdr:colOff>
      <xdr:row>1</xdr:row>
      <xdr:rowOff>59690</xdr:rowOff>
    </xdr:from>
    <xdr:to>
      <xdr:col>516</xdr:col>
      <xdr:colOff>533225</xdr:colOff>
      <xdr:row>1</xdr:row>
      <xdr:rowOff>553466</xdr:rowOff>
    </xdr:to>
    <xdr:sp macro="" textlink="">
      <xdr:nvSpPr>
        <xdr:cNvPr id="1233" name="B TERMS PAGE">
          <a:hlinkClick xmlns:r="http://schemas.openxmlformats.org/officeDocument/2006/relationships" r:id="rId8" tooltip="Back to Appendix &amp; Terms Page"/>
          <a:extLst>
            <a:ext uri="{FF2B5EF4-FFF2-40B4-BE49-F238E27FC236}">
              <a16:creationId xmlns:a16="http://schemas.microsoft.com/office/drawing/2014/main" id="{A1C41DEC-B7D6-4908-AE1B-6149532DE65B}"/>
            </a:ext>
          </a:extLst>
        </xdr:cNvPr>
        <xdr:cNvSpPr/>
      </xdr:nvSpPr>
      <xdr:spPr>
        <a:xfrm>
          <a:off x="557580400"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514</xdr:col>
      <xdr:colOff>73807</xdr:colOff>
      <xdr:row>1</xdr:row>
      <xdr:rowOff>59690</xdr:rowOff>
    </xdr:from>
    <xdr:to>
      <xdr:col>515</xdr:col>
      <xdr:colOff>289065</xdr:colOff>
      <xdr:row>1</xdr:row>
      <xdr:rowOff>553466</xdr:rowOff>
    </xdr:to>
    <xdr:sp macro="" textlink="">
      <xdr:nvSpPr>
        <xdr:cNvPr id="1234" name="B PROV DET PAGE">
          <a:hlinkClick xmlns:r="http://schemas.openxmlformats.org/officeDocument/2006/relationships" r:id="rId9" tooltip="Back to Provider Page"/>
          <a:extLst>
            <a:ext uri="{FF2B5EF4-FFF2-40B4-BE49-F238E27FC236}">
              <a16:creationId xmlns:a16="http://schemas.microsoft.com/office/drawing/2014/main" id="{3050495B-0342-47E4-A736-FB41A3F6DEC8}"/>
            </a:ext>
          </a:extLst>
        </xdr:cNvPr>
        <xdr:cNvSpPr/>
      </xdr:nvSpPr>
      <xdr:spPr>
        <a:xfrm>
          <a:off x="556437241"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508</xdr:col>
      <xdr:colOff>709358</xdr:colOff>
      <xdr:row>1</xdr:row>
      <xdr:rowOff>59690</xdr:rowOff>
    </xdr:from>
    <xdr:to>
      <xdr:col>510</xdr:col>
      <xdr:colOff>22090</xdr:colOff>
      <xdr:row>1</xdr:row>
      <xdr:rowOff>553466</xdr:rowOff>
    </xdr:to>
    <xdr:sp macro="" textlink="">
      <xdr:nvSpPr>
        <xdr:cNvPr id="1235" name="B IHSS PROG PAGE">
          <a:hlinkClick xmlns:r="http://schemas.openxmlformats.org/officeDocument/2006/relationships" r:id="rId10" tooltip="Back to Program Equity Page"/>
          <a:extLst>
            <a:ext uri="{FF2B5EF4-FFF2-40B4-BE49-F238E27FC236}">
              <a16:creationId xmlns:a16="http://schemas.microsoft.com/office/drawing/2014/main" id="{DAE410D6-3B1E-4578-A30D-50DCB4B8F8D0}"/>
            </a:ext>
          </a:extLst>
        </xdr:cNvPr>
        <xdr:cNvSpPr/>
      </xdr:nvSpPr>
      <xdr:spPr>
        <a:xfrm>
          <a:off x="551836723"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512</xdr:col>
      <xdr:colOff>645972</xdr:colOff>
      <xdr:row>1</xdr:row>
      <xdr:rowOff>59690</xdr:rowOff>
    </xdr:from>
    <xdr:to>
      <xdr:col>514</xdr:col>
      <xdr:colOff>2007</xdr:colOff>
      <xdr:row>1</xdr:row>
      <xdr:rowOff>553466</xdr:rowOff>
    </xdr:to>
    <xdr:sp macro="" textlink="">
      <xdr:nvSpPr>
        <xdr:cNvPr id="1236" name="B ETHNICITY PAGE">
          <a:hlinkClick xmlns:r="http://schemas.openxmlformats.org/officeDocument/2006/relationships" r:id="rId11" tooltip="Back to Ethnicity &amp; Language Page"/>
          <a:extLst>
            <a:ext uri="{FF2B5EF4-FFF2-40B4-BE49-F238E27FC236}">
              <a16:creationId xmlns:a16="http://schemas.microsoft.com/office/drawing/2014/main" id="{D445F714-3BD4-4E0E-BE8F-8EF0FF10BCE7}"/>
            </a:ext>
          </a:extLst>
        </xdr:cNvPr>
        <xdr:cNvSpPr/>
      </xdr:nvSpPr>
      <xdr:spPr>
        <a:xfrm>
          <a:off x="555264569"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506</xdr:col>
      <xdr:colOff>210453</xdr:colOff>
      <xdr:row>1</xdr:row>
      <xdr:rowOff>59690</xdr:rowOff>
    </xdr:from>
    <xdr:to>
      <xdr:col>507</xdr:col>
      <xdr:colOff>367593</xdr:colOff>
      <xdr:row>1</xdr:row>
      <xdr:rowOff>553466</xdr:rowOff>
    </xdr:to>
    <xdr:sp macro="" textlink="">
      <xdr:nvSpPr>
        <xdr:cNvPr id="1237" name="B GEN DATA PAGE">
          <a:hlinkClick xmlns:r="http://schemas.openxmlformats.org/officeDocument/2006/relationships" r:id="rId12" tooltip="IHSS Applicants Page (Current)"/>
          <a:extLst>
            <a:ext uri="{FF2B5EF4-FFF2-40B4-BE49-F238E27FC236}">
              <a16:creationId xmlns:a16="http://schemas.microsoft.com/office/drawing/2014/main" id="{CE0E9C20-9165-47DA-B634-3ABF5D2FD131}"/>
            </a:ext>
          </a:extLst>
        </xdr:cNvPr>
        <xdr:cNvSpPr/>
      </xdr:nvSpPr>
      <xdr:spPr>
        <a:xfrm>
          <a:off x="549532019" y="58420"/>
          <a:ext cx="108381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510</xdr:col>
      <xdr:colOff>75384</xdr:colOff>
      <xdr:row>1</xdr:row>
      <xdr:rowOff>59690</xdr:rowOff>
    </xdr:from>
    <xdr:to>
      <xdr:col>511</xdr:col>
      <xdr:colOff>291369</xdr:colOff>
      <xdr:row>1</xdr:row>
      <xdr:rowOff>553466</xdr:rowOff>
    </xdr:to>
    <xdr:sp macro="" textlink="">
      <xdr:nvSpPr>
        <xdr:cNvPr id="1238" name="B IHSS SERV PAGE">
          <a:hlinkClick xmlns:r="http://schemas.openxmlformats.org/officeDocument/2006/relationships" r:id="rId13" tooltip="IHSS Services Page (Current)"/>
          <a:extLst>
            <a:ext uri="{FF2B5EF4-FFF2-40B4-BE49-F238E27FC236}">
              <a16:creationId xmlns:a16="http://schemas.microsoft.com/office/drawing/2014/main" id="{BB083AB2-3F39-4942-A94E-AC6A606796F3}"/>
            </a:ext>
          </a:extLst>
        </xdr:cNvPr>
        <xdr:cNvSpPr/>
      </xdr:nvSpPr>
      <xdr:spPr>
        <a:xfrm>
          <a:off x="552967485"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529</xdr:col>
      <xdr:colOff>838057</xdr:colOff>
      <xdr:row>1</xdr:row>
      <xdr:rowOff>59690</xdr:rowOff>
    </xdr:from>
    <xdr:to>
      <xdr:col>531</xdr:col>
      <xdr:colOff>172662</xdr:colOff>
      <xdr:row>1</xdr:row>
      <xdr:rowOff>553466</xdr:rowOff>
    </xdr:to>
    <xdr:sp macro="" textlink="">
      <xdr:nvSpPr>
        <xdr:cNvPr id="1239" name="B AGE PAGE">
          <a:hlinkClick xmlns:r="http://schemas.openxmlformats.org/officeDocument/2006/relationships" r:id="rId2" tooltip="Age &amp; Gender Page (Current)"/>
          <a:extLst>
            <a:ext uri="{FF2B5EF4-FFF2-40B4-BE49-F238E27FC236}">
              <a16:creationId xmlns:a16="http://schemas.microsoft.com/office/drawing/2014/main" id="{8CEF2D3E-6C76-4509-9098-09EA5BF53074}"/>
            </a:ext>
          </a:extLst>
        </xdr:cNvPr>
        <xdr:cNvSpPr/>
      </xdr:nvSpPr>
      <xdr:spPr>
        <a:xfrm>
          <a:off x="570428542" y="58420"/>
          <a:ext cx="105841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522</xdr:col>
      <xdr:colOff>174603</xdr:colOff>
      <xdr:row>1</xdr:row>
      <xdr:rowOff>59690</xdr:rowOff>
    </xdr:from>
    <xdr:to>
      <xdr:col>523</xdr:col>
      <xdr:colOff>367728</xdr:colOff>
      <xdr:row>1</xdr:row>
      <xdr:rowOff>553466</xdr:rowOff>
    </xdr:to>
    <xdr:sp macro="" textlink="">
      <xdr:nvSpPr>
        <xdr:cNvPr id="1240" name="B HOME PAGE">
          <a:hlinkClick xmlns:r="http://schemas.openxmlformats.org/officeDocument/2006/relationships" r:id="rId3" tooltip="Back to Dashboard Page"/>
          <a:extLst>
            <a:ext uri="{FF2B5EF4-FFF2-40B4-BE49-F238E27FC236}">
              <a16:creationId xmlns:a16="http://schemas.microsoft.com/office/drawing/2014/main" id="{1349A14B-8CFC-4FFC-81AB-C8C9DCF51F05}"/>
            </a:ext>
          </a:extLst>
        </xdr:cNvPr>
        <xdr:cNvSpPr/>
      </xdr:nvSpPr>
      <xdr:spPr>
        <a:xfrm>
          <a:off x="563532210" y="58420"/>
          <a:ext cx="108889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523</xdr:col>
      <xdr:colOff>438802</xdr:colOff>
      <xdr:row>1</xdr:row>
      <xdr:rowOff>59690</xdr:rowOff>
    </xdr:from>
    <xdr:to>
      <xdr:col>524</xdr:col>
      <xdr:colOff>630234</xdr:colOff>
      <xdr:row>1</xdr:row>
      <xdr:rowOff>553466</xdr:rowOff>
    </xdr:to>
    <xdr:sp macro="" textlink="">
      <xdr:nvSpPr>
        <xdr:cNvPr id="1241" name="B GEN DATA PAGE">
          <a:hlinkClick xmlns:r="http://schemas.openxmlformats.org/officeDocument/2006/relationships" r:id="rId4" tooltip="Back to General Data Page"/>
          <a:extLst>
            <a:ext uri="{FF2B5EF4-FFF2-40B4-BE49-F238E27FC236}">
              <a16:creationId xmlns:a16="http://schemas.microsoft.com/office/drawing/2014/main" id="{CD11E70B-892B-4AEF-9054-E7D12DBCF8F5}"/>
            </a:ext>
          </a:extLst>
        </xdr:cNvPr>
        <xdr:cNvSpPr/>
      </xdr:nvSpPr>
      <xdr:spPr>
        <a:xfrm>
          <a:off x="564679482" y="58420"/>
          <a:ext cx="10723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526</xdr:col>
      <xdr:colOff>61407</xdr:colOff>
      <xdr:row>1</xdr:row>
      <xdr:rowOff>59690</xdr:rowOff>
    </xdr:from>
    <xdr:to>
      <xdr:col>527</xdr:col>
      <xdr:colOff>288963</xdr:colOff>
      <xdr:row>1</xdr:row>
      <xdr:rowOff>553466</xdr:rowOff>
    </xdr:to>
    <xdr:sp macro="" textlink="">
      <xdr:nvSpPr>
        <xdr:cNvPr id="1242" name="B ABD PAGE">
          <a:hlinkClick xmlns:r="http://schemas.openxmlformats.org/officeDocument/2006/relationships" r:id="rId5" tooltip="Aged, Blind, or Disabled Page (Current)"/>
          <a:extLst>
            <a:ext uri="{FF2B5EF4-FFF2-40B4-BE49-F238E27FC236}">
              <a16:creationId xmlns:a16="http://schemas.microsoft.com/office/drawing/2014/main" id="{5E2D46D9-AF90-4294-9CAB-B8023AEFDB12}"/>
            </a:ext>
          </a:extLst>
        </xdr:cNvPr>
        <xdr:cNvSpPr/>
      </xdr:nvSpPr>
      <xdr:spPr>
        <a:xfrm>
          <a:off x="566962595"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520</xdr:col>
      <xdr:colOff>744794</xdr:colOff>
      <xdr:row>1</xdr:row>
      <xdr:rowOff>59690</xdr:rowOff>
    </xdr:from>
    <xdr:to>
      <xdr:col>522</xdr:col>
      <xdr:colOff>98449</xdr:colOff>
      <xdr:row>1</xdr:row>
      <xdr:rowOff>553466</xdr:rowOff>
    </xdr:to>
    <xdr:sp macro="" textlink="">
      <xdr:nvSpPr>
        <xdr:cNvPr id="1243" name="B GEN DATA PAGE">
          <a:hlinkClick xmlns:r="http://schemas.openxmlformats.org/officeDocument/2006/relationships" r:id="rId6" tooltip="Back to Navigation Page"/>
          <a:extLst>
            <a:ext uri="{FF2B5EF4-FFF2-40B4-BE49-F238E27FC236}">
              <a16:creationId xmlns:a16="http://schemas.microsoft.com/office/drawing/2014/main" id="{B5977601-62AA-43A2-B1EB-7E160617F30E}"/>
            </a:ext>
          </a:extLst>
        </xdr:cNvPr>
        <xdr:cNvSpPr/>
      </xdr:nvSpPr>
      <xdr:spPr>
        <a:xfrm>
          <a:off x="562386208" y="58420"/>
          <a:ext cx="10736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535</xdr:col>
      <xdr:colOff>212228</xdr:colOff>
      <xdr:row>1</xdr:row>
      <xdr:rowOff>59690</xdr:rowOff>
    </xdr:from>
    <xdr:to>
      <xdr:col>536</xdr:col>
      <xdr:colOff>442907</xdr:colOff>
      <xdr:row>1</xdr:row>
      <xdr:rowOff>557276</xdr:rowOff>
    </xdr:to>
    <xdr:sp macro="" textlink="">
      <xdr:nvSpPr>
        <xdr:cNvPr id="1244" name="B ALL DATA PAGE">
          <a:hlinkClick xmlns:r="http://schemas.openxmlformats.org/officeDocument/2006/relationships" r:id="rId7" tooltip="Back to All Data Page"/>
          <a:extLst>
            <a:ext uri="{FF2B5EF4-FFF2-40B4-BE49-F238E27FC236}">
              <a16:creationId xmlns:a16="http://schemas.microsoft.com/office/drawing/2014/main" id="{DEACC3E0-D09C-4B3B-BCF1-D0C08ADE4773}"/>
            </a:ext>
          </a:extLst>
        </xdr:cNvPr>
        <xdr:cNvSpPr/>
      </xdr:nvSpPr>
      <xdr:spPr>
        <a:xfrm>
          <a:off x="575010559"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533</xdr:col>
      <xdr:colOff>799346</xdr:colOff>
      <xdr:row>1</xdr:row>
      <xdr:rowOff>59690</xdr:rowOff>
    </xdr:from>
    <xdr:to>
      <xdr:col>535</xdr:col>
      <xdr:colOff>138609</xdr:colOff>
      <xdr:row>1</xdr:row>
      <xdr:rowOff>553466</xdr:rowOff>
    </xdr:to>
    <xdr:sp macro="" textlink="">
      <xdr:nvSpPr>
        <xdr:cNvPr id="1245" name="B TERMS PAGE">
          <a:hlinkClick xmlns:r="http://schemas.openxmlformats.org/officeDocument/2006/relationships" r:id="rId8" tooltip="Back to Appendix &amp; Terms Page"/>
          <a:extLst>
            <a:ext uri="{FF2B5EF4-FFF2-40B4-BE49-F238E27FC236}">
              <a16:creationId xmlns:a16="http://schemas.microsoft.com/office/drawing/2014/main" id="{5F691A8B-8B25-447E-ADFC-7A05218E2138}"/>
            </a:ext>
          </a:extLst>
        </xdr:cNvPr>
        <xdr:cNvSpPr/>
      </xdr:nvSpPr>
      <xdr:spPr>
        <a:xfrm>
          <a:off x="573877675"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532</xdr:col>
      <xdr:colOff>536157</xdr:colOff>
      <xdr:row>1</xdr:row>
      <xdr:rowOff>59690</xdr:rowOff>
    </xdr:from>
    <xdr:to>
      <xdr:col>533</xdr:col>
      <xdr:colOff>724039</xdr:colOff>
      <xdr:row>1</xdr:row>
      <xdr:rowOff>553466</xdr:rowOff>
    </xdr:to>
    <xdr:sp macro="" textlink="">
      <xdr:nvSpPr>
        <xdr:cNvPr id="1246" name="B PROV DET PAGE">
          <a:hlinkClick xmlns:r="http://schemas.openxmlformats.org/officeDocument/2006/relationships" r:id="rId9" tooltip="Back to Provider Page"/>
          <a:extLst>
            <a:ext uri="{FF2B5EF4-FFF2-40B4-BE49-F238E27FC236}">
              <a16:creationId xmlns:a16="http://schemas.microsoft.com/office/drawing/2014/main" id="{8BB4D92A-3B17-4C5C-809A-EBE57A0A43E4}"/>
            </a:ext>
          </a:extLst>
        </xdr:cNvPr>
        <xdr:cNvSpPr/>
      </xdr:nvSpPr>
      <xdr:spPr>
        <a:xfrm>
          <a:off x="572734516"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527</xdr:col>
      <xdr:colOff>368927</xdr:colOff>
      <xdr:row>1</xdr:row>
      <xdr:rowOff>59690</xdr:rowOff>
    </xdr:from>
    <xdr:to>
      <xdr:col>528</xdr:col>
      <xdr:colOff>481618</xdr:colOff>
      <xdr:row>1</xdr:row>
      <xdr:rowOff>553466</xdr:rowOff>
    </xdr:to>
    <xdr:sp macro="" textlink="">
      <xdr:nvSpPr>
        <xdr:cNvPr id="1247" name="B IHSS PROG PAGE">
          <a:hlinkClick xmlns:r="http://schemas.openxmlformats.org/officeDocument/2006/relationships" r:id="rId10" tooltip="Back to Program Equity Page"/>
          <a:extLst>
            <a:ext uri="{FF2B5EF4-FFF2-40B4-BE49-F238E27FC236}">
              <a16:creationId xmlns:a16="http://schemas.microsoft.com/office/drawing/2014/main" id="{41B73553-DE62-4235-B07B-37E53847E6DD}"/>
            </a:ext>
          </a:extLst>
        </xdr:cNvPr>
        <xdr:cNvSpPr/>
      </xdr:nvSpPr>
      <xdr:spPr>
        <a:xfrm>
          <a:off x="568133998"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531</xdr:col>
      <xdr:colOff>250086</xdr:colOff>
      <xdr:row>1</xdr:row>
      <xdr:rowOff>59690</xdr:rowOff>
    </xdr:from>
    <xdr:to>
      <xdr:col>532</xdr:col>
      <xdr:colOff>442485</xdr:colOff>
      <xdr:row>1</xdr:row>
      <xdr:rowOff>553466</xdr:rowOff>
    </xdr:to>
    <xdr:sp macro="" textlink="">
      <xdr:nvSpPr>
        <xdr:cNvPr id="1248" name="B ETHNICITY PAGE">
          <a:hlinkClick xmlns:r="http://schemas.openxmlformats.org/officeDocument/2006/relationships" r:id="rId11" tooltip="Back to Ethnicity &amp; Language Page"/>
          <a:extLst>
            <a:ext uri="{FF2B5EF4-FFF2-40B4-BE49-F238E27FC236}">
              <a16:creationId xmlns:a16="http://schemas.microsoft.com/office/drawing/2014/main" id="{8A1E8D64-B0BA-4661-802B-AFF369C6E70E}"/>
            </a:ext>
          </a:extLst>
        </xdr:cNvPr>
        <xdr:cNvSpPr/>
      </xdr:nvSpPr>
      <xdr:spPr>
        <a:xfrm>
          <a:off x="571561844"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524</xdr:col>
      <xdr:colOff>726708</xdr:colOff>
      <xdr:row>1</xdr:row>
      <xdr:rowOff>59690</xdr:rowOff>
    </xdr:from>
    <xdr:to>
      <xdr:col>526</xdr:col>
      <xdr:colOff>25893</xdr:colOff>
      <xdr:row>1</xdr:row>
      <xdr:rowOff>553466</xdr:rowOff>
    </xdr:to>
    <xdr:sp macro="" textlink="">
      <xdr:nvSpPr>
        <xdr:cNvPr id="1249" name="B GEN DATA PAGE">
          <a:hlinkClick xmlns:r="http://schemas.openxmlformats.org/officeDocument/2006/relationships" r:id="rId12" tooltip="IHSS Applicants Page (Current)"/>
          <a:extLst>
            <a:ext uri="{FF2B5EF4-FFF2-40B4-BE49-F238E27FC236}">
              <a16:creationId xmlns:a16="http://schemas.microsoft.com/office/drawing/2014/main" id="{1F91211D-E63C-473D-975D-8356D1D9155C}"/>
            </a:ext>
          </a:extLst>
        </xdr:cNvPr>
        <xdr:cNvSpPr/>
      </xdr:nvSpPr>
      <xdr:spPr>
        <a:xfrm>
          <a:off x="565835644"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528</xdr:col>
      <xdr:colOff>521224</xdr:colOff>
      <xdr:row>1</xdr:row>
      <xdr:rowOff>59690</xdr:rowOff>
    </xdr:from>
    <xdr:to>
      <xdr:col>529</xdr:col>
      <xdr:colOff>747933</xdr:colOff>
      <xdr:row>1</xdr:row>
      <xdr:rowOff>553466</xdr:rowOff>
    </xdr:to>
    <xdr:sp macro="" textlink="">
      <xdr:nvSpPr>
        <xdr:cNvPr id="1250" name="B IHSS SERV PAGE">
          <a:hlinkClick xmlns:r="http://schemas.openxmlformats.org/officeDocument/2006/relationships" r:id="rId13" tooltip="IHSS Services Page (Current)"/>
          <a:extLst>
            <a:ext uri="{FF2B5EF4-FFF2-40B4-BE49-F238E27FC236}">
              <a16:creationId xmlns:a16="http://schemas.microsoft.com/office/drawing/2014/main" id="{93BD7CEA-4A0B-4CFA-9E93-22A8E450FE7F}"/>
            </a:ext>
          </a:extLst>
        </xdr:cNvPr>
        <xdr:cNvSpPr/>
      </xdr:nvSpPr>
      <xdr:spPr>
        <a:xfrm>
          <a:off x="569264760"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529</xdr:col>
      <xdr:colOff>820912</xdr:colOff>
      <xdr:row>1</xdr:row>
      <xdr:rowOff>59690</xdr:rowOff>
    </xdr:from>
    <xdr:to>
      <xdr:col>531</xdr:col>
      <xdr:colOff>136467</xdr:colOff>
      <xdr:row>1</xdr:row>
      <xdr:rowOff>553466</xdr:rowOff>
    </xdr:to>
    <xdr:sp macro="" textlink="">
      <xdr:nvSpPr>
        <xdr:cNvPr id="1251" name="B AGE PAGE">
          <a:hlinkClick xmlns:r="http://schemas.openxmlformats.org/officeDocument/2006/relationships" r:id="rId2" tooltip="Age &amp; Gender Page (Current)"/>
          <a:extLst>
            <a:ext uri="{FF2B5EF4-FFF2-40B4-BE49-F238E27FC236}">
              <a16:creationId xmlns:a16="http://schemas.microsoft.com/office/drawing/2014/main" id="{8A3DCADF-F880-49C4-A1F0-54CE2BF776F1}"/>
            </a:ext>
          </a:extLst>
        </xdr:cNvPr>
        <xdr:cNvSpPr/>
      </xdr:nvSpPr>
      <xdr:spPr>
        <a:xfrm>
          <a:off x="570412667" y="58420"/>
          <a:ext cx="105841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522</xdr:col>
      <xdr:colOff>138408</xdr:colOff>
      <xdr:row>1</xdr:row>
      <xdr:rowOff>59690</xdr:rowOff>
    </xdr:from>
    <xdr:to>
      <xdr:col>523</xdr:col>
      <xdr:colOff>365823</xdr:colOff>
      <xdr:row>1</xdr:row>
      <xdr:rowOff>553466</xdr:rowOff>
    </xdr:to>
    <xdr:sp macro="" textlink="">
      <xdr:nvSpPr>
        <xdr:cNvPr id="1252" name="B HOME PAGE">
          <a:hlinkClick xmlns:r="http://schemas.openxmlformats.org/officeDocument/2006/relationships" r:id="rId3" tooltip="Back to Dashboard Page"/>
          <a:extLst>
            <a:ext uri="{FF2B5EF4-FFF2-40B4-BE49-F238E27FC236}">
              <a16:creationId xmlns:a16="http://schemas.microsoft.com/office/drawing/2014/main" id="{C31B1DA2-BE1A-4EE5-B297-7DAF24429900}"/>
            </a:ext>
          </a:extLst>
        </xdr:cNvPr>
        <xdr:cNvSpPr/>
      </xdr:nvSpPr>
      <xdr:spPr>
        <a:xfrm>
          <a:off x="563522685"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523</xdr:col>
      <xdr:colOff>421657</xdr:colOff>
      <xdr:row>1</xdr:row>
      <xdr:rowOff>59690</xdr:rowOff>
    </xdr:from>
    <xdr:to>
      <xdr:col>524</xdr:col>
      <xdr:colOff>633409</xdr:colOff>
      <xdr:row>1</xdr:row>
      <xdr:rowOff>553466</xdr:rowOff>
    </xdr:to>
    <xdr:sp macro="" textlink="">
      <xdr:nvSpPr>
        <xdr:cNvPr id="1253" name="B GEN DATA PAGE">
          <a:hlinkClick xmlns:r="http://schemas.openxmlformats.org/officeDocument/2006/relationships" r:id="rId4" tooltip="Back to General Data Page"/>
          <a:extLst>
            <a:ext uri="{FF2B5EF4-FFF2-40B4-BE49-F238E27FC236}">
              <a16:creationId xmlns:a16="http://schemas.microsoft.com/office/drawing/2014/main" id="{811527A0-9F13-4395-82B8-F98529D60CCD}"/>
            </a:ext>
          </a:extLst>
        </xdr:cNvPr>
        <xdr:cNvSpPr/>
      </xdr:nvSpPr>
      <xdr:spPr>
        <a:xfrm>
          <a:off x="564663607"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526</xdr:col>
      <xdr:colOff>59502</xdr:colOff>
      <xdr:row>1</xdr:row>
      <xdr:rowOff>59690</xdr:rowOff>
    </xdr:from>
    <xdr:to>
      <xdr:col>527</xdr:col>
      <xdr:colOff>289598</xdr:colOff>
      <xdr:row>1</xdr:row>
      <xdr:rowOff>553466</xdr:rowOff>
    </xdr:to>
    <xdr:sp macro="" textlink="">
      <xdr:nvSpPr>
        <xdr:cNvPr id="1254" name="B ABD PAGE">
          <a:hlinkClick xmlns:r="http://schemas.openxmlformats.org/officeDocument/2006/relationships" r:id="rId5" tooltip="Aged, Blind, or Disabled Page (Current)"/>
          <a:extLst>
            <a:ext uri="{FF2B5EF4-FFF2-40B4-BE49-F238E27FC236}">
              <a16:creationId xmlns:a16="http://schemas.microsoft.com/office/drawing/2014/main" id="{35E84100-D60A-45FE-85E1-9992A8681920}"/>
            </a:ext>
          </a:extLst>
        </xdr:cNvPr>
        <xdr:cNvSpPr/>
      </xdr:nvSpPr>
      <xdr:spPr>
        <a:xfrm>
          <a:off x="566940370" y="58420"/>
          <a:ext cx="110413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520</xdr:col>
      <xdr:colOff>746136</xdr:colOff>
      <xdr:row>1</xdr:row>
      <xdr:rowOff>59690</xdr:rowOff>
    </xdr:from>
    <xdr:to>
      <xdr:col>522</xdr:col>
      <xdr:colOff>62254</xdr:colOff>
      <xdr:row>1</xdr:row>
      <xdr:rowOff>553466</xdr:rowOff>
    </xdr:to>
    <xdr:sp macro="" textlink="">
      <xdr:nvSpPr>
        <xdr:cNvPr id="1255" name="B GEN DATA PAGE">
          <a:hlinkClick xmlns:r="http://schemas.openxmlformats.org/officeDocument/2006/relationships" r:id="rId6" tooltip="Back to Navigation Page"/>
          <a:extLst>
            <a:ext uri="{FF2B5EF4-FFF2-40B4-BE49-F238E27FC236}">
              <a16:creationId xmlns:a16="http://schemas.microsoft.com/office/drawing/2014/main" id="{2C5D5857-FD5C-4A14-A582-1CF2D46BA497}"/>
            </a:ext>
          </a:extLst>
        </xdr:cNvPr>
        <xdr:cNvSpPr/>
      </xdr:nvSpPr>
      <xdr:spPr>
        <a:xfrm>
          <a:off x="562376683"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535</xdr:col>
      <xdr:colOff>212863</xdr:colOff>
      <xdr:row>1</xdr:row>
      <xdr:rowOff>59690</xdr:rowOff>
    </xdr:from>
    <xdr:to>
      <xdr:col>536</xdr:col>
      <xdr:colOff>406712</xdr:colOff>
      <xdr:row>1</xdr:row>
      <xdr:rowOff>557276</xdr:rowOff>
    </xdr:to>
    <xdr:sp macro="" textlink="">
      <xdr:nvSpPr>
        <xdr:cNvPr id="1256" name="B ALL DATA PAGE">
          <a:hlinkClick xmlns:r="http://schemas.openxmlformats.org/officeDocument/2006/relationships" r:id="rId7" tooltip="Back to All Data Page"/>
          <a:extLst>
            <a:ext uri="{FF2B5EF4-FFF2-40B4-BE49-F238E27FC236}">
              <a16:creationId xmlns:a16="http://schemas.microsoft.com/office/drawing/2014/main" id="{667BEB0E-DC20-4D73-B87D-5BEE63A1E741}"/>
            </a:ext>
          </a:extLst>
        </xdr:cNvPr>
        <xdr:cNvSpPr/>
      </xdr:nvSpPr>
      <xdr:spPr>
        <a:xfrm>
          <a:off x="574994684"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533</xdr:col>
      <xdr:colOff>799981</xdr:colOff>
      <xdr:row>1</xdr:row>
      <xdr:rowOff>59690</xdr:rowOff>
    </xdr:from>
    <xdr:to>
      <xdr:col>535</xdr:col>
      <xdr:colOff>136704</xdr:colOff>
      <xdr:row>1</xdr:row>
      <xdr:rowOff>553466</xdr:rowOff>
    </xdr:to>
    <xdr:sp macro="" textlink="">
      <xdr:nvSpPr>
        <xdr:cNvPr id="1257" name="B TERMS PAGE">
          <a:hlinkClick xmlns:r="http://schemas.openxmlformats.org/officeDocument/2006/relationships" r:id="rId8" tooltip="Back to Appendix &amp; Terms Page"/>
          <a:extLst>
            <a:ext uri="{FF2B5EF4-FFF2-40B4-BE49-F238E27FC236}">
              <a16:creationId xmlns:a16="http://schemas.microsoft.com/office/drawing/2014/main" id="{545D3F35-22D0-414E-A2BE-DF9331E6F022}"/>
            </a:ext>
          </a:extLst>
        </xdr:cNvPr>
        <xdr:cNvSpPr/>
      </xdr:nvSpPr>
      <xdr:spPr>
        <a:xfrm>
          <a:off x="573861800"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532</xdr:col>
      <xdr:colOff>531712</xdr:colOff>
      <xdr:row>1</xdr:row>
      <xdr:rowOff>59690</xdr:rowOff>
    </xdr:from>
    <xdr:to>
      <xdr:col>533</xdr:col>
      <xdr:colOff>709434</xdr:colOff>
      <xdr:row>1</xdr:row>
      <xdr:rowOff>553466</xdr:rowOff>
    </xdr:to>
    <xdr:sp macro="" textlink="">
      <xdr:nvSpPr>
        <xdr:cNvPr id="1258" name="B PROV DET PAGE">
          <a:hlinkClick xmlns:r="http://schemas.openxmlformats.org/officeDocument/2006/relationships" r:id="rId9" tooltip="Back to Provider Page"/>
          <a:extLst>
            <a:ext uri="{FF2B5EF4-FFF2-40B4-BE49-F238E27FC236}">
              <a16:creationId xmlns:a16="http://schemas.microsoft.com/office/drawing/2014/main" id="{711F8650-AC51-43F8-AD46-C64D04E1D481}"/>
            </a:ext>
          </a:extLst>
        </xdr:cNvPr>
        <xdr:cNvSpPr/>
      </xdr:nvSpPr>
      <xdr:spPr>
        <a:xfrm>
          <a:off x="572718641" y="58420"/>
          <a:ext cx="105769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527</xdr:col>
      <xdr:colOff>368292</xdr:colOff>
      <xdr:row>1</xdr:row>
      <xdr:rowOff>59690</xdr:rowOff>
    </xdr:from>
    <xdr:to>
      <xdr:col>528</xdr:col>
      <xdr:colOff>454313</xdr:colOff>
      <xdr:row>1</xdr:row>
      <xdr:rowOff>553466</xdr:rowOff>
    </xdr:to>
    <xdr:sp macro="" textlink="">
      <xdr:nvSpPr>
        <xdr:cNvPr id="1259" name="B IHSS PROG PAGE">
          <a:hlinkClick xmlns:r="http://schemas.openxmlformats.org/officeDocument/2006/relationships" r:id="rId10" tooltip="Back to Program Equity Page"/>
          <a:extLst>
            <a:ext uri="{FF2B5EF4-FFF2-40B4-BE49-F238E27FC236}">
              <a16:creationId xmlns:a16="http://schemas.microsoft.com/office/drawing/2014/main" id="{D5AB741F-7BAA-457E-A754-6D160713B1DA}"/>
            </a:ext>
          </a:extLst>
        </xdr:cNvPr>
        <xdr:cNvSpPr/>
      </xdr:nvSpPr>
      <xdr:spPr>
        <a:xfrm>
          <a:off x="568118123"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531</xdr:col>
      <xdr:colOff>213891</xdr:colOff>
      <xdr:row>1</xdr:row>
      <xdr:rowOff>59690</xdr:rowOff>
    </xdr:from>
    <xdr:to>
      <xdr:col>532</xdr:col>
      <xdr:colOff>441850</xdr:colOff>
      <xdr:row>1</xdr:row>
      <xdr:rowOff>553466</xdr:rowOff>
    </xdr:to>
    <xdr:sp macro="" textlink="">
      <xdr:nvSpPr>
        <xdr:cNvPr id="1260" name="B ETHNICITY PAGE">
          <a:hlinkClick xmlns:r="http://schemas.openxmlformats.org/officeDocument/2006/relationships" r:id="rId11" tooltip="Back to Ethnicity &amp; Language Page"/>
          <a:extLst>
            <a:ext uri="{FF2B5EF4-FFF2-40B4-BE49-F238E27FC236}">
              <a16:creationId xmlns:a16="http://schemas.microsoft.com/office/drawing/2014/main" id="{510514DD-1E74-4014-84C1-FF7176B5F3F4}"/>
            </a:ext>
          </a:extLst>
        </xdr:cNvPr>
        <xdr:cNvSpPr/>
      </xdr:nvSpPr>
      <xdr:spPr>
        <a:xfrm>
          <a:off x="571545969"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524</xdr:col>
      <xdr:colOff>687973</xdr:colOff>
      <xdr:row>1</xdr:row>
      <xdr:rowOff>59690</xdr:rowOff>
    </xdr:from>
    <xdr:to>
      <xdr:col>525</xdr:col>
      <xdr:colOff>901981</xdr:colOff>
      <xdr:row>1</xdr:row>
      <xdr:rowOff>553466</xdr:rowOff>
    </xdr:to>
    <xdr:sp macro="" textlink="">
      <xdr:nvSpPr>
        <xdr:cNvPr id="1261" name="B GEN DATA PAGE">
          <a:hlinkClick xmlns:r="http://schemas.openxmlformats.org/officeDocument/2006/relationships" r:id="rId12" tooltip="IHSS Applicants Page (Current)"/>
          <a:extLst>
            <a:ext uri="{FF2B5EF4-FFF2-40B4-BE49-F238E27FC236}">
              <a16:creationId xmlns:a16="http://schemas.microsoft.com/office/drawing/2014/main" id="{35FC8583-F7E0-4430-BF4A-9B15D82E54B4}"/>
            </a:ext>
          </a:extLst>
        </xdr:cNvPr>
        <xdr:cNvSpPr/>
      </xdr:nvSpPr>
      <xdr:spPr>
        <a:xfrm>
          <a:off x="565819769" y="58420"/>
          <a:ext cx="107111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528</xdr:col>
      <xdr:colOff>530749</xdr:colOff>
      <xdr:row>1</xdr:row>
      <xdr:rowOff>59690</xdr:rowOff>
    </xdr:from>
    <xdr:to>
      <xdr:col>529</xdr:col>
      <xdr:colOff>748568</xdr:colOff>
      <xdr:row>1</xdr:row>
      <xdr:rowOff>553466</xdr:rowOff>
    </xdr:to>
    <xdr:sp macro="" textlink="">
      <xdr:nvSpPr>
        <xdr:cNvPr id="1262" name="B IHSS SERV PAGE">
          <a:hlinkClick xmlns:r="http://schemas.openxmlformats.org/officeDocument/2006/relationships" r:id="rId13" tooltip="IHSS Services Page (Current)"/>
          <a:extLst>
            <a:ext uri="{FF2B5EF4-FFF2-40B4-BE49-F238E27FC236}">
              <a16:creationId xmlns:a16="http://schemas.microsoft.com/office/drawing/2014/main" id="{7371AC14-EFAB-492B-9ECA-EF59500BF88A}"/>
            </a:ext>
          </a:extLst>
        </xdr:cNvPr>
        <xdr:cNvSpPr/>
      </xdr:nvSpPr>
      <xdr:spPr>
        <a:xfrm>
          <a:off x="569248885"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548</xdr:col>
      <xdr:colOff>650662</xdr:colOff>
      <xdr:row>1</xdr:row>
      <xdr:rowOff>59690</xdr:rowOff>
    </xdr:from>
    <xdr:to>
      <xdr:col>549</xdr:col>
      <xdr:colOff>822197</xdr:colOff>
      <xdr:row>1</xdr:row>
      <xdr:rowOff>553466</xdr:rowOff>
    </xdr:to>
    <xdr:sp macro="" textlink="">
      <xdr:nvSpPr>
        <xdr:cNvPr id="1263" name="B AGE PAGE">
          <a:hlinkClick xmlns:r="http://schemas.openxmlformats.org/officeDocument/2006/relationships" r:id="rId2" tooltip="Age &amp; Gender Page (Current)"/>
          <a:extLst>
            <a:ext uri="{FF2B5EF4-FFF2-40B4-BE49-F238E27FC236}">
              <a16:creationId xmlns:a16="http://schemas.microsoft.com/office/drawing/2014/main" id="{2133DCD4-B90D-4A98-8034-8F3308FF15E0}"/>
            </a:ext>
          </a:extLst>
        </xdr:cNvPr>
        <xdr:cNvSpPr/>
      </xdr:nvSpPr>
      <xdr:spPr>
        <a:xfrm>
          <a:off x="586881392" y="58420"/>
          <a:ext cx="105206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540</xdr:col>
      <xdr:colOff>838249</xdr:colOff>
      <xdr:row>1</xdr:row>
      <xdr:rowOff>59690</xdr:rowOff>
    </xdr:from>
    <xdr:to>
      <xdr:col>542</xdr:col>
      <xdr:colOff>212223</xdr:colOff>
      <xdr:row>1</xdr:row>
      <xdr:rowOff>553466</xdr:rowOff>
    </xdr:to>
    <xdr:sp macro="" textlink="">
      <xdr:nvSpPr>
        <xdr:cNvPr id="1264" name="B HOME PAGE">
          <a:hlinkClick xmlns:r="http://schemas.openxmlformats.org/officeDocument/2006/relationships" r:id="rId3" tooltip="Back to Dashboard Page"/>
          <a:extLst>
            <a:ext uri="{FF2B5EF4-FFF2-40B4-BE49-F238E27FC236}">
              <a16:creationId xmlns:a16="http://schemas.microsoft.com/office/drawing/2014/main" id="{93132375-456A-40D3-862E-6E4FF3002649}"/>
            </a:ext>
          </a:extLst>
        </xdr:cNvPr>
        <xdr:cNvSpPr/>
      </xdr:nvSpPr>
      <xdr:spPr>
        <a:xfrm>
          <a:off x="579985060"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542</xdr:col>
      <xdr:colOff>249007</xdr:colOff>
      <xdr:row>1</xdr:row>
      <xdr:rowOff>59690</xdr:rowOff>
    </xdr:from>
    <xdr:to>
      <xdr:col>543</xdr:col>
      <xdr:colOff>478961</xdr:colOff>
      <xdr:row>1</xdr:row>
      <xdr:rowOff>553466</xdr:rowOff>
    </xdr:to>
    <xdr:sp macro="" textlink="">
      <xdr:nvSpPr>
        <xdr:cNvPr id="1265" name="B GEN DATA PAGE">
          <a:hlinkClick xmlns:r="http://schemas.openxmlformats.org/officeDocument/2006/relationships" r:id="rId4" tooltip="Back to General Data Page"/>
          <a:extLst>
            <a:ext uri="{FF2B5EF4-FFF2-40B4-BE49-F238E27FC236}">
              <a16:creationId xmlns:a16="http://schemas.microsoft.com/office/drawing/2014/main" id="{1EA45E2D-EBBD-40D0-A271-807954399AAB}"/>
            </a:ext>
          </a:extLst>
        </xdr:cNvPr>
        <xdr:cNvSpPr/>
      </xdr:nvSpPr>
      <xdr:spPr>
        <a:xfrm>
          <a:off x="581119632" y="58420"/>
          <a:ext cx="10850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544</xdr:col>
      <xdr:colOff>782624</xdr:colOff>
      <xdr:row>1</xdr:row>
      <xdr:rowOff>59690</xdr:rowOff>
    </xdr:from>
    <xdr:to>
      <xdr:col>546</xdr:col>
      <xdr:colOff>137974</xdr:colOff>
      <xdr:row>1</xdr:row>
      <xdr:rowOff>553466</xdr:rowOff>
    </xdr:to>
    <xdr:sp macro="" textlink="">
      <xdr:nvSpPr>
        <xdr:cNvPr id="1266" name="B ABD PAGE">
          <a:hlinkClick xmlns:r="http://schemas.openxmlformats.org/officeDocument/2006/relationships" r:id="rId5" tooltip="Aged, Blind, or Disabled Page (Current)"/>
          <a:extLst>
            <a:ext uri="{FF2B5EF4-FFF2-40B4-BE49-F238E27FC236}">
              <a16:creationId xmlns:a16="http://schemas.microsoft.com/office/drawing/2014/main" id="{D9FE7A20-7257-4832-819A-EA1C32EF7EDA}"/>
            </a:ext>
          </a:extLst>
        </xdr:cNvPr>
        <xdr:cNvSpPr/>
      </xdr:nvSpPr>
      <xdr:spPr>
        <a:xfrm>
          <a:off x="583409095"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539</xdr:col>
      <xdr:colOff>570945</xdr:colOff>
      <xdr:row>1</xdr:row>
      <xdr:rowOff>59690</xdr:rowOff>
    </xdr:from>
    <xdr:to>
      <xdr:col>540</xdr:col>
      <xdr:colOff>782415</xdr:colOff>
      <xdr:row>1</xdr:row>
      <xdr:rowOff>553466</xdr:rowOff>
    </xdr:to>
    <xdr:sp macro="" textlink="">
      <xdr:nvSpPr>
        <xdr:cNvPr id="1267" name="B GEN DATA PAGE">
          <a:hlinkClick xmlns:r="http://schemas.openxmlformats.org/officeDocument/2006/relationships" r:id="rId6" tooltip="Back to Navigation Page"/>
          <a:extLst>
            <a:ext uri="{FF2B5EF4-FFF2-40B4-BE49-F238E27FC236}">
              <a16:creationId xmlns:a16="http://schemas.microsoft.com/office/drawing/2014/main" id="{E01B8AA7-FA18-4FEE-867A-02C0114806D0}"/>
            </a:ext>
          </a:extLst>
        </xdr:cNvPr>
        <xdr:cNvSpPr/>
      </xdr:nvSpPr>
      <xdr:spPr>
        <a:xfrm>
          <a:off x="578839058" y="58420"/>
          <a:ext cx="10673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554</xdr:col>
      <xdr:colOff>21022</xdr:colOff>
      <xdr:row>1</xdr:row>
      <xdr:rowOff>59690</xdr:rowOff>
    </xdr:from>
    <xdr:to>
      <xdr:col>555</xdr:col>
      <xdr:colOff>250432</xdr:colOff>
      <xdr:row>1</xdr:row>
      <xdr:rowOff>557276</xdr:rowOff>
    </xdr:to>
    <xdr:sp macro="" textlink="">
      <xdr:nvSpPr>
        <xdr:cNvPr id="1268" name="B ALL DATA PAGE">
          <a:hlinkClick xmlns:r="http://schemas.openxmlformats.org/officeDocument/2006/relationships" r:id="rId7" tooltip="Back to All Data Page"/>
          <a:extLst>
            <a:ext uri="{FF2B5EF4-FFF2-40B4-BE49-F238E27FC236}">
              <a16:creationId xmlns:a16="http://schemas.microsoft.com/office/drawing/2014/main" id="{03502943-020D-47B6-963F-8CFC268E0758}"/>
            </a:ext>
          </a:extLst>
        </xdr:cNvPr>
        <xdr:cNvSpPr/>
      </xdr:nvSpPr>
      <xdr:spPr>
        <a:xfrm>
          <a:off x="591457059"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552</xdr:col>
      <xdr:colOff>596711</xdr:colOff>
      <xdr:row>1</xdr:row>
      <xdr:rowOff>59690</xdr:rowOff>
    </xdr:from>
    <xdr:to>
      <xdr:col>553</xdr:col>
      <xdr:colOff>802113</xdr:colOff>
      <xdr:row>1</xdr:row>
      <xdr:rowOff>553466</xdr:rowOff>
    </xdr:to>
    <xdr:sp macro="" textlink="">
      <xdr:nvSpPr>
        <xdr:cNvPr id="1269" name="B TERMS PAGE">
          <a:hlinkClick xmlns:r="http://schemas.openxmlformats.org/officeDocument/2006/relationships" r:id="rId8" tooltip="Back to Appendix &amp; Terms Page"/>
          <a:extLst>
            <a:ext uri="{FF2B5EF4-FFF2-40B4-BE49-F238E27FC236}">
              <a16:creationId xmlns:a16="http://schemas.microsoft.com/office/drawing/2014/main" id="{71F3826B-E25B-49A9-85C5-A8EE5AD1E578}"/>
            </a:ext>
          </a:extLst>
        </xdr:cNvPr>
        <xdr:cNvSpPr/>
      </xdr:nvSpPr>
      <xdr:spPr>
        <a:xfrm>
          <a:off x="590324175"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551</xdr:col>
      <xdr:colOff>340859</xdr:colOff>
      <xdr:row>1</xdr:row>
      <xdr:rowOff>59690</xdr:rowOff>
    </xdr:from>
    <xdr:to>
      <xdr:col>552</xdr:col>
      <xdr:colOff>532834</xdr:colOff>
      <xdr:row>1</xdr:row>
      <xdr:rowOff>553466</xdr:rowOff>
    </xdr:to>
    <xdr:sp macro="" textlink="">
      <xdr:nvSpPr>
        <xdr:cNvPr id="1270" name="B PROV DET PAGE">
          <a:hlinkClick xmlns:r="http://schemas.openxmlformats.org/officeDocument/2006/relationships" r:id="rId9" tooltip="Back to Provider Page"/>
          <a:extLst>
            <a:ext uri="{FF2B5EF4-FFF2-40B4-BE49-F238E27FC236}">
              <a16:creationId xmlns:a16="http://schemas.microsoft.com/office/drawing/2014/main" id="{BA657D31-409E-4E2C-97E9-A36B9D85B134}"/>
            </a:ext>
          </a:extLst>
        </xdr:cNvPr>
        <xdr:cNvSpPr/>
      </xdr:nvSpPr>
      <xdr:spPr>
        <a:xfrm>
          <a:off x="589181016"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546</xdr:col>
      <xdr:colOff>187458</xdr:colOff>
      <xdr:row>1</xdr:row>
      <xdr:rowOff>59690</xdr:rowOff>
    </xdr:from>
    <xdr:to>
      <xdr:col>547</xdr:col>
      <xdr:colOff>266283</xdr:colOff>
      <xdr:row>1</xdr:row>
      <xdr:rowOff>553466</xdr:rowOff>
    </xdr:to>
    <xdr:sp macro="" textlink="">
      <xdr:nvSpPr>
        <xdr:cNvPr id="1271" name="B IHSS PROG PAGE">
          <a:hlinkClick xmlns:r="http://schemas.openxmlformats.org/officeDocument/2006/relationships" r:id="rId10" tooltip="Back to Program Equity Page"/>
          <a:extLst>
            <a:ext uri="{FF2B5EF4-FFF2-40B4-BE49-F238E27FC236}">
              <a16:creationId xmlns:a16="http://schemas.microsoft.com/office/drawing/2014/main" id="{1F43FEF6-6051-4A41-8436-C386FD92337D}"/>
            </a:ext>
          </a:extLst>
        </xdr:cNvPr>
        <xdr:cNvSpPr/>
      </xdr:nvSpPr>
      <xdr:spPr>
        <a:xfrm>
          <a:off x="584580498" y="58420"/>
          <a:ext cx="10546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550</xdr:col>
      <xdr:colOff>24591</xdr:colOff>
      <xdr:row>1</xdr:row>
      <xdr:rowOff>59690</xdr:rowOff>
    </xdr:from>
    <xdr:to>
      <xdr:col>551</xdr:col>
      <xdr:colOff>250009</xdr:colOff>
      <xdr:row>1</xdr:row>
      <xdr:rowOff>553466</xdr:rowOff>
    </xdr:to>
    <xdr:sp macro="" textlink="">
      <xdr:nvSpPr>
        <xdr:cNvPr id="1272" name="B ETHNICITY PAGE">
          <a:hlinkClick xmlns:r="http://schemas.openxmlformats.org/officeDocument/2006/relationships" r:id="rId11" tooltip="Back to Ethnicity &amp; Language Page"/>
          <a:extLst>
            <a:ext uri="{FF2B5EF4-FFF2-40B4-BE49-F238E27FC236}">
              <a16:creationId xmlns:a16="http://schemas.microsoft.com/office/drawing/2014/main" id="{8DF1CEEE-DAF9-49C5-8369-9BCE2FFD1F99}"/>
            </a:ext>
          </a:extLst>
        </xdr:cNvPr>
        <xdr:cNvSpPr/>
      </xdr:nvSpPr>
      <xdr:spPr>
        <a:xfrm>
          <a:off x="588001994"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543</xdr:col>
      <xdr:colOff>535642</xdr:colOff>
      <xdr:row>1</xdr:row>
      <xdr:rowOff>59690</xdr:rowOff>
    </xdr:from>
    <xdr:to>
      <xdr:col>544</xdr:col>
      <xdr:colOff>725520</xdr:colOff>
      <xdr:row>1</xdr:row>
      <xdr:rowOff>553466</xdr:rowOff>
    </xdr:to>
    <xdr:sp macro="" textlink="">
      <xdr:nvSpPr>
        <xdr:cNvPr id="1273" name="B GEN DATA PAGE">
          <a:hlinkClick xmlns:r="http://schemas.openxmlformats.org/officeDocument/2006/relationships" r:id="rId12" tooltip="IHSS Applicants Page (Current)"/>
          <a:extLst>
            <a:ext uri="{FF2B5EF4-FFF2-40B4-BE49-F238E27FC236}">
              <a16:creationId xmlns:a16="http://schemas.microsoft.com/office/drawing/2014/main" id="{9676F9C2-8194-4574-9833-ABB2F76EAB64}"/>
            </a:ext>
          </a:extLst>
        </xdr:cNvPr>
        <xdr:cNvSpPr/>
      </xdr:nvSpPr>
      <xdr:spPr>
        <a:xfrm>
          <a:off x="582282144"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547</xdr:col>
      <xdr:colOff>342437</xdr:colOff>
      <xdr:row>1</xdr:row>
      <xdr:rowOff>59690</xdr:rowOff>
    </xdr:from>
    <xdr:to>
      <xdr:col>548</xdr:col>
      <xdr:colOff>556728</xdr:colOff>
      <xdr:row>1</xdr:row>
      <xdr:rowOff>553466</xdr:rowOff>
    </xdr:to>
    <xdr:sp macro="" textlink="">
      <xdr:nvSpPr>
        <xdr:cNvPr id="1274" name="B IHSS SERV PAGE">
          <a:hlinkClick xmlns:r="http://schemas.openxmlformats.org/officeDocument/2006/relationships" r:id="rId13" tooltip="IHSS Services Page (Current)"/>
          <a:extLst>
            <a:ext uri="{FF2B5EF4-FFF2-40B4-BE49-F238E27FC236}">
              <a16:creationId xmlns:a16="http://schemas.microsoft.com/office/drawing/2014/main" id="{6083E914-4AD2-46B4-8156-84046B173FC6}"/>
            </a:ext>
          </a:extLst>
        </xdr:cNvPr>
        <xdr:cNvSpPr/>
      </xdr:nvSpPr>
      <xdr:spPr>
        <a:xfrm>
          <a:off x="585711260" y="58420"/>
          <a:ext cx="10850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548</xdr:col>
      <xdr:colOff>609387</xdr:colOff>
      <xdr:row>1</xdr:row>
      <xdr:rowOff>59690</xdr:rowOff>
    </xdr:from>
    <xdr:to>
      <xdr:col>549</xdr:col>
      <xdr:colOff>798702</xdr:colOff>
      <xdr:row>1</xdr:row>
      <xdr:rowOff>553466</xdr:rowOff>
    </xdr:to>
    <xdr:sp macro="" textlink="">
      <xdr:nvSpPr>
        <xdr:cNvPr id="1275" name="B AGE PAGE">
          <a:hlinkClick xmlns:r="http://schemas.openxmlformats.org/officeDocument/2006/relationships" r:id="rId2" tooltip="Age &amp; Gender Page (Current)"/>
          <a:extLst>
            <a:ext uri="{FF2B5EF4-FFF2-40B4-BE49-F238E27FC236}">
              <a16:creationId xmlns:a16="http://schemas.microsoft.com/office/drawing/2014/main" id="{F14AE72E-3988-4FE3-A8D0-4021A1740941}"/>
            </a:ext>
          </a:extLst>
        </xdr:cNvPr>
        <xdr:cNvSpPr/>
      </xdr:nvSpPr>
      <xdr:spPr>
        <a:xfrm>
          <a:off x="586865517" y="58420"/>
          <a:ext cx="104571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540</xdr:col>
      <xdr:colOff>821104</xdr:colOff>
      <xdr:row>1</xdr:row>
      <xdr:rowOff>59690</xdr:rowOff>
    </xdr:from>
    <xdr:to>
      <xdr:col>542</xdr:col>
      <xdr:colOff>173488</xdr:colOff>
      <xdr:row>1</xdr:row>
      <xdr:rowOff>553466</xdr:rowOff>
    </xdr:to>
    <xdr:sp macro="" textlink="">
      <xdr:nvSpPr>
        <xdr:cNvPr id="1276" name="B HOME PAGE">
          <a:hlinkClick xmlns:r="http://schemas.openxmlformats.org/officeDocument/2006/relationships" r:id="rId3" tooltip="Back to Dashboard Page"/>
          <a:extLst>
            <a:ext uri="{FF2B5EF4-FFF2-40B4-BE49-F238E27FC236}">
              <a16:creationId xmlns:a16="http://schemas.microsoft.com/office/drawing/2014/main" id="{7FBA3596-EF3D-4ED5-86E3-AE611B61DF69}"/>
            </a:ext>
          </a:extLst>
        </xdr:cNvPr>
        <xdr:cNvSpPr/>
      </xdr:nvSpPr>
      <xdr:spPr>
        <a:xfrm>
          <a:off x="579969185"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542</xdr:col>
      <xdr:colOff>250912</xdr:colOff>
      <xdr:row>1</xdr:row>
      <xdr:rowOff>59690</xdr:rowOff>
    </xdr:from>
    <xdr:to>
      <xdr:col>543</xdr:col>
      <xdr:colOff>441496</xdr:colOff>
      <xdr:row>1</xdr:row>
      <xdr:rowOff>553466</xdr:rowOff>
    </xdr:to>
    <xdr:sp macro="" textlink="">
      <xdr:nvSpPr>
        <xdr:cNvPr id="1277" name="B GEN DATA PAGE">
          <a:hlinkClick xmlns:r="http://schemas.openxmlformats.org/officeDocument/2006/relationships" r:id="rId4" tooltip="Back to General Data Page"/>
          <a:extLst>
            <a:ext uri="{FF2B5EF4-FFF2-40B4-BE49-F238E27FC236}">
              <a16:creationId xmlns:a16="http://schemas.microsoft.com/office/drawing/2014/main" id="{A29946A0-6E0E-4D8A-9779-7EC2FE3810C6}"/>
            </a:ext>
          </a:extLst>
        </xdr:cNvPr>
        <xdr:cNvSpPr/>
      </xdr:nvSpPr>
      <xdr:spPr>
        <a:xfrm>
          <a:off x="581110107" y="58420"/>
          <a:ext cx="10723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544</xdr:col>
      <xdr:colOff>784529</xdr:colOff>
      <xdr:row>1</xdr:row>
      <xdr:rowOff>59690</xdr:rowOff>
    </xdr:from>
    <xdr:to>
      <xdr:col>546</xdr:col>
      <xdr:colOff>96699</xdr:colOff>
      <xdr:row>1</xdr:row>
      <xdr:rowOff>553466</xdr:rowOff>
    </xdr:to>
    <xdr:sp macro="" textlink="">
      <xdr:nvSpPr>
        <xdr:cNvPr id="1278" name="B ABD PAGE">
          <a:hlinkClick xmlns:r="http://schemas.openxmlformats.org/officeDocument/2006/relationships" r:id="rId5" tooltip="Aged, Blind, or Disabled Page (Current)"/>
          <a:extLst>
            <a:ext uri="{FF2B5EF4-FFF2-40B4-BE49-F238E27FC236}">
              <a16:creationId xmlns:a16="http://schemas.microsoft.com/office/drawing/2014/main" id="{67A109C6-BD0C-4C09-903D-0EB32A823E52}"/>
            </a:ext>
          </a:extLst>
        </xdr:cNvPr>
        <xdr:cNvSpPr/>
      </xdr:nvSpPr>
      <xdr:spPr>
        <a:xfrm>
          <a:off x="583393220" y="58420"/>
          <a:ext cx="109778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539</xdr:col>
      <xdr:colOff>536020</xdr:colOff>
      <xdr:row>1</xdr:row>
      <xdr:rowOff>59690</xdr:rowOff>
    </xdr:from>
    <xdr:to>
      <xdr:col>540</xdr:col>
      <xdr:colOff>748760</xdr:colOff>
      <xdr:row>1</xdr:row>
      <xdr:rowOff>553466</xdr:rowOff>
    </xdr:to>
    <xdr:sp macro="" textlink="">
      <xdr:nvSpPr>
        <xdr:cNvPr id="1279" name="B GEN DATA PAGE">
          <a:hlinkClick xmlns:r="http://schemas.openxmlformats.org/officeDocument/2006/relationships" r:id="rId6" tooltip="Back to Navigation Page"/>
          <a:extLst>
            <a:ext uri="{FF2B5EF4-FFF2-40B4-BE49-F238E27FC236}">
              <a16:creationId xmlns:a16="http://schemas.microsoft.com/office/drawing/2014/main" id="{F7A39F2C-4E06-4BB9-B353-5813E2CEA3F5}"/>
            </a:ext>
          </a:extLst>
        </xdr:cNvPr>
        <xdr:cNvSpPr/>
      </xdr:nvSpPr>
      <xdr:spPr>
        <a:xfrm>
          <a:off x="578816833" y="58420"/>
          <a:ext cx="10736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554</xdr:col>
      <xdr:colOff>67</xdr:colOff>
      <xdr:row>1</xdr:row>
      <xdr:rowOff>59690</xdr:rowOff>
    </xdr:from>
    <xdr:to>
      <xdr:col>555</xdr:col>
      <xdr:colOff>212967</xdr:colOff>
      <xdr:row>1</xdr:row>
      <xdr:rowOff>557276</xdr:rowOff>
    </xdr:to>
    <xdr:sp macro="" textlink="">
      <xdr:nvSpPr>
        <xdr:cNvPr id="1280" name="B ALL DATA PAGE">
          <a:hlinkClick xmlns:r="http://schemas.openxmlformats.org/officeDocument/2006/relationships" r:id="rId7" tooltip="Back to All Data Page"/>
          <a:extLst>
            <a:ext uri="{FF2B5EF4-FFF2-40B4-BE49-F238E27FC236}">
              <a16:creationId xmlns:a16="http://schemas.microsoft.com/office/drawing/2014/main" id="{D965B18B-BCBE-41B5-B077-EBE1208A448D}"/>
            </a:ext>
          </a:extLst>
        </xdr:cNvPr>
        <xdr:cNvSpPr/>
      </xdr:nvSpPr>
      <xdr:spPr>
        <a:xfrm>
          <a:off x="591441184" y="58420"/>
          <a:ext cx="108200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552</xdr:col>
      <xdr:colOff>593536</xdr:colOff>
      <xdr:row>1</xdr:row>
      <xdr:rowOff>59690</xdr:rowOff>
    </xdr:from>
    <xdr:to>
      <xdr:col>553</xdr:col>
      <xdr:colOff>787508</xdr:colOff>
      <xdr:row>1</xdr:row>
      <xdr:rowOff>553466</xdr:rowOff>
    </xdr:to>
    <xdr:sp macro="" textlink="">
      <xdr:nvSpPr>
        <xdr:cNvPr id="1281" name="B TERMS PAGE">
          <a:hlinkClick xmlns:r="http://schemas.openxmlformats.org/officeDocument/2006/relationships" r:id="rId8" tooltip="Back to Appendix &amp; Terms Page"/>
          <a:extLst>
            <a:ext uri="{FF2B5EF4-FFF2-40B4-BE49-F238E27FC236}">
              <a16:creationId xmlns:a16="http://schemas.microsoft.com/office/drawing/2014/main" id="{88A69296-F7C6-4712-B6B1-0620662DEE71}"/>
            </a:ext>
          </a:extLst>
        </xdr:cNvPr>
        <xdr:cNvSpPr/>
      </xdr:nvSpPr>
      <xdr:spPr>
        <a:xfrm>
          <a:off x="590308300"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551</xdr:col>
      <xdr:colOff>326254</xdr:colOff>
      <xdr:row>1</xdr:row>
      <xdr:rowOff>59690</xdr:rowOff>
    </xdr:from>
    <xdr:to>
      <xdr:col>552</xdr:col>
      <xdr:colOff>518229</xdr:colOff>
      <xdr:row>1</xdr:row>
      <xdr:rowOff>553466</xdr:rowOff>
    </xdr:to>
    <xdr:sp macro="" textlink="">
      <xdr:nvSpPr>
        <xdr:cNvPr id="1282" name="B PROV DET PAGE">
          <a:hlinkClick xmlns:r="http://schemas.openxmlformats.org/officeDocument/2006/relationships" r:id="rId9" tooltip="Back to Provider Page"/>
          <a:extLst>
            <a:ext uri="{FF2B5EF4-FFF2-40B4-BE49-F238E27FC236}">
              <a16:creationId xmlns:a16="http://schemas.microsoft.com/office/drawing/2014/main" id="{A1E40705-BADC-4028-B7C1-4F5624BB63E4}"/>
            </a:ext>
          </a:extLst>
        </xdr:cNvPr>
        <xdr:cNvSpPr/>
      </xdr:nvSpPr>
      <xdr:spPr>
        <a:xfrm>
          <a:off x="589165141"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546</xdr:col>
      <xdr:colOff>151263</xdr:colOff>
      <xdr:row>1</xdr:row>
      <xdr:rowOff>59690</xdr:rowOff>
    </xdr:from>
    <xdr:to>
      <xdr:col>547</xdr:col>
      <xdr:colOff>250408</xdr:colOff>
      <xdr:row>1</xdr:row>
      <xdr:rowOff>553466</xdr:rowOff>
    </xdr:to>
    <xdr:sp macro="" textlink="">
      <xdr:nvSpPr>
        <xdr:cNvPr id="1283" name="B IHSS PROG PAGE">
          <a:hlinkClick xmlns:r="http://schemas.openxmlformats.org/officeDocument/2006/relationships" r:id="rId10" tooltip="Back to Program Equity Page"/>
          <a:extLst>
            <a:ext uri="{FF2B5EF4-FFF2-40B4-BE49-F238E27FC236}">
              <a16:creationId xmlns:a16="http://schemas.microsoft.com/office/drawing/2014/main" id="{D6BA9105-179D-44AA-B2DE-E3D104DDC9C7}"/>
            </a:ext>
          </a:extLst>
        </xdr:cNvPr>
        <xdr:cNvSpPr/>
      </xdr:nvSpPr>
      <xdr:spPr>
        <a:xfrm>
          <a:off x="584564623"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550</xdr:col>
      <xdr:colOff>21416</xdr:colOff>
      <xdr:row>1</xdr:row>
      <xdr:rowOff>59690</xdr:rowOff>
    </xdr:from>
    <xdr:to>
      <xdr:col>551</xdr:col>
      <xdr:colOff>249374</xdr:colOff>
      <xdr:row>1</xdr:row>
      <xdr:rowOff>553466</xdr:rowOff>
    </xdr:to>
    <xdr:sp macro="" textlink="">
      <xdr:nvSpPr>
        <xdr:cNvPr id="1284" name="B ETHNICITY PAGE">
          <a:hlinkClick xmlns:r="http://schemas.openxmlformats.org/officeDocument/2006/relationships" r:id="rId11" tooltip="Back to Ethnicity &amp; Language Page"/>
          <a:extLst>
            <a:ext uri="{FF2B5EF4-FFF2-40B4-BE49-F238E27FC236}">
              <a16:creationId xmlns:a16="http://schemas.microsoft.com/office/drawing/2014/main" id="{299A82CC-E363-41EC-BDCD-D8E66571FA9D}"/>
            </a:ext>
          </a:extLst>
        </xdr:cNvPr>
        <xdr:cNvSpPr/>
      </xdr:nvSpPr>
      <xdr:spPr>
        <a:xfrm>
          <a:off x="587992469"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543</xdr:col>
      <xdr:colOff>515110</xdr:colOff>
      <xdr:row>1</xdr:row>
      <xdr:rowOff>59690</xdr:rowOff>
    </xdr:from>
    <xdr:to>
      <xdr:col>544</xdr:col>
      <xdr:colOff>726155</xdr:colOff>
      <xdr:row>1</xdr:row>
      <xdr:rowOff>553466</xdr:rowOff>
    </xdr:to>
    <xdr:sp macro="" textlink="">
      <xdr:nvSpPr>
        <xdr:cNvPr id="1285" name="B GEN DATA PAGE">
          <a:hlinkClick xmlns:r="http://schemas.openxmlformats.org/officeDocument/2006/relationships" r:id="rId12" tooltip="IHSS Applicants Page (Current)"/>
          <a:extLst>
            <a:ext uri="{FF2B5EF4-FFF2-40B4-BE49-F238E27FC236}">
              <a16:creationId xmlns:a16="http://schemas.microsoft.com/office/drawing/2014/main" id="{F2F6818A-AD21-4694-9E66-67417AFE38B6}"/>
            </a:ext>
          </a:extLst>
        </xdr:cNvPr>
        <xdr:cNvSpPr/>
      </xdr:nvSpPr>
      <xdr:spPr>
        <a:xfrm>
          <a:off x="582259919" y="58420"/>
          <a:ext cx="108381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547</xdr:col>
      <xdr:colOff>330372</xdr:colOff>
      <xdr:row>1</xdr:row>
      <xdr:rowOff>59690</xdr:rowOff>
    </xdr:from>
    <xdr:to>
      <xdr:col>548</xdr:col>
      <xdr:colOff>533233</xdr:colOff>
      <xdr:row>1</xdr:row>
      <xdr:rowOff>553466</xdr:rowOff>
    </xdr:to>
    <xdr:sp macro="" textlink="">
      <xdr:nvSpPr>
        <xdr:cNvPr id="1286" name="B IHSS SERV PAGE">
          <a:hlinkClick xmlns:r="http://schemas.openxmlformats.org/officeDocument/2006/relationships" r:id="rId13" tooltip="IHSS Services Page (Current)"/>
          <a:extLst>
            <a:ext uri="{FF2B5EF4-FFF2-40B4-BE49-F238E27FC236}">
              <a16:creationId xmlns:a16="http://schemas.microsoft.com/office/drawing/2014/main" id="{9D474190-95A7-4916-B7E8-19E887C1B5A7}"/>
            </a:ext>
          </a:extLst>
        </xdr:cNvPr>
        <xdr:cNvSpPr/>
      </xdr:nvSpPr>
      <xdr:spPr>
        <a:xfrm>
          <a:off x="585695385"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567</xdr:col>
      <xdr:colOff>325402</xdr:colOff>
      <xdr:row>1</xdr:row>
      <xdr:rowOff>59690</xdr:rowOff>
    </xdr:from>
    <xdr:to>
      <xdr:col>568</xdr:col>
      <xdr:colOff>482825</xdr:colOff>
      <xdr:row>1</xdr:row>
      <xdr:rowOff>553466</xdr:rowOff>
    </xdr:to>
    <xdr:sp macro="" textlink="">
      <xdr:nvSpPr>
        <xdr:cNvPr id="1287" name="B AGE PAGE">
          <a:hlinkClick xmlns:r="http://schemas.openxmlformats.org/officeDocument/2006/relationships" r:id="rId2" tooltip="Age &amp; Gender Page (Current)"/>
          <a:extLst>
            <a:ext uri="{FF2B5EF4-FFF2-40B4-BE49-F238E27FC236}">
              <a16:creationId xmlns:a16="http://schemas.microsoft.com/office/drawing/2014/main" id="{8823B9CC-A51C-4013-A17D-B966F95B3D36}"/>
            </a:ext>
          </a:extLst>
        </xdr:cNvPr>
        <xdr:cNvSpPr/>
      </xdr:nvSpPr>
      <xdr:spPr>
        <a:xfrm>
          <a:off x="603156442" y="58420"/>
          <a:ext cx="105841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559</xdr:col>
      <xdr:colOff>440597</xdr:colOff>
      <xdr:row>1</xdr:row>
      <xdr:rowOff>59690</xdr:rowOff>
    </xdr:from>
    <xdr:to>
      <xdr:col>560</xdr:col>
      <xdr:colOff>645434</xdr:colOff>
      <xdr:row>1</xdr:row>
      <xdr:rowOff>553466</xdr:rowOff>
    </xdr:to>
    <xdr:sp macro="" textlink="">
      <xdr:nvSpPr>
        <xdr:cNvPr id="1288" name="B HOME PAGE">
          <a:hlinkClick xmlns:r="http://schemas.openxmlformats.org/officeDocument/2006/relationships" r:id="rId3" tooltip="Back to Dashboard Page"/>
          <a:extLst>
            <a:ext uri="{FF2B5EF4-FFF2-40B4-BE49-F238E27FC236}">
              <a16:creationId xmlns:a16="http://schemas.microsoft.com/office/drawing/2014/main" id="{E6C8AAD5-29EC-47E2-A356-92A79EEE3C49}"/>
            </a:ext>
          </a:extLst>
        </xdr:cNvPr>
        <xdr:cNvSpPr/>
      </xdr:nvSpPr>
      <xdr:spPr>
        <a:xfrm>
          <a:off x="596260110" y="58420"/>
          <a:ext cx="108889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560</xdr:col>
      <xdr:colOff>707618</xdr:colOff>
      <xdr:row>1</xdr:row>
      <xdr:rowOff>59690</xdr:rowOff>
    </xdr:from>
    <xdr:to>
      <xdr:col>562</xdr:col>
      <xdr:colOff>62543</xdr:colOff>
      <xdr:row>1</xdr:row>
      <xdr:rowOff>553466</xdr:rowOff>
    </xdr:to>
    <xdr:sp macro="" textlink="">
      <xdr:nvSpPr>
        <xdr:cNvPr id="1289" name="B GEN DATA PAGE">
          <a:hlinkClick xmlns:r="http://schemas.openxmlformats.org/officeDocument/2006/relationships" r:id="rId4" tooltip="Back to General Data Page"/>
          <a:extLst>
            <a:ext uri="{FF2B5EF4-FFF2-40B4-BE49-F238E27FC236}">
              <a16:creationId xmlns:a16="http://schemas.microsoft.com/office/drawing/2014/main" id="{07DC52DC-232C-4F79-B6ED-70DA64A4E501}"/>
            </a:ext>
          </a:extLst>
        </xdr:cNvPr>
        <xdr:cNvSpPr/>
      </xdr:nvSpPr>
      <xdr:spPr>
        <a:xfrm>
          <a:off x="597407382" y="58420"/>
          <a:ext cx="107238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563</xdr:col>
      <xdr:colOff>362819</xdr:colOff>
      <xdr:row>1</xdr:row>
      <xdr:rowOff>59690</xdr:rowOff>
    </xdr:from>
    <xdr:to>
      <xdr:col>564</xdr:col>
      <xdr:colOff>592776</xdr:colOff>
      <xdr:row>1</xdr:row>
      <xdr:rowOff>553466</xdr:rowOff>
    </xdr:to>
    <xdr:sp macro="" textlink="">
      <xdr:nvSpPr>
        <xdr:cNvPr id="1290" name="B ABD PAGE">
          <a:hlinkClick xmlns:r="http://schemas.openxmlformats.org/officeDocument/2006/relationships" r:id="rId5" tooltip="Aged, Blind, or Disabled Page (Current)"/>
          <a:extLst>
            <a:ext uri="{FF2B5EF4-FFF2-40B4-BE49-F238E27FC236}">
              <a16:creationId xmlns:a16="http://schemas.microsoft.com/office/drawing/2014/main" id="{231BC2F8-3910-49DD-973C-A33E2E7D709E}"/>
            </a:ext>
          </a:extLst>
        </xdr:cNvPr>
        <xdr:cNvSpPr/>
      </xdr:nvSpPr>
      <xdr:spPr>
        <a:xfrm>
          <a:off x="599684145" y="58420"/>
          <a:ext cx="110413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558</xdr:col>
      <xdr:colOff>173294</xdr:colOff>
      <xdr:row>1</xdr:row>
      <xdr:rowOff>59690</xdr:rowOff>
    </xdr:from>
    <xdr:to>
      <xdr:col>559</xdr:col>
      <xdr:colOff>363879</xdr:colOff>
      <xdr:row>1</xdr:row>
      <xdr:rowOff>553466</xdr:rowOff>
    </xdr:to>
    <xdr:sp macro="" textlink="">
      <xdr:nvSpPr>
        <xdr:cNvPr id="1291" name="B GEN DATA PAGE">
          <a:hlinkClick xmlns:r="http://schemas.openxmlformats.org/officeDocument/2006/relationships" r:id="rId6" tooltip="Back to Navigation Page"/>
          <a:extLst>
            <a:ext uri="{FF2B5EF4-FFF2-40B4-BE49-F238E27FC236}">
              <a16:creationId xmlns:a16="http://schemas.microsoft.com/office/drawing/2014/main" id="{BEC47D61-643B-4576-9ECA-76E71B16A13E}"/>
            </a:ext>
          </a:extLst>
        </xdr:cNvPr>
        <xdr:cNvSpPr/>
      </xdr:nvSpPr>
      <xdr:spPr>
        <a:xfrm>
          <a:off x="595114108" y="58420"/>
          <a:ext cx="10736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572</xdr:col>
      <xdr:colOff>557951</xdr:colOff>
      <xdr:row>1</xdr:row>
      <xdr:rowOff>59690</xdr:rowOff>
    </xdr:from>
    <xdr:to>
      <xdr:col>573</xdr:col>
      <xdr:colOff>782281</xdr:colOff>
      <xdr:row>1</xdr:row>
      <xdr:rowOff>557276</xdr:rowOff>
    </xdr:to>
    <xdr:sp macro="" textlink="">
      <xdr:nvSpPr>
        <xdr:cNvPr id="1292" name="B ALL DATA PAGE">
          <a:hlinkClick xmlns:r="http://schemas.openxmlformats.org/officeDocument/2006/relationships" r:id="rId7" tooltip="Back to All Data Page"/>
          <a:extLst>
            <a:ext uri="{FF2B5EF4-FFF2-40B4-BE49-F238E27FC236}">
              <a16:creationId xmlns:a16="http://schemas.microsoft.com/office/drawing/2014/main" id="{5D42B726-4435-4B9A-80A8-902C161A1B73}"/>
            </a:ext>
          </a:extLst>
        </xdr:cNvPr>
        <xdr:cNvSpPr/>
      </xdr:nvSpPr>
      <xdr:spPr>
        <a:xfrm>
          <a:off x="607738459"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571</xdr:col>
      <xdr:colOff>290784</xdr:colOff>
      <xdr:row>1</xdr:row>
      <xdr:rowOff>59690</xdr:rowOff>
    </xdr:from>
    <xdr:to>
      <xdr:col>572</xdr:col>
      <xdr:colOff>480522</xdr:colOff>
      <xdr:row>1</xdr:row>
      <xdr:rowOff>553466</xdr:rowOff>
    </xdr:to>
    <xdr:sp macro="" textlink="">
      <xdr:nvSpPr>
        <xdr:cNvPr id="1293" name="B TERMS PAGE">
          <a:hlinkClick xmlns:r="http://schemas.openxmlformats.org/officeDocument/2006/relationships" r:id="rId8" tooltip="Back to Appendix &amp; Terms Page"/>
          <a:extLst>
            <a:ext uri="{FF2B5EF4-FFF2-40B4-BE49-F238E27FC236}">
              <a16:creationId xmlns:a16="http://schemas.microsoft.com/office/drawing/2014/main" id="{05C199DF-4924-447C-BF83-D392AD21C757}"/>
            </a:ext>
          </a:extLst>
        </xdr:cNvPr>
        <xdr:cNvSpPr/>
      </xdr:nvSpPr>
      <xdr:spPr>
        <a:xfrm>
          <a:off x="606605575"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570</xdr:col>
      <xdr:colOff>21807</xdr:colOff>
      <xdr:row>1</xdr:row>
      <xdr:rowOff>59690</xdr:rowOff>
    </xdr:from>
    <xdr:to>
      <xdr:col>571</xdr:col>
      <xdr:colOff>210397</xdr:colOff>
      <xdr:row>1</xdr:row>
      <xdr:rowOff>553466</xdr:rowOff>
    </xdr:to>
    <xdr:sp macro="" textlink="">
      <xdr:nvSpPr>
        <xdr:cNvPr id="1294" name="B PROV DET PAGE">
          <a:hlinkClick xmlns:r="http://schemas.openxmlformats.org/officeDocument/2006/relationships" r:id="rId9" tooltip="Back to Provider Page"/>
          <a:extLst>
            <a:ext uri="{FF2B5EF4-FFF2-40B4-BE49-F238E27FC236}">
              <a16:creationId xmlns:a16="http://schemas.microsoft.com/office/drawing/2014/main" id="{B18AF0FA-B42D-41B1-B341-A692D93CCE5C}"/>
            </a:ext>
          </a:extLst>
        </xdr:cNvPr>
        <xdr:cNvSpPr/>
      </xdr:nvSpPr>
      <xdr:spPr>
        <a:xfrm>
          <a:off x="605462416" y="58420"/>
          <a:ext cx="106404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564</xdr:col>
      <xdr:colOff>649880</xdr:colOff>
      <xdr:row>1</xdr:row>
      <xdr:rowOff>59690</xdr:rowOff>
    </xdr:from>
    <xdr:to>
      <xdr:col>565</xdr:col>
      <xdr:colOff>860783</xdr:colOff>
      <xdr:row>1</xdr:row>
      <xdr:rowOff>553466</xdr:rowOff>
    </xdr:to>
    <xdr:sp macro="" textlink="">
      <xdr:nvSpPr>
        <xdr:cNvPr id="1295" name="B IHSS PROG PAGE">
          <a:hlinkClick xmlns:r="http://schemas.openxmlformats.org/officeDocument/2006/relationships" r:id="rId10" tooltip="Back to Program Equity Page"/>
          <a:extLst>
            <a:ext uri="{FF2B5EF4-FFF2-40B4-BE49-F238E27FC236}">
              <a16:creationId xmlns:a16="http://schemas.microsoft.com/office/drawing/2014/main" id="{8418A518-784F-4744-B4F2-FEB4E29BECAF}"/>
            </a:ext>
          </a:extLst>
        </xdr:cNvPr>
        <xdr:cNvSpPr/>
      </xdr:nvSpPr>
      <xdr:spPr>
        <a:xfrm>
          <a:off x="600861898"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568</xdr:col>
      <xdr:colOff>574219</xdr:colOff>
      <xdr:row>1</xdr:row>
      <xdr:rowOff>59690</xdr:rowOff>
    </xdr:from>
    <xdr:to>
      <xdr:col>569</xdr:col>
      <xdr:colOff>800907</xdr:colOff>
      <xdr:row>1</xdr:row>
      <xdr:rowOff>553466</xdr:rowOff>
    </xdr:to>
    <xdr:sp macro="" textlink="">
      <xdr:nvSpPr>
        <xdr:cNvPr id="1296" name="B ETHNICITY PAGE">
          <a:hlinkClick xmlns:r="http://schemas.openxmlformats.org/officeDocument/2006/relationships" r:id="rId11" tooltip="Back to Ethnicity &amp; Language Page"/>
          <a:extLst>
            <a:ext uri="{FF2B5EF4-FFF2-40B4-BE49-F238E27FC236}">
              <a16:creationId xmlns:a16="http://schemas.microsoft.com/office/drawing/2014/main" id="{C9537851-B718-4D0A-B144-0289ADC77AFB}"/>
            </a:ext>
          </a:extLst>
        </xdr:cNvPr>
        <xdr:cNvSpPr/>
      </xdr:nvSpPr>
      <xdr:spPr>
        <a:xfrm>
          <a:off x="604289744"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562</xdr:col>
      <xdr:colOff>136157</xdr:colOff>
      <xdr:row>1</xdr:row>
      <xdr:rowOff>59690</xdr:rowOff>
    </xdr:from>
    <xdr:to>
      <xdr:col>563</xdr:col>
      <xdr:colOff>325047</xdr:colOff>
      <xdr:row>1</xdr:row>
      <xdr:rowOff>553466</xdr:rowOff>
    </xdr:to>
    <xdr:sp macro="" textlink="">
      <xdr:nvSpPr>
        <xdr:cNvPr id="1297" name="B GEN DATA PAGE">
          <a:hlinkClick xmlns:r="http://schemas.openxmlformats.org/officeDocument/2006/relationships" r:id="rId12" tooltip="IHSS Applicants Page (Current)"/>
          <a:extLst>
            <a:ext uri="{FF2B5EF4-FFF2-40B4-BE49-F238E27FC236}">
              <a16:creationId xmlns:a16="http://schemas.microsoft.com/office/drawing/2014/main" id="{A1D7AE55-71F3-4DC5-ACE8-6206A9AD6997}"/>
            </a:ext>
          </a:extLst>
        </xdr:cNvPr>
        <xdr:cNvSpPr/>
      </xdr:nvSpPr>
      <xdr:spPr>
        <a:xfrm>
          <a:off x="598563544" y="58420"/>
          <a:ext cx="107746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566</xdr:col>
      <xdr:colOff>25924</xdr:colOff>
      <xdr:row>1</xdr:row>
      <xdr:rowOff>59690</xdr:rowOff>
    </xdr:from>
    <xdr:to>
      <xdr:col>567</xdr:col>
      <xdr:colOff>249530</xdr:colOff>
      <xdr:row>1</xdr:row>
      <xdr:rowOff>553466</xdr:rowOff>
    </xdr:to>
    <xdr:sp macro="" textlink="">
      <xdr:nvSpPr>
        <xdr:cNvPr id="1298" name="B IHSS SERV PAGE">
          <a:hlinkClick xmlns:r="http://schemas.openxmlformats.org/officeDocument/2006/relationships" r:id="rId13" tooltip="IHSS Services Page (Current)"/>
          <a:extLst>
            <a:ext uri="{FF2B5EF4-FFF2-40B4-BE49-F238E27FC236}">
              <a16:creationId xmlns:a16="http://schemas.microsoft.com/office/drawing/2014/main" id="{218DDD3D-7150-4416-92CE-469413A939CC}"/>
            </a:ext>
          </a:extLst>
        </xdr:cNvPr>
        <xdr:cNvSpPr/>
      </xdr:nvSpPr>
      <xdr:spPr>
        <a:xfrm>
          <a:off x="601992660"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567</xdr:col>
      <xdr:colOff>302189</xdr:colOff>
      <xdr:row>1</xdr:row>
      <xdr:rowOff>59690</xdr:rowOff>
    </xdr:from>
    <xdr:to>
      <xdr:col>568</xdr:col>
      <xdr:colOff>517750</xdr:colOff>
      <xdr:row>1</xdr:row>
      <xdr:rowOff>553466</xdr:rowOff>
    </xdr:to>
    <xdr:sp macro="" textlink="">
      <xdr:nvSpPr>
        <xdr:cNvPr id="1299" name="B AGE PAGE">
          <a:hlinkClick xmlns:r="http://schemas.openxmlformats.org/officeDocument/2006/relationships" r:id="rId2" tooltip="Age &amp; Gender Page (Current)"/>
          <a:extLst>
            <a:ext uri="{FF2B5EF4-FFF2-40B4-BE49-F238E27FC236}">
              <a16:creationId xmlns:a16="http://schemas.microsoft.com/office/drawing/2014/main" id="{EC91ED90-135D-43DA-B353-B4F0899ADDB6}"/>
            </a:ext>
          </a:extLst>
        </xdr:cNvPr>
        <xdr:cNvSpPr/>
      </xdr:nvSpPr>
      <xdr:spPr>
        <a:xfrm>
          <a:off x="603140567" y="58420"/>
          <a:ext cx="105841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a:t>
          </a:r>
          <a:r>
            <a:rPr lang="en-US" sz="1100" baseline="0">
              <a:latin typeface="Arial" panose="020B0604020202020204" pitchFamily="34" charset="0"/>
              <a:cs typeface="Arial" panose="020B0604020202020204" pitchFamily="34" charset="0"/>
            </a:rPr>
            <a:t>e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559</xdr:col>
      <xdr:colOff>418372</xdr:colOff>
      <xdr:row>1</xdr:row>
      <xdr:rowOff>59690</xdr:rowOff>
    </xdr:from>
    <xdr:to>
      <xdr:col>560</xdr:col>
      <xdr:colOff>634639</xdr:colOff>
      <xdr:row>1</xdr:row>
      <xdr:rowOff>553466</xdr:rowOff>
    </xdr:to>
    <xdr:sp macro="" textlink="">
      <xdr:nvSpPr>
        <xdr:cNvPr id="1300" name="B HOME PAGE">
          <a:hlinkClick xmlns:r="http://schemas.openxmlformats.org/officeDocument/2006/relationships" r:id="rId3" tooltip="Back to Dashboard Page"/>
          <a:extLst>
            <a:ext uri="{FF2B5EF4-FFF2-40B4-BE49-F238E27FC236}">
              <a16:creationId xmlns:a16="http://schemas.microsoft.com/office/drawing/2014/main" id="{9B2702F9-9B7F-454E-906F-463AD73B5116}"/>
            </a:ext>
          </a:extLst>
        </xdr:cNvPr>
        <xdr:cNvSpPr/>
      </xdr:nvSpPr>
      <xdr:spPr>
        <a:xfrm>
          <a:off x="596250585" y="58420"/>
          <a:ext cx="1082548" cy="500126"/>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560</xdr:col>
      <xdr:colOff>708253</xdr:colOff>
      <xdr:row>1</xdr:row>
      <xdr:rowOff>59690</xdr:rowOff>
    </xdr:from>
    <xdr:to>
      <xdr:col>562</xdr:col>
      <xdr:colOff>60638</xdr:colOff>
      <xdr:row>1</xdr:row>
      <xdr:rowOff>553466</xdr:rowOff>
    </xdr:to>
    <xdr:sp macro="" textlink="">
      <xdr:nvSpPr>
        <xdr:cNvPr id="1301" name="B GEN DATA PAGE">
          <a:hlinkClick xmlns:r="http://schemas.openxmlformats.org/officeDocument/2006/relationships" r:id="rId4" tooltip="Back to General Data Page"/>
          <a:extLst>
            <a:ext uri="{FF2B5EF4-FFF2-40B4-BE49-F238E27FC236}">
              <a16:creationId xmlns:a16="http://schemas.microsoft.com/office/drawing/2014/main" id="{D60F32AE-4DC4-4745-8762-4517F8CC1E16}"/>
            </a:ext>
          </a:extLst>
        </xdr:cNvPr>
        <xdr:cNvSpPr/>
      </xdr:nvSpPr>
      <xdr:spPr>
        <a:xfrm>
          <a:off x="597391507" y="58420"/>
          <a:ext cx="10787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563</xdr:col>
      <xdr:colOff>367546</xdr:colOff>
      <xdr:row>1</xdr:row>
      <xdr:rowOff>59690</xdr:rowOff>
    </xdr:from>
    <xdr:to>
      <xdr:col>564</xdr:col>
      <xdr:colOff>592141</xdr:colOff>
      <xdr:row>1</xdr:row>
      <xdr:rowOff>553466</xdr:rowOff>
    </xdr:to>
    <xdr:sp macro="" textlink="">
      <xdr:nvSpPr>
        <xdr:cNvPr id="1302" name="B ABD PAGE">
          <a:hlinkClick xmlns:r="http://schemas.openxmlformats.org/officeDocument/2006/relationships" r:id="rId5" tooltip="Aged, Blind, or Disabled Page (Current)"/>
          <a:extLst>
            <a:ext uri="{FF2B5EF4-FFF2-40B4-BE49-F238E27FC236}">
              <a16:creationId xmlns:a16="http://schemas.microsoft.com/office/drawing/2014/main" id="{F9946720-C26A-418E-9B37-83B9A59CB50E}"/>
            </a:ext>
          </a:extLst>
        </xdr:cNvPr>
        <xdr:cNvSpPr/>
      </xdr:nvSpPr>
      <xdr:spPr>
        <a:xfrm>
          <a:off x="599668270" y="58420"/>
          <a:ext cx="1104139"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558</xdr:col>
      <xdr:colOff>135829</xdr:colOff>
      <xdr:row>1</xdr:row>
      <xdr:rowOff>59690</xdr:rowOff>
    </xdr:from>
    <xdr:to>
      <xdr:col>559</xdr:col>
      <xdr:colOff>363244</xdr:colOff>
      <xdr:row>1</xdr:row>
      <xdr:rowOff>553466</xdr:rowOff>
    </xdr:to>
    <xdr:sp macro="" textlink="">
      <xdr:nvSpPr>
        <xdr:cNvPr id="1303" name="B GEN DATA PAGE">
          <a:hlinkClick xmlns:r="http://schemas.openxmlformats.org/officeDocument/2006/relationships" r:id="rId6" tooltip="Back to Navigation Page"/>
          <a:extLst>
            <a:ext uri="{FF2B5EF4-FFF2-40B4-BE49-F238E27FC236}">
              <a16:creationId xmlns:a16="http://schemas.microsoft.com/office/drawing/2014/main" id="{CF21273C-B9B1-4791-B394-B221398AE4AE}"/>
            </a:ext>
          </a:extLst>
        </xdr:cNvPr>
        <xdr:cNvSpPr/>
      </xdr:nvSpPr>
      <xdr:spPr>
        <a:xfrm>
          <a:off x="595091883" y="58420"/>
          <a:ext cx="108000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572</xdr:col>
      <xdr:colOff>535726</xdr:colOff>
      <xdr:row>1</xdr:row>
      <xdr:rowOff>59690</xdr:rowOff>
    </xdr:from>
    <xdr:to>
      <xdr:col>573</xdr:col>
      <xdr:colOff>763866</xdr:colOff>
      <xdr:row>1</xdr:row>
      <xdr:rowOff>557276</xdr:rowOff>
    </xdr:to>
    <xdr:sp macro="" textlink="">
      <xdr:nvSpPr>
        <xdr:cNvPr id="1304" name="B ALL DATA PAGE">
          <a:hlinkClick xmlns:r="http://schemas.openxmlformats.org/officeDocument/2006/relationships" r:id="rId7" tooltip="Back to All Data Page"/>
          <a:extLst>
            <a:ext uri="{FF2B5EF4-FFF2-40B4-BE49-F238E27FC236}">
              <a16:creationId xmlns:a16="http://schemas.microsoft.com/office/drawing/2014/main" id="{1D954ECB-31AD-4277-823E-84EB56A42855}"/>
            </a:ext>
          </a:extLst>
        </xdr:cNvPr>
        <xdr:cNvSpPr/>
      </xdr:nvSpPr>
      <xdr:spPr>
        <a:xfrm>
          <a:off x="607722584" y="58420"/>
          <a:ext cx="1088353" cy="506476"/>
        </a:xfrm>
        <a:prstGeom prst="roundRect">
          <a:avLst/>
        </a:prstGeom>
        <a:solidFill>
          <a:srgbClr val="C74F1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571</xdr:col>
      <xdr:colOff>291419</xdr:colOff>
      <xdr:row>1</xdr:row>
      <xdr:rowOff>59690</xdr:rowOff>
    </xdr:from>
    <xdr:to>
      <xdr:col>572</xdr:col>
      <xdr:colOff>479605</xdr:colOff>
      <xdr:row>1</xdr:row>
      <xdr:rowOff>553466</xdr:rowOff>
    </xdr:to>
    <xdr:sp macro="" textlink="">
      <xdr:nvSpPr>
        <xdr:cNvPr id="1305" name="B TERMS PAGE">
          <a:hlinkClick xmlns:r="http://schemas.openxmlformats.org/officeDocument/2006/relationships" r:id="rId8" tooltip="Back to Appendix &amp; Terms Page"/>
          <a:extLst>
            <a:ext uri="{FF2B5EF4-FFF2-40B4-BE49-F238E27FC236}">
              <a16:creationId xmlns:a16="http://schemas.microsoft.com/office/drawing/2014/main" id="{6DC4C7A4-2B31-4835-83D8-4EE90DA4A7C7}"/>
            </a:ext>
          </a:extLst>
        </xdr:cNvPr>
        <xdr:cNvSpPr/>
      </xdr:nvSpPr>
      <xdr:spPr>
        <a:xfrm>
          <a:off x="606589700" y="58420"/>
          <a:ext cx="1055455"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570</xdr:col>
      <xdr:colOff>22442</xdr:colOff>
      <xdr:row>1</xdr:row>
      <xdr:rowOff>59690</xdr:rowOff>
    </xdr:from>
    <xdr:to>
      <xdr:col>571</xdr:col>
      <xdr:colOff>211032</xdr:colOff>
      <xdr:row>1</xdr:row>
      <xdr:rowOff>553466</xdr:rowOff>
    </xdr:to>
    <xdr:sp macro="" textlink="">
      <xdr:nvSpPr>
        <xdr:cNvPr id="1306" name="B PROV DET PAGE">
          <a:hlinkClick xmlns:r="http://schemas.openxmlformats.org/officeDocument/2006/relationships" r:id="rId9" tooltip="Back to Provider Page"/>
          <a:extLst>
            <a:ext uri="{FF2B5EF4-FFF2-40B4-BE49-F238E27FC236}">
              <a16:creationId xmlns:a16="http://schemas.microsoft.com/office/drawing/2014/main" id="{3E9BD532-1E4C-461A-8BDA-7E6E4F123901}"/>
            </a:ext>
          </a:extLst>
        </xdr:cNvPr>
        <xdr:cNvSpPr/>
      </xdr:nvSpPr>
      <xdr:spPr>
        <a:xfrm>
          <a:off x="605446541" y="58420"/>
          <a:ext cx="105769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564</xdr:col>
      <xdr:colOff>647975</xdr:colOff>
      <xdr:row>1</xdr:row>
      <xdr:rowOff>59690</xdr:rowOff>
    </xdr:from>
    <xdr:to>
      <xdr:col>565</xdr:col>
      <xdr:colOff>862688</xdr:colOff>
      <xdr:row>1</xdr:row>
      <xdr:rowOff>553466</xdr:rowOff>
    </xdr:to>
    <xdr:sp macro="" textlink="">
      <xdr:nvSpPr>
        <xdr:cNvPr id="1307" name="B IHSS PROG PAGE">
          <a:hlinkClick xmlns:r="http://schemas.openxmlformats.org/officeDocument/2006/relationships" r:id="rId10" tooltip="Back to Program Equity Page"/>
          <a:extLst>
            <a:ext uri="{FF2B5EF4-FFF2-40B4-BE49-F238E27FC236}">
              <a16:creationId xmlns:a16="http://schemas.microsoft.com/office/drawing/2014/main" id="{2DF517B1-D000-4437-8E3B-B2CBB7720936}"/>
            </a:ext>
          </a:extLst>
        </xdr:cNvPr>
        <xdr:cNvSpPr/>
      </xdr:nvSpPr>
      <xdr:spPr>
        <a:xfrm>
          <a:off x="600846023" y="58420"/>
          <a:ext cx="106095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568</xdr:col>
      <xdr:colOff>569774</xdr:colOff>
      <xdr:row>1</xdr:row>
      <xdr:rowOff>59690</xdr:rowOff>
    </xdr:from>
    <xdr:to>
      <xdr:col>569</xdr:col>
      <xdr:colOff>763442</xdr:colOff>
      <xdr:row>1</xdr:row>
      <xdr:rowOff>553466</xdr:rowOff>
    </xdr:to>
    <xdr:sp macro="" textlink="">
      <xdr:nvSpPr>
        <xdr:cNvPr id="1308" name="B ETHNICITY PAGE">
          <a:hlinkClick xmlns:r="http://schemas.openxmlformats.org/officeDocument/2006/relationships" r:id="rId11" tooltip="Back to Ethnicity &amp; Language Page"/>
          <a:extLst>
            <a:ext uri="{FF2B5EF4-FFF2-40B4-BE49-F238E27FC236}">
              <a16:creationId xmlns:a16="http://schemas.microsoft.com/office/drawing/2014/main" id="{841AA2D4-3A01-4720-BD33-7964B0E58225}"/>
            </a:ext>
          </a:extLst>
        </xdr:cNvPr>
        <xdr:cNvSpPr/>
      </xdr:nvSpPr>
      <xdr:spPr>
        <a:xfrm>
          <a:off x="604273869" y="58420"/>
          <a:ext cx="1080552"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562</xdr:col>
      <xdr:colOff>136792</xdr:colOff>
      <xdr:row>1</xdr:row>
      <xdr:rowOff>59690</xdr:rowOff>
    </xdr:from>
    <xdr:to>
      <xdr:col>563</xdr:col>
      <xdr:colOff>325682</xdr:colOff>
      <xdr:row>1</xdr:row>
      <xdr:rowOff>553466</xdr:rowOff>
    </xdr:to>
    <xdr:sp macro="" textlink="">
      <xdr:nvSpPr>
        <xdr:cNvPr id="1309" name="B GEN DATA PAGE">
          <a:hlinkClick xmlns:r="http://schemas.openxmlformats.org/officeDocument/2006/relationships" r:id="rId12" tooltip="IHSS Applicants Page (Current)"/>
          <a:extLst>
            <a:ext uri="{FF2B5EF4-FFF2-40B4-BE49-F238E27FC236}">
              <a16:creationId xmlns:a16="http://schemas.microsoft.com/office/drawing/2014/main" id="{C6B12864-0395-4A52-ADBA-642BCEFC1C5A}"/>
            </a:ext>
          </a:extLst>
        </xdr:cNvPr>
        <xdr:cNvSpPr/>
      </xdr:nvSpPr>
      <xdr:spPr>
        <a:xfrm>
          <a:off x="598547669" y="58420"/>
          <a:ext cx="1071117"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566</xdr:col>
      <xdr:colOff>20209</xdr:colOff>
      <xdr:row>1</xdr:row>
      <xdr:rowOff>59690</xdr:rowOff>
    </xdr:from>
    <xdr:to>
      <xdr:col>567</xdr:col>
      <xdr:colOff>248895</xdr:colOff>
      <xdr:row>1</xdr:row>
      <xdr:rowOff>553466</xdr:rowOff>
    </xdr:to>
    <xdr:sp macro="" textlink="">
      <xdr:nvSpPr>
        <xdr:cNvPr id="1310" name="B IHSS SERV PAGE">
          <a:hlinkClick xmlns:r="http://schemas.openxmlformats.org/officeDocument/2006/relationships" r:id="rId13" tooltip="IHSS Services Page (Current)"/>
          <a:extLst>
            <a:ext uri="{FF2B5EF4-FFF2-40B4-BE49-F238E27FC236}">
              <a16:creationId xmlns:a16="http://schemas.microsoft.com/office/drawing/2014/main" id="{5A37505E-0FD2-43BE-BB01-FF0128AB73EF}"/>
            </a:ext>
          </a:extLst>
        </xdr:cNvPr>
        <xdr:cNvSpPr/>
      </xdr:nvSpPr>
      <xdr:spPr>
        <a:xfrm>
          <a:off x="601976785" y="58420"/>
          <a:ext cx="1091438" cy="500126"/>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457200</xdr:colOff>
      <xdr:row>3</xdr:row>
      <xdr:rowOff>22860</xdr:rowOff>
    </xdr:to>
    <xdr:sp macro="" textlink="">
      <xdr:nvSpPr>
        <xdr:cNvPr id="3" name="B NAME HYPER GD" descr="County Name and Link back to county selection">
          <a:hlinkClick xmlns:r="http://schemas.openxmlformats.org/officeDocument/2006/relationships" r:id="rId1" tooltip="Back to County Selection"/>
          <a:extLst>
            <a:ext uri="{FF2B5EF4-FFF2-40B4-BE49-F238E27FC236}">
              <a16:creationId xmlns:a16="http://schemas.microsoft.com/office/drawing/2014/main" id="{7F720180-E922-4624-8E52-A1B91368DFD2}"/>
            </a:ext>
          </a:extLst>
        </xdr:cNvPr>
        <xdr:cNvSpPr/>
      </xdr:nvSpPr>
      <xdr:spPr>
        <a:xfrm>
          <a:off x="0" y="0"/>
          <a:ext cx="2286000" cy="556260"/>
        </a:xfrm>
        <a:prstGeom prst="round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20320</xdr:colOff>
      <xdr:row>5</xdr:row>
      <xdr:rowOff>177165</xdr:rowOff>
    </xdr:from>
    <xdr:to>
      <xdr:col>2</xdr:col>
      <xdr:colOff>287020</xdr:colOff>
      <xdr:row>7</xdr:row>
      <xdr:rowOff>100965</xdr:rowOff>
    </xdr:to>
    <xdr:sp macro="" textlink="Data_Date">
      <xdr:nvSpPr>
        <xdr:cNvPr id="7" name="B DATE GD">
          <a:extLst>
            <a:ext uri="{FF2B5EF4-FFF2-40B4-BE49-F238E27FC236}">
              <a16:creationId xmlns:a16="http://schemas.microsoft.com/office/drawing/2014/main" id="{5BECE570-F065-4F53-B009-3D3D1BCB8C3E}"/>
            </a:ext>
            <a:ext uri="{C183D7F6-B498-43B3-948B-1728B52AA6E4}">
              <adec:decorative xmlns:adec="http://schemas.microsoft.com/office/drawing/2017/decorative" val="1"/>
            </a:ext>
          </a:extLst>
        </xdr:cNvPr>
        <xdr:cNvSpPr/>
      </xdr:nvSpPr>
      <xdr:spPr>
        <a:xfrm>
          <a:off x="26670" y="1022985"/>
          <a:ext cx="1485900" cy="281940"/>
        </a:xfrm>
        <a:prstGeom prst="roundRect">
          <a:avLst/>
        </a:prstGeom>
        <a:noFill/>
        <a:ln w="285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941E5E5-AD62-4447-BE9D-1F8C0684A135}" type="TxLink">
            <a:rPr lang="en-US" sz="1200" b="1" i="0" u="none" strike="noStrike">
              <a:solidFill>
                <a:srgbClr val="000000"/>
              </a:solidFill>
              <a:latin typeface="Arial"/>
              <a:cs typeface="Arial"/>
            </a:rPr>
            <a:pPr algn="ctr"/>
            <a:t>September 2023</a:t>
          </a:fld>
          <a:endParaRPr lang="en-US" sz="1100"/>
        </a:p>
      </xdr:txBody>
    </xdr:sp>
    <xdr:clientData/>
  </xdr:twoCellAnchor>
  <xdr:twoCellAnchor editAs="absolute">
    <xdr:from>
      <xdr:col>3</xdr:col>
      <xdr:colOff>2229603</xdr:colOff>
      <xdr:row>1</xdr:row>
      <xdr:rowOff>62865</xdr:rowOff>
    </xdr:from>
    <xdr:to>
      <xdr:col>4</xdr:col>
      <xdr:colOff>858579</xdr:colOff>
      <xdr:row>3</xdr:row>
      <xdr:rowOff>20828</xdr:rowOff>
    </xdr:to>
    <xdr:sp macro="" textlink="">
      <xdr:nvSpPr>
        <xdr:cNvPr id="8" name="B HOME PAGE">
          <a:hlinkClick xmlns:r="http://schemas.openxmlformats.org/officeDocument/2006/relationships" r:id="rId2" tooltip="Back to Dashboard Page"/>
          <a:extLst>
            <a:ext uri="{FF2B5EF4-FFF2-40B4-BE49-F238E27FC236}">
              <a16:creationId xmlns:a16="http://schemas.microsoft.com/office/drawing/2014/main" id="{A59D97D2-1CF0-4521-BCA1-95C2ED42E06A}"/>
            </a:ext>
          </a:extLst>
        </xdr:cNvPr>
        <xdr:cNvSpPr/>
      </xdr:nvSpPr>
      <xdr:spPr>
        <a:xfrm>
          <a:off x="4083531" y="84092"/>
          <a:ext cx="1006416" cy="473765"/>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12</xdr:col>
      <xdr:colOff>440784</xdr:colOff>
      <xdr:row>1</xdr:row>
      <xdr:rowOff>62865</xdr:rowOff>
    </xdr:from>
    <xdr:to>
      <xdr:col>13</xdr:col>
      <xdr:colOff>188698</xdr:colOff>
      <xdr:row>3</xdr:row>
      <xdr:rowOff>20828</xdr:rowOff>
    </xdr:to>
    <xdr:sp macro="" textlink="">
      <xdr:nvSpPr>
        <xdr:cNvPr id="9" name="B ALL DATA PAGE">
          <a:hlinkClick xmlns:r="http://schemas.openxmlformats.org/officeDocument/2006/relationships" r:id="rId3" tooltip="Back to All Data Page"/>
          <a:extLst>
            <a:ext uri="{FF2B5EF4-FFF2-40B4-BE49-F238E27FC236}">
              <a16:creationId xmlns:a16="http://schemas.microsoft.com/office/drawing/2014/main" id="{DDE8922A-ECF6-4454-9076-5AB4BDF91BD4}"/>
            </a:ext>
          </a:extLst>
        </xdr:cNvPr>
        <xdr:cNvSpPr/>
      </xdr:nvSpPr>
      <xdr:spPr>
        <a:xfrm>
          <a:off x="15069014" y="78768"/>
          <a:ext cx="999693" cy="478497"/>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5</xdr:col>
      <xdr:colOff>837754</xdr:colOff>
      <xdr:row>1</xdr:row>
      <xdr:rowOff>62865</xdr:rowOff>
    </xdr:from>
    <xdr:to>
      <xdr:col>6</xdr:col>
      <xdr:colOff>634281</xdr:colOff>
      <xdr:row>3</xdr:row>
      <xdr:rowOff>20828</xdr:rowOff>
    </xdr:to>
    <xdr:sp macro="" textlink="">
      <xdr:nvSpPr>
        <xdr:cNvPr id="10" name="B GEN DATA PAGE">
          <a:hlinkClick xmlns:r="http://schemas.openxmlformats.org/officeDocument/2006/relationships" r:id="rId4" tooltip="IHSS Applicants Page (Current)"/>
          <a:extLst>
            <a:ext uri="{FF2B5EF4-FFF2-40B4-BE49-F238E27FC236}">
              <a16:creationId xmlns:a16="http://schemas.microsoft.com/office/drawing/2014/main" id="{257B010D-452C-4C7C-B0B6-9159D7203F86}"/>
            </a:ext>
          </a:extLst>
        </xdr:cNvPr>
        <xdr:cNvSpPr/>
      </xdr:nvSpPr>
      <xdr:spPr>
        <a:xfrm>
          <a:off x="6258425" y="78768"/>
          <a:ext cx="1002586" cy="478497"/>
        </a:xfrm>
        <a:prstGeom prst="roundRect">
          <a:avLst/>
        </a:prstGeom>
        <a:solidFill>
          <a:srgbClr val="C74F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8</xdr:col>
      <xdr:colOff>2575220</xdr:colOff>
      <xdr:row>1</xdr:row>
      <xdr:rowOff>62865</xdr:rowOff>
    </xdr:from>
    <xdr:to>
      <xdr:col>9</xdr:col>
      <xdr:colOff>822794</xdr:colOff>
      <xdr:row>3</xdr:row>
      <xdr:rowOff>20828</xdr:rowOff>
    </xdr:to>
    <xdr:sp macro="" textlink="">
      <xdr:nvSpPr>
        <xdr:cNvPr id="11" name="B AGE PAGE">
          <a:hlinkClick xmlns:r="http://schemas.openxmlformats.org/officeDocument/2006/relationships" r:id="rId5" tooltip="Back to Age &amp; Gender Page"/>
          <a:extLst>
            <a:ext uri="{FF2B5EF4-FFF2-40B4-BE49-F238E27FC236}">
              <a16:creationId xmlns:a16="http://schemas.microsoft.com/office/drawing/2014/main" id="{287F9F78-7B53-44B6-899E-514C1FEF768B}"/>
            </a:ext>
          </a:extLst>
        </xdr:cNvPr>
        <xdr:cNvSpPr/>
      </xdr:nvSpPr>
      <xdr:spPr>
        <a:xfrm>
          <a:off x="10664823" y="78768"/>
          <a:ext cx="999116" cy="478497"/>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a:t>
          </a:r>
          <a:r>
            <a:rPr lang="en-US" sz="1100" baseline="0">
              <a:latin typeface="Arial" panose="020B0604020202020204" pitchFamily="34" charset="0"/>
              <a:cs typeface="Arial" panose="020B0604020202020204" pitchFamily="34" charset="0"/>
            </a:rPr>
            <a:t>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11</xdr:col>
      <xdr:colOff>633633</xdr:colOff>
      <xdr:row>1</xdr:row>
      <xdr:rowOff>62865</xdr:rowOff>
    </xdr:from>
    <xdr:to>
      <xdr:col>12</xdr:col>
      <xdr:colOff>364825</xdr:colOff>
      <xdr:row>3</xdr:row>
      <xdr:rowOff>20828</xdr:rowOff>
    </xdr:to>
    <xdr:sp macro="" textlink="">
      <xdr:nvSpPr>
        <xdr:cNvPr id="12" name="B TERMS PAGE">
          <a:hlinkClick xmlns:r="http://schemas.openxmlformats.org/officeDocument/2006/relationships" r:id="rId6" tooltip="Back to Appendix &amp; Terms Page"/>
          <a:extLst>
            <a:ext uri="{FF2B5EF4-FFF2-40B4-BE49-F238E27FC236}">
              <a16:creationId xmlns:a16="http://schemas.microsoft.com/office/drawing/2014/main" id="{7AEA1616-9C5F-4790-8C5D-F7647AB05D84}"/>
            </a:ext>
          </a:extLst>
        </xdr:cNvPr>
        <xdr:cNvSpPr/>
      </xdr:nvSpPr>
      <xdr:spPr>
        <a:xfrm>
          <a:off x="13991036" y="78768"/>
          <a:ext cx="985509" cy="478497"/>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8</xdr:col>
      <xdr:colOff>1467669</xdr:colOff>
      <xdr:row>1</xdr:row>
      <xdr:rowOff>62865</xdr:rowOff>
    </xdr:from>
    <xdr:to>
      <xdr:col>8</xdr:col>
      <xdr:colOff>2460261</xdr:colOff>
      <xdr:row>3</xdr:row>
      <xdr:rowOff>20828</xdr:rowOff>
    </xdr:to>
    <xdr:sp macro="" textlink="">
      <xdr:nvSpPr>
        <xdr:cNvPr id="13" name="B IHSS SERV PAGE">
          <a:hlinkClick xmlns:r="http://schemas.openxmlformats.org/officeDocument/2006/relationships" r:id="rId7" tooltip="Back to IHSS Services Page"/>
          <a:extLst>
            <a:ext uri="{FF2B5EF4-FFF2-40B4-BE49-F238E27FC236}">
              <a16:creationId xmlns:a16="http://schemas.microsoft.com/office/drawing/2014/main" id="{E41D6367-371C-4A53-B6FA-5EA5C1F907B1}"/>
            </a:ext>
          </a:extLst>
        </xdr:cNvPr>
        <xdr:cNvSpPr/>
      </xdr:nvSpPr>
      <xdr:spPr>
        <a:xfrm>
          <a:off x="9563622" y="78768"/>
          <a:ext cx="998942" cy="478497"/>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6</xdr:col>
      <xdr:colOff>747248</xdr:colOff>
      <xdr:row>1</xdr:row>
      <xdr:rowOff>62865</xdr:rowOff>
    </xdr:from>
    <xdr:to>
      <xdr:col>8</xdr:col>
      <xdr:colOff>291953</xdr:colOff>
      <xdr:row>3</xdr:row>
      <xdr:rowOff>20828</xdr:rowOff>
    </xdr:to>
    <xdr:sp macro="" textlink="">
      <xdr:nvSpPr>
        <xdr:cNvPr id="14" name="B ABD PAGE">
          <a:hlinkClick xmlns:r="http://schemas.openxmlformats.org/officeDocument/2006/relationships" r:id="rId8" tooltip="Back to Aged, Blind, or Disabled Page"/>
          <a:extLst>
            <a:ext uri="{FF2B5EF4-FFF2-40B4-BE49-F238E27FC236}">
              <a16:creationId xmlns:a16="http://schemas.microsoft.com/office/drawing/2014/main" id="{BFA9E7AB-4EAB-4B3B-963A-102BF87402ED}"/>
            </a:ext>
          </a:extLst>
        </xdr:cNvPr>
        <xdr:cNvSpPr/>
      </xdr:nvSpPr>
      <xdr:spPr>
        <a:xfrm>
          <a:off x="7362548" y="78768"/>
          <a:ext cx="1003768" cy="478497"/>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10</xdr:col>
      <xdr:colOff>785237</xdr:colOff>
      <xdr:row>1</xdr:row>
      <xdr:rowOff>62865</xdr:rowOff>
    </xdr:from>
    <xdr:to>
      <xdr:col>11</xdr:col>
      <xdr:colOff>517491</xdr:colOff>
      <xdr:row>3</xdr:row>
      <xdr:rowOff>20828</xdr:rowOff>
    </xdr:to>
    <xdr:sp macro="" textlink="">
      <xdr:nvSpPr>
        <xdr:cNvPr id="15" name="B PROV DET PAGE">
          <a:hlinkClick xmlns:r="http://schemas.openxmlformats.org/officeDocument/2006/relationships" r:id="rId9" tooltip="Back to Provider Page"/>
          <a:extLst>
            <a:ext uri="{FF2B5EF4-FFF2-40B4-BE49-F238E27FC236}">
              <a16:creationId xmlns:a16="http://schemas.microsoft.com/office/drawing/2014/main" id="{F4BD0433-6227-4A8B-9649-4514C407CB58}"/>
            </a:ext>
          </a:extLst>
        </xdr:cNvPr>
        <xdr:cNvSpPr/>
      </xdr:nvSpPr>
      <xdr:spPr>
        <a:xfrm>
          <a:off x="12884512" y="78768"/>
          <a:ext cx="1003082" cy="478497"/>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8</xdr:col>
      <xdr:colOff>363645</xdr:colOff>
      <xdr:row>1</xdr:row>
      <xdr:rowOff>62865</xdr:rowOff>
    </xdr:from>
    <xdr:to>
      <xdr:col>8</xdr:col>
      <xdr:colOff>1358755</xdr:colOff>
      <xdr:row>3</xdr:row>
      <xdr:rowOff>20828</xdr:rowOff>
    </xdr:to>
    <xdr:sp macro="" textlink="">
      <xdr:nvSpPr>
        <xdr:cNvPr id="16" name="B IHSS PROG PAGE">
          <a:hlinkClick xmlns:r="http://schemas.openxmlformats.org/officeDocument/2006/relationships" r:id="rId10" tooltip="Back to IHSS Programs Page"/>
          <a:extLst>
            <a:ext uri="{FF2B5EF4-FFF2-40B4-BE49-F238E27FC236}">
              <a16:creationId xmlns:a16="http://schemas.microsoft.com/office/drawing/2014/main" id="{0FFA7F3E-B3FA-4F6E-AEC3-C42B1EC0AA95}"/>
            </a:ext>
          </a:extLst>
        </xdr:cNvPr>
        <xdr:cNvSpPr/>
      </xdr:nvSpPr>
      <xdr:spPr>
        <a:xfrm>
          <a:off x="8469758" y="78768"/>
          <a:ext cx="992570" cy="478497"/>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9</xdr:col>
      <xdr:colOff>938301</xdr:colOff>
      <xdr:row>1</xdr:row>
      <xdr:rowOff>62865</xdr:rowOff>
    </xdr:from>
    <xdr:to>
      <xdr:col>10</xdr:col>
      <xdr:colOff>669095</xdr:colOff>
      <xdr:row>3</xdr:row>
      <xdr:rowOff>20828</xdr:rowOff>
    </xdr:to>
    <xdr:sp macro="" textlink="">
      <xdr:nvSpPr>
        <xdr:cNvPr id="17" name="B ETHNICITY PAGE">
          <a:hlinkClick xmlns:r="http://schemas.openxmlformats.org/officeDocument/2006/relationships" r:id="rId11" tooltip="Back to Ethnicity &amp; Language Page"/>
          <a:extLst>
            <a:ext uri="{FF2B5EF4-FFF2-40B4-BE49-F238E27FC236}">
              <a16:creationId xmlns:a16="http://schemas.microsoft.com/office/drawing/2014/main" id="{7FC8F9C4-FB70-4EEC-8C54-630EE16BBDE3}"/>
            </a:ext>
          </a:extLst>
        </xdr:cNvPr>
        <xdr:cNvSpPr/>
      </xdr:nvSpPr>
      <xdr:spPr>
        <a:xfrm>
          <a:off x="11769286" y="78768"/>
          <a:ext cx="1011784" cy="478497"/>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xdr:col>
      <xdr:colOff>1143000</xdr:colOff>
      <xdr:row>1</xdr:row>
      <xdr:rowOff>62865</xdr:rowOff>
    </xdr:from>
    <xdr:to>
      <xdr:col>3</xdr:col>
      <xdr:colOff>2156460</xdr:colOff>
      <xdr:row>3</xdr:row>
      <xdr:rowOff>20828</xdr:rowOff>
    </xdr:to>
    <xdr:sp macro="" textlink="">
      <xdr:nvSpPr>
        <xdr:cNvPr id="18" name="B GEN DATA PAGE">
          <a:hlinkClick xmlns:r="http://schemas.openxmlformats.org/officeDocument/2006/relationships" r:id="rId12" tooltip="Back to Navigation Page"/>
          <a:extLst>
            <a:ext uri="{FF2B5EF4-FFF2-40B4-BE49-F238E27FC236}">
              <a16:creationId xmlns:a16="http://schemas.microsoft.com/office/drawing/2014/main" id="{13DC45E3-0F4D-47DE-B090-D5F166ADEEF7}"/>
            </a:ext>
          </a:extLst>
        </xdr:cNvPr>
        <xdr:cNvSpPr/>
      </xdr:nvSpPr>
      <xdr:spPr>
        <a:xfrm>
          <a:off x="2971800" y="80010"/>
          <a:ext cx="1013460" cy="480568"/>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xdr:from>
      <xdr:col>3</xdr:col>
      <xdr:colOff>1361</xdr:colOff>
      <xdr:row>5</xdr:row>
      <xdr:rowOff>115659</xdr:rowOff>
    </xdr:from>
    <xdr:to>
      <xdr:col>7</xdr:col>
      <xdr:colOff>2722</xdr:colOff>
      <xdr:row>20</xdr:row>
      <xdr:rowOff>166006</xdr:rowOff>
    </xdr:to>
    <xdr:graphicFrame macro="">
      <xdr:nvGraphicFramePr>
        <xdr:cNvPr id="19" name="Chart 18" descr="Chart for New Applications: Applications Received. Chart's Data is in Table 5 on the current page.">
          <a:extLst>
            <a:ext uri="{FF2B5EF4-FFF2-40B4-BE49-F238E27FC236}">
              <a16:creationId xmlns:a16="http://schemas.microsoft.com/office/drawing/2014/main" id="{7364D94F-A590-4432-BBF3-3F980400D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9525</xdr:colOff>
      <xdr:row>5</xdr:row>
      <xdr:rowOff>133350</xdr:rowOff>
    </xdr:from>
    <xdr:to>
      <xdr:col>12</xdr:col>
      <xdr:colOff>9524</xdr:colOff>
      <xdr:row>21</xdr:row>
      <xdr:rowOff>38100</xdr:rowOff>
    </xdr:to>
    <xdr:graphicFrame macro="">
      <xdr:nvGraphicFramePr>
        <xdr:cNvPr id="20" name="Chart 19" descr="Chart for Denied Applications (Previous 90 days). Chart's Data is in Table 6 on the current page.">
          <a:extLst>
            <a:ext uri="{FF2B5EF4-FFF2-40B4-BE49-F238E27FC236}">
              <a16:creationId xmlns:a16="http://schemas.microsoft.com/office/drawing/2014/main" id="{30777FB1-59AB-4F9B-9844-CD764271F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3</xdr:col>
      <xdr:colOff>25074</xdr:colOff>
      <xdr:row>33</xdr:row>
      <xdr:rowOff>2720</xdr:rowOff>
    </xdr:from>
    <xdr:to>
      <xdr:col>6</xdr:col>
      <xdr:colOff>1182461</xdr:colOff>
      <xdr:row>60</xdr:row>
      <xdr:rowOff>1814</xdr:rowOff>
    </xdr:to>
    <xdr:graphicFrame macro="">
      <xdr:nvGraphicFramePr>
        <xdr:cNvPr id="25" name="C EXITING REASONS" descr="Chart for Reasons for Exiting the Program (Top 10). Chart's Data is in Table 2 on the current page.">
          <a:extLst>
            <a:ext uri="{FF2B5EF4-FFF2-40B4-BE49-F238E27FC236}">
              <a16:creationId xmlns:a16="http://schemas.microsoft.com/office/drawing/2014/main" id="{37F37B55-527B-4B79-B5DE-1DC691F9C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4</xdr:col>
      <xdr:colOff>939358</xdr:colOff>
      <xdr:row>1</xdr:row>
      <xdr:rowOff>62865</xdr:rowOff>
    </xdr:from>
    <xdr:to>
      <xdr:col>5</xdr:col>
      <xdr:colOff>748586</xdr:colOff>
      <xdr:row>3</xdr:row>
      <xdr:rowOff>20828</xdr:rowOff>
    </xdr:to>
    <xdr:sp macro="" textlink="">
      <xdr:nvSpPr>
        <xdr:cNvPr id="26" name="B GEN DATA PAGE">
          <a:hlinkClick xmlns:r="http://schemas.openxmlformats.org/officeDocument/2006/relationships" r:id="rId16" tooltip="General Data Page (Current)"/>
          <a:extLst>
            <a:ext uri="{FF2B5EF4-FFF2-40B4-BE49-F238E27FC236}">
              <a16:creationId xmlns:a16="http://schemas.microsoft.com/office/drawing/2014/main" id="{25FD7DF8-9A21-484F-A651-B812267D6F96}"/>
            </a:ext>
          </a:extLst>
        </xdr:cNvPr>
        <xdr:cNvSpPr/>
      </xdr:nvSpPr>
      <xdr:spPr>
        <a:xfrm>
          <a:off x="5166672" y="78768"/>
          <a:ext cx="1002585" cy="478497"/>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26034</xdr:colOff>
      <xdr:row>5</xdr:row>
      <xdr:rowOff>96520</xdr:rowOff>
    </xdr:from>
    <xdr:to>
      <xdr:col>6</xdr:col>
      <xdr:colOff>1201013</xdr:colOff>
      <xdr:row>19</xdr:row>
      <xdr:rowOff>48259</xdr:rowOff>
    </xdr:to>
    <xdr:graphicFrame macro="">
      <xdr:nvGraphicFramePr>
        <xdr:cNvPr id="2" name="C AUTH HOURS GD" descr="Chart for Average Authorized Hours per Recipient. Chart's Data is in Table 1 on the current page.">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0</xdr:row>
      <xdr:rowOff>0</xdr:rowOff>
    </xdr:from>
    <xdr:to>
      <xdr:col>3</xdr:col>
      <xdr:colOff>457200</xdr:colOff>
      <xdr:row>3</xdr:row>
      <xdr:rowOff>22860</xdr:rowOff>
    </xdr:to>
    <xdr:sp macro="" textlink="">
      <xdr:nvSpPr>
        <xdr:cNvPr id="42" name="B NAME HYPER GD" descr="County Name and Link back to county selection">
          <a:hlinkClick xmlns:r="http://schemas.openxmlformats.org/officeDocument/2006/relationships" r:id="rId2" tooltip="Back to County Selection"/>
          <a:extLst>
            <a:ext uri="{FF2B5EF4-FFF2-40B4-BE49-F238E27FC236}">
              <a16:creationId xmlns:a16="http://schemas.microsoft.com/office/drawing/2014/main" id="{00000000-0008-0000-0200-00002A000000}"/>
            </a:ext>
          </a:extLst>
        </xdr:cNvPr>
        <xdr:cNvSpPr/>
      </xdr:nvSpPr>
      <xdr:spPr>
        <a:xfrm>
          <a:off x="0" y="0"/>
          <a:ext cx="2286000" cy="548640"/>
        </a:xfrm>
        <a:prstGeom prst="round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21794</xdr:colOff>
      <xdr:row>5</xdr:row>
      <xdr:rowOff>96520</xdr:rowOff>
    </xdr:from>
    <xdr:to>
      <xdr:col>11</xdr:col>
      <xdr:colOff>1124956</xdr:colOff>
      <xdr:row>19</xdr:row>
      <xdr:rowOff>48259</xdr:rowOff>
    </xdr:to>
    <xdr:graphicFrame macro="">
      <xdr:nvGraphicFramePr>
        <xdr:cNvPr id="16" name="C ETS GD" descr="Chart for Electronic Timesheet System Enrolled. Chart's Data is in Table 2 on the current page.">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594993</xdr:colOff>
      <xdr:row>26</xdr:row>
      <xdr:rowOff>192405</xdr:rowOff>
    </xdr:from>
    <xdr:to>
      <xdr:col>6</xdr:col>
      <xdr:colOff>1164893</xdr:colOff>
      <xdr:row>41</xdr:row>
      <xdr:rowOff>15240</xdr:rowOff>
    </xdr:to>
    <xdr:graphicFrame macro="">
      <xdr:nvGraphicFramePr>
        <xdr:cNvPr id="17" name="C SI NSI GD" descr="Chart for Severely Impaired non-Severely Impaired Recipients. Chart's Data is in Table 3 on the current page.">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21794</xdr:colOff>
      <xdr:row>26</xdr:row>
      <xdr:rowOff>192405</xdr:rowOff>
    </xdr:from>
    <xdr:to>
      <xdr:col>11</xdr:col>
      <xdr:colOff>1128606</xdr:colOff>
      <xdr:row>41</xdr:row>
      <xdr:rowOff>15240</xdr:rowOff>
    </xdr:to>
    <xdr:graphicFrame macro="">
      <xdr:nvGraphicFramePr>
        <xdr:cNvPr id="19" name="C SI NSI HOURS GD" descr="Chart for Severely Impaired non-Severely Impaired Average Authorized Hours per Recipient. Chart's Data is in Table 4 on the current page.">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20320</xdr:colOff>
      <xdr:row>5</xdr:row>
      <xdr:rowOff>177165</xdr:rowOff>
    </xdr:from>
    <xdr:to>
      <xdr:col>2</xdr:col>
      <xdr:colOff>287020</xdr:colOff>
      <xdr:row>7</xdr:row>
      <xdr:rowOff>76200</xdr:rowOff>
    </xdr:to>
    <xdr:sp macro="" textlink="Data_Date">
      <xdr:nvSpPr>
        <xdr:cNvPr id="3" name="B DATE GD">
          <a:extLst>
            <a:ext uri="{FF2B5EF4-FFF2-40B4-BE49-F238E27FC236}">
              <a16:creationId xmlns:a16="http://schemas.microsoft.com/office/drawing/2014/main" id="{00000000-0008-0000-0200-000003000000}"/>
            </a:ext>
            <a:ext uri="{C183D7F6-B498-43B3-948B-1728B52AA6E4}">
              <adec:decorative xmlns:adec="http://schemas.microsoft.com/office/drawing/2017/decorative" val="1"/>
            </a:ext>
          </a:extLst>
        </xdr:cNvPr>
        <xdr:cNvSpPr/>
      </xdr:nvSpPr>
      <xdr:spPr>
        <a:xfrm>
          <a:off x="19050" y="1019175"/>
          <a:ext cx="1485900" cy="285750"/>
        </a:xfrm>
        <a:prstGeom prst="roundRect">
          <a:avLst/>
        </a:prstGeom>
        <a:noFill/>
        <a:ln w="285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941E5E5-AD62-4447-BE9D-1F8C0684A135}" type="TxLink">
            <a:rPr lang="en-US" sz="1200" b="1" i="0" u="none" strike="noStrike">
              <a:solidFill>
                <a:srgbClr val="000000"/>
              </a:solidFill>
              <a:latin typeface="Arial"/>
              <a:cs typeface="Arial"/>
            </a:rPr>
            <a:pPr algn="ctr"/>
            <a:t>September 2023</a:t>
          </a:fld>
          <a:endParaRPr lang="en-US" sz="1100"/>
        </a:p>
      </xdr:txBody>
    </xdr:sp>
    <xdr:clientData/>
  </xdr:twoCellAnchor>
  <xdr:twoCellAnchor editAs="absolute">
    <xdr:from>
      <xdr:col>3</xdr:col>
      <xdr:colOff>2231329</xdr:colOff>
      <xdr:row>1</xdr:row>
      <xdr:rowOff>62865</xdr:rowOff>
    </xdr:from>
    <xdr:to>
      <xdr:col>4</xdr:col>
      <xdr:colOff>859398</xdr:colOff>
      <xdr:row>3</xdr:row>
      <xdr:rowOff>20828</xdr:rowOff>
    </xdr:to>
    <xdr:sp macro="" textlink="">
      <xdr:nvSpPr>
        <xdr:cNvPr id="20" name="B HOME PAGE">
          <a:hlinkClick xmlns:r="http://schemas.openxmlformats.org/officeDocument/2006/relationships" r:id="rId6" tooltip="Back to Dashboard Page"/>
          <a:extLst>
            <a:ext uri="{FF2B5EF4-FFF2-40B4-BE49-F238E27FC236}">
              <a16:creationId xmlns:a16="http://schemas.microsoft.com/office/drawing/2014/main" id="{00000000-0008-0000-0200-000014000000}"/>
            </a:ext>
          </a:extLst>
        </xdr:cNvPr>
        <xdr:cNvSpPr/>
      </xdr:nvSpPr>
      <xdr:spPr>
        <a:xfrm>
          <a:off x="4074643" y="84092"/>
          <a:ext cx="1006416" cy="473765"/>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12</xdr:col>
      <xdr:colOff>553999</xdr:colOff>
      <xdr:row>1</xdr:row>
      <xdr:rowOff>62865</xdr:rowOff>
    </xdr:from>
    <xdr:to>
      <xdr:col>13</xdr:col>
      <xdr:colOff>402968</xdr:colOff>
      <xdr:row>3</xdr:row>
      <xdr:rowOff>20828</xdr:rowOff>
    </xdr:to>
    <xdr:sp macro="" textlink="">
      <xdr:nvSpPr>
        <xdr:cNvPr id="21" name="B ALL DATA PAGE">
          <a:hlinkClick xmlns:r="http://schemas.openxmlformats.org/officeDocument/2006/relationships" r:id="rId7" tooltip="Back to All Data Page"/>
          <a:extLst>
            <a:ext uri="{FF2B5EF4-FFF2-40B4-BE49-F238E27FC236}">
              <a16:creationId xmlns:a16="http://schemas.microsoft.com/office/drawing/2014/main" id="{00000000-0008-0000-0200-000015000000}"/>
            </a:ext>
          </a:extLst>
        </xdr:cNvPr>
        <xdr:cNvSpPr/>
      </xdr:nvSpPr>
      <xdr:spPr>
        <a:xfrm>
          <a:off x="15042159" y="84092"/>
          <a:ext cx="998863" cy="473765"/>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8</xdr:col>
      <xdr:colOff>2310882</xdr:colOff>
      <xdr:row>1</xdr:row>
      <xdr:rowOff>62865</xdr:rowOff>
    </xdr:from>
    <xdr:to>
      <xdr:col>9</xdr:col>
      <xdr:colOff>839122</xdr:colOff>
      <xdr:row>3</xdr:row>
      <xdr:rowOff>20828</xdr:rowOff>
    </xdr:to>
    <xdr:sp macro="" textlink="">
      <xdr:nvSpPr>
        <xdr:cNvPr id="23" name="B AGE PAGE">
          <a:hlinkClick xmlns:r="http://schemas.openxmlformats.org/officeDocument/2006/relationships" r:id="rId8" tooltip="Back to Age &amp; Gender Page"/>
          <a:extLst>
            <a:ext uri="{FF2B5EF4-FFF2-40B4-BE49-F238E27FC236}">
              <a16:creationId xmlns:a16="http://schemas.microsoft.com/office/drawing/2014/main" id="{00000000-0008-0000-0200-000017000000}"/>
            </a:ext>
          </a:extLst>
        </xdr:cNvPr>
        <xdr:cNvSpPr/>
      </xdr:nvSpPr>
      <xdr:spPr>
        <a:xfrm>
          <a:off x="10657685" y="84092"/>
          <a:ext cx="999116" cy="4737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a:t>
          </a:r>
          <a:r>
            <a:rPr lang="en-US" sz="1100" baseline="0">
              <a:latin typeface="Arial" panose="020B0604020202020204" pitchFamily="34" charset="0"/>
              <a:cs typeface="Arial" panose="020B0604020202020204" pitchFamily="34" charset="0"/>
            </a:rPr>
            <a:t>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11</xdr:col>
      <xdr:colOff>649423</xdr:colOff>
      <xdr:row>1</xdr:row>
      <xdr:rowOff>62865</xdr:rowOff>
    </xdr:from>
    <xdr:to>
      <xdr:col>12</xdr:col>
      <xdr:colOff>479493</xdr:colOff>
      <xdr:row>3</xdr:row>
      <xdr:rowOff>20828</xdr:rowOff>
    </xdr:to>
    <xdr:sp macro="" textlink="">
      <xdr:nvSpPr>
        <xdr:cNvPr id="24" name="B TERMS PAGE">
          <a:hlinkClick xmlns:r="http://schemas.openxmlformats.org/officeDocument/2006/relationships" r:id="rId9" tooltip="Back to Appendix &amp; Terms Page"/>
          <a:extLst>
            <a:ext uri="{FF2B5EF4-FFF2-40B4-BE49-F238E27FC236}">
              <a16:creationId xmlns:a16="http://schemas.microsoft.com/office/drawing/2014/main" id="{00000000-0008-0000-0200-000018000000}"/>
            </a:ext>
          </a:extLst>
        </xdr:cNvPr>
        <xdr:cNvSpPr/>
      </xdr:nvSpPr>
      <xdr:spPr>
        <a:xfrm>
          <a:off x="13957209" y="84092"/>
          <a:ext cx="990124" cy="4737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8</xdr:col>
      <xdr:colOff>1206954</xdr:colOff>
      <xdr:row>1</xdr:row>
      <xdr:rowOff>62865</xdr:rowOff>
    </xdr:from>
    <xdr:to>
      <xdr:col>8</xdr:col>
      <xdr:colOff>2194466</xdr:colOff>
      <xdr:row>3</xdr:row>
      <xdr:rowOff>20828</xdr:rowOff>
    </xdr:to>
    <xdr:sp macro="" textlink="">
      <xdr:nvSpPr>
        <xdr:cNvPr id="25" name="B IHSS SERV PAGE">
          <a:hlinkClick xmlns:r="http://schemas.openxmlformats.org/officeDocument/2006/relationships" r:id="rId10" tooltip="Back to IHSS Services Page"/>
          <a:extLst>
            <a:ext uri="{FF2B5EF4-FFF2-40B4-BE49-F238E27FC236}">
              <a16:creationId xmlns:a16="http://schemas.microsoft.com/office/drawing/2014/main" id="{00000000-0008-0000-0200-000019000000}"/>
            </a:ext>
          </a:extLst>
        </xdr:cNvPr>
        <xdr:cNvSpPr/>
      </xdr:nvSpPr>
      <xdr:spPr>
        <a:xfrm>
          <a:off x="9563917" y="84092"/>
          <a:ext cx="998942" cy="4737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6</xdr:col>
      <xdr:colOff>519216</xdr:colOff>
      <xdr:row>1</xdr:row>
      <xdr:rowOff>62865</xdr:rowOff>
    </xdr:from>
    <xdr:to>
      <xdr:col>8</xdr:col>
      <xdr:colOff>2417</xdr:colOff>
      <xdr:row>3</xdr:row>
      <xdr:rowOff>20828</xdr:rowOff>
    </xdr:to>
    <xdr:sp macro="" textlink="">
      <xdr:nvSpPr>
        <xdr:cNvPr id="26" name="B ABD PAGE">
          <a:hlinkClick xmlns:r="http://schemas.openxmlformats.org/officeDocument/2006/relationships" r:id="rId11" tooltip="Back to Aged, Blind, or Disabled Page"/>
          <a:extLst>
            <a:ext uri="{FF2B5EF4-FFF2-40B4-BE49-F238E27FC236}">
              <a16:creationId xmlns:a16="http://schemas.microsoft.com/office/drawing/2014/main" id="{00000000-0008-0000-0200-00001A000000}"/>
            </a:ext>
          </a:extLst>
        </xdr:cNvPr>
        <xdr:cNvSpPr/>
      </xdr:nvSpPr>
      <xdr:spPr>
        <a:xfrm>
          <a:off x="7363609" y="84092"/>
          <a:ext cx="1007201" cy="4737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10</xdr:col>
      <xdr:colOff>708225</xdr:colOff>
      <xdr:row>1</xdr:row>
      <xdr:rowOff>62865</xdr:rowOff>
    </xdr:from>
    <xdr:to>
      <xdr:col>11</xdr:col>
      <xdr:colOff>554597</xdr:colOff>
      <xdr:row>3</xdr:row>
      <xdr:rowOff>20828</xdr:rowOff>
    </xdr:to>
    <xdr:sp macro="" textlink="">
      <xdr:nvSpPr>
        <xdr:cNvPr id="27" name="B PROV DET PAGE">
          <a:hlinkClick xmlns:r="http://schemas.openxmlformats.org/officeDocument/2006/relationships" r:id="rId12" tooltip="Back to Provider Page"/>
          <a:extLst>
            <a:ext uri="{FF2B5EF4-FFF2-40B4-BE49-F238E27FC236}">
              <a16:creationId xmlns:a16="http://schemas.microsoft.com/office/drawing/2014/main" id="{00000000-0008-0000-0200-00001B000000}"/>
            </a:ext>
          </a:extLst>
        </xdr:cNvPr>
        <xdr:cNvSpPr/>
      </xdr:nvSpPr>
      <xdr:spPr>
        <a:xfrm>
          <a:off x="12854686" y="84092"/>
          <a:ext cx="1007697" cy="4737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8</xdr:col>
      <xdr:colOff>97243</xdr:colOff>
      <xdr:row>1</xdr:row>
      <xdr:rowOff>62865</xdr:rowOff>
    </xdr:from>
    <xdr:to>
      <xdr:col>8</xdr:col>
      <xdr:colOff>1087998</xdr:colOff>
      <xdr:row>3</xdr:row>
      <xdr:rowOff>20828</xdr:rowOff>
    </xdr:to>
    <xdr:sp macro="" textlink="">
      <xdr:nvSpPr>
        <xdr:cNvPr id="28" name="B IHSS PROG PAGE">
          <a:hlinkClick xmlns:r="http://schemas.openxmlformats.org/officeDocument/2006/relationships" r:id="rId13" tooltip="Back to IHSS Programs Page"/>
          <a:extLst>
            <a:ext uri="{FF2B5EF4-FFF2-40B4-BE49-F238E27FC236}">
              <a16:creationId xmlns:a16="http://schemas.microsoft.com/office/drawing/2014/main" id="{00000000-0008-0000-0200-00001C000000}"/>
            </a:ext>
          </a:extLst>
        </xdr:cNvPr>
        <xdr:cNvSpPr/>
      </xdr:nvSpPr>
      <xdr:spPr>
        <a:xfrm>
          <a:off x="8465636" y="84092"/>
          <a:ext cx="1003455" cy="4737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9</xdr:col>
      <xdr:colOff>940298</xdr:colOff>
      <xdr:row>1</xdr:row>
      <xdr:rowOff>62865</xdr:rowOff>
    </xdr:from>
    <xdr:to>
      <xdr:col>10</xdr:col>
      <xdr:colOff>632449</xdr:colOff>
      <xdr:row>3</xdr:row>
      <xdr:rowOff>20828</xdr:rowOff>
    </xdr:to>
    <xdr:sp macro="" textlink="">
      <xdr:nvSpPr>
        <xdr:cNvPr id="29" name="B ETHNICITY PAGE">
          <a:hlinkClick xmlns:r="http://schemas.openxmlformats.org/officeDocument/2006/relationships" r:id="rId14" tooltip="Back to Ethnicity &amp; Language Page"/>
          <a:extLst>
            <a:ext uri="{FF2B5EF4-FFF2-40B4-BE49-F238E27FC236}">
              <a16:creationId xmlns:a16="http://schemas.microsoft.com/office/drawing/2014/main" id="{00000000-0008-0000-0200-00001D000000}"/>
            </a:ext>
          </a:extLst>
        </xdr:cNvPr>
        <xdr:cNvSpPr/>
      </xdr:nvSpPr>
      <xdr:spPr>
        <a:xfrm>
          <a:off x="11751627" y="84092"/>
          <a:ext cx="1008233" cy="4737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3</xdr:col>
      <xdr:colOff>1129393</xdr:colOff>
      <xdr:row>1</xdr:row>
      <xdr:rowOff>62865</xdr:rowOff>
    </xdr:from>
    <xdr:to>
      <xdr:col>3</xdr:col>
      <xdr:colOff>2155553</xdr:colOff>
      <xdr:row>3</xdr:row>
      <xdr:rowOff>20828</xdr:rowOff>
    </xdr:to>
    <xdr:sp macro="" textlink="">
      <xdr:nvSpPr>
        <xdr:cNvPr id="30" name="B GEN DATA PAGE">
          <a:hlinkClick xmlns:r="http://schemas.openxmlformats.org/officeDocument/2006/relationships" r:id="rId15" tooltip="Back to Navigation Page"/>
          <a:extLst>
            <a:ext uri="{FF2B5EF4-FFF2-40B4-BE49-F238E27FC236}">
              <a16:creationId xmlns:a16="http://schemas.microsoft.com/office/drawing/2014/main" id="{00000000-0008-0000-0200-00001E000000}"/>
            </a:ext>
          </a:extLst>
        </xdr:cNvPr>
        <xdr:cNvSpPr/>
      </xdr:nvSpPr>
      <xdr:spPr>
        <a:xfrm>
          <a:off x="2966357" y="84092"/>
          <a:ext cx="1013460" cy="4737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xdr:from>
      <xdr:col>2</xdr:col>
      <xdr:colOff>609599</xdr:colOff>
      <xdr:row>50</xdr:row>
      <xdr:rowOff>0</xdr:rowOff>
    </xdr:from>
    <xdr:to>
      <xdr:col>6</xdr:col>
      <xdr:colOff>1200149</xdr:colOff>
      <xdr:row>64</xdr:row>
      <xdr:rowOff>47624</xdr:rowOff>
    </xdr:to>
    <xdr:graphicFrame macro="">
      <xdr:nvGraphicFramePr>
        <xdr:cNvPr id="6" name="Chart 5" descr="Chart for Reassessment Rate. Chart's Data is in Table 7 on the current page.">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21794</xdr:colOff>
      <xdr:row>50</xdr:row>
      <xdr:rowOff>15240</xdr:rowOff>
    </xdr:from>
    <xdr:to>
      <xdr:col>11</xdr:col>
      <xdr:colOff>1128952</xdr:colOff>
      <xdr:row>64</xdr:row>
      <xdr:rowOff>30917</xdr:rowOff>
    </xdr:to>
    <xdr:graphicFrame macro="">
      <xdr:nvGraphicFramePr>
        <xdr:cNvPr id="32" name="C ETS GD" descr="Chart for Electronic Timesheet System Enrolled. Chart's Data is in Table 8 on the current page.">
          <a:extLst>
            <a:ext uri="{FF2B5EF4-FFF2-40B4-BE49-F238E27FC236}">
              <a16:creationId xmlns:a16="http://schemas.microsoft.com/office/drawing/2014/main" id="{68270647-85E6-4C3C-95B5-F45FF89E6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5</xdr:col>
      <xdr:colOff>748151</xdr:colOff>
      <xdr:row>1</xdr:row>
      <xdr:rowOff>62865</xdr:rowOff>
    </xdr:from>
    <xdr:to>
      <xdr:col>6</xdr:col>
      <xdr:colOff>442170</xdr:colOff>
      <xdr:row>3</xdr:row>
      <xdr:rowOff>20828</xdr:rowOff>
    </xdr:to>
    <xdr:sp macro="" textlink="">
      <xdr:nvSpPr>
        <xdr:cNvPr id="34" name="B GEN DATA PAGE">
          <a:hlinkClick xmlns:r="http://schemas.openxmlformats.org/officeDocument/2006/relationships" r:id="rId18" tooltip="IHSS Applicants Page (Current)"/>
          <a:extLst>
            <a:ext uri="{FF2B5EF4-FFF2-40B4-BE49-F238E27FC236}">
              <a16:creationId xmlns:a16="http://schemas.microsoft.com/office/drawing/2014/main" id="{0612CEC1-1B3D-4A97-8579-01F3E40C9E32}"/>
            </a:ext>
          </a:extLst>
        </xdr:cNvPr>
        <xdr:cNvSpPr/>
      </xdr:nvSpPr>
      <xdr:spPr>
        <a:xfrm>
          <a:off x="6269748" y="84092"/>
          <a:ext cx="999035" cy="4737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absolute">
    <xdr:from>
      <xdr:col>4</xdr:col>
      <xdr:colOff>938984</xdr:colOff>
      <xdr:row>1</xdr:row>
      <xdr:rowOff>62865</xdr:rowOff>
    </xdr:from>
    <xdr:to>
      <xdr:col>5</xdr:col>
      <xdr:colOff>630465</xdr:colOff>
      <xdr:row>3</xdr:row>
      <xdr:rowOff>20828</xdr:rowOff>
    </xdr:to>
    <xdr:sp macro="" textlink="">
      <xdr:nvSpPr>
        <xdr:cNvPr id="44" name="B GEN DATA PAGE">
          <a:hlinkClick xmlns:r="http://schemas.openxmlformats.org/officeDocument/2006/relationships" r:id="rId19" tooltip="General Data Page (Current)"/>
          <a:extLst>
            <a:ext uri="{FF2B5EF4-FFF2-40B4-BE49-F238E27FC236}">
              <a16:creationId xmlns:a16="http://schemas.microsoft.com/office/drawing/2014/main" id="{CEB87465-E595-47F1-8F92-DB47F439B107}"/>
            </a:ext>
          </a:extLst>
        </xdr:cNvPr>
        <xdr:cNvSpPr/>
      </xdr:nvSpPr>
      <xdr:spPr>
        <a:xfrm>
          <a:off x="5175885" y="84092"/>
          <a:ext cx="999037" cy="473765"/>
        </a:xfrm>
        <a:prstGeom prst="roundRect">
          <a:avLst/>
        </a:prstGeom>
        <a:solidFill>
          <a:srgbClr val="C74F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3</xdr:col>
      <xdr:colOff>0</xdr:colOff>
      <xdr:row>72</xdr:row>
      <xdr:rowOff>138430</xdr:rowOff>
    </xdr:from>
    <xdr:to>
      <xdr:col>6</xdr:col>
      <xdr:colOff>1254759</xdr:colOff>
      <xdr:row>87</xdr:row>
      <xdr:rowOff>15240</xdr:rowOff>
    </xdr:to>
    <xdr:graphicFrame macro="">
      <xdr:nvGraphicFramePr>
        <xdr:cNvPr id="22" name="C IHSS PROG IP" descr="Chart for IHSS Programs: Percent of Total Recipients. Chart's Data is in Table 2 on the current page">
          <a:extLst>
            <a:ext uri="{FF2B5EF4-FFF2-40B4-BE49-F238E27FC236}">
              <a16:creationId xmlns:a16="http://schemas.microsoft.com/office/drawing/2014/main" id="{FFC66525-4386-45AC-B07A-0D3A75C5D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8</xdr:col>
      <xdr:colOff>2539</xdr:colOff>
      <xdr:row>72</xdr:row>
      <xdr:rowOff>138430</xdr:rowOff>
    </xdr:from>
    <xdr:to>
      <xdr:col>12</xdr:col>
      <xdr:colOff>138683</xdr:colOff>
      <xdr:row>87</xdr:row>
      <xdr:rowOff>8890</xdr:rowOff>
    </xdr:to>
    <xdr:graphicFrame macro="">
      <xdr:nvGraphicFramePr>
        <xdr:cNvPr id="31" name="C IHSS PROG HOURS" descr="Chart for IHSS Programs Recipients and Avg auth Hours per Recipient. Chart's Data is in Table 2 on the current page">
          <a:extLst>
            <a:ext uri="{FF2B5EF4-FFF2-40B4-BE49-F238E27FC236}">
              <a16:creationId xmlns:a16="http://schemas.microsoft.com/office/drawing/2014/main" id="{B28967B9-0BF2-4BEF-9BDC-DEB54EE0F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8</xdr:col>
      <xdr:colOff>0</xdr:colOff>
      <xdr:row>5</xdr:row>
      <xdr:rowOff>151279</xdr:rowOff>
    </xdr:from>
    <xdr:to>
      <xdr:col>12</xdr:col>
      <xdr:colOff>0</xdr:colOff>
      <xdr:row>17</xdr:row>
      <xdr:rowOff>9264</xdr:rowOff>
    </xdr:to>
    <xdr:graphicFrame macro="">
      <xdr:nvGraphicFramePr>
        <xdr:cNvPr id="4" name="C ABD HOURS ABD" descr="Chart for Recipients: Aged, Blind, or Disabled Hours Avg. Authorized per Recipient. Chart's Data is in Table 2 on the current page.">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977265</xdr:colOff>
      <xdr:row>5</xdr:row>
      <xdr:rowOff>144929</xdr:rowOff>
    </xdr:from>
    <xdr:to>
      <xdr:col>7</xdr:col>
      <xdr:colOff>0</xdr:colOff>
      <xdr:row>17</xdr:row>
      <xdr:rowOff>9264</xdr:rowOff>
    </xdr:to>
    <xdr:graphicFrame macro="">
      <xdr:nvGraphicFramePr>
        <xdr:cNvPr id="5" name="C ABD ABD" descr="Chart for Recipients: Aged, Blind, or Disabled. Chart's Data is in Table 1 on the current page.">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0</xdr:row>
      <xdr:rowOff>0</xdr:rowOff>
    </xdr:from>
    <xdr:to>
      <xdr:col>3</xdr:col>
      <xdr:colOff>86584</xdr:colOff>
      <xdr:row>3</xdr:row>
      <xdr:rowOff>21590</xdr:rowOff>
    </xdr:to>
    <xdr:sp macro="" textlink="">
      <xdr:nvSpPr>
        <xdr:cNvPr id="44" name="B NAME ABD" descr="County Name and Link back to county selection">
          <a:hlinkClick xmlns:r="http://schemas.openxmlformats.org/officeDocument/2006/relationships" r:id="rId3" tooltip="Back to County Selection"/>
          <a:extLst>
            <a:ext uri="{FF2B5EF4-FFF2-40B4-BE49-F238E27FC236}">
              <a16:creationId xmlns:a16="http://schemas.microsoft.com/office/drawing/2014/main" id="{00000000-0008-0000-0300-00002C000000}"/>
            </a:ext>
          </a:extLst>
        </xdr:cNvPr>
        <xdr:cNvSpPr/>
      </xdr:nvSpPr>
      <xdr:spPr>
        <a:xfrm>
          <a:off x="0" y="0"/>
          <a:ext cx="2286000" cy="548640"/>
        </a:xfrm>
        <a:prstGeom prst="roundRect">
          <a:avLst/>
        </a:prstGeom>
        <a:noFill/>
        <a:ln w="12700">
          <a:solidFill>
            <a:srgbClr val="FFC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990600</xdr:colOff>
      <xdr:row>45</xdr:row>
      <xdr:rowOff>179929</xdr:rowOff>
    </xdr:from>
    <xdr:to>
      <xdr:col>7</xdr:col>
      <xdr:colOff>14605</xdr:colOff>
      <xdr:row>67</xdr:row>
      <xdr:rowOff>145131</xdr:rowOff>
    </xdr:to>
    <xdr:graphicFrame macro="">
      <xdr:nvGraphicFramePr>
        <xdr:cNvPr id="2" name="C BVI NOA ABD" descr="Chart for Recipients: Blind and Visually Impaired Notice of Action Delivery Options: Percent of total blind and visually impaired recipients. Chart's Data is in Table 4 on the current pag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14605</xdr:colOff>
      <xdr:row>45</xdr:row>
      <xdr:rowOff>179929</xdr:rowOff>
    </xdr:from>
    <xdr:to>
      <xdr:col>12</xdr:col>
      <xdr:colOff>14605</xdr:colOff>
      <xdr:row>67</xdr:row>
      <xdr:rowOff>150719</xdr:rowOff>
    </xdr:to>
    <xdr:graphicFrame macro="">
      <xdr:nvGraphicFramePr>
        <xdr:cNvPr id="3" name="C BVI TIMESHEET ABD" descr="Chart for Recipients: Blind and Visually Impaired Timesheet Delivery Options. Chart's Data is in Table 5 on the current pag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3</xdr:col>
      <xdr:colOff>1642</xdr:colOff>
      <xdr:row>26</xdr:row>
      <xdr:rowOff>188819</xdr:rowOff>
    </xdr:from>
    <xdr:to>
      <xdr:col>7</xdr:col>
      <xdr:colOff>20320</xdr:colOff>
      <xdr:row>40</xdr:row>
      <xdr:rowOff>63851</xdr:rowOff>
    </xdr:to>
    <xdr:graphicFrame macro="">
      <xdr:nvGraphicFramePr>
        <xdr:cNvPr id="6" name="C BVI ABD" descr="Chart for Recipients: Blind and Visually Impaired. Chart's Data is in Table 3 on the current page.">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20319</xdr:colOff>
      <xdr:row>5</xdr:row>
      <xdr:rowOff>177165</xdr:rowOff>
    </xdr:from>
    <xdr:to>
      <xdr:col>2</xdr:col>
      <xdr:colOff>280034</xdr:colOff>
      <xdr:row>6</xdr:row>
      <xdr:rowOff>210820</xdr:rowOff>
    </xdr:to>
    <xdr:sp macro="" textlink="Data_Date">
      <xdr:nvSpPr>
        <xdr:cNvPr id="18" name="B DATE ABD">
          <a:extLst>
            <a:ext uri="{FF2B5EF4-FFF2-40B4-BE49-F238E27FC236}">
              <a16:creationId xmlns:a16="http://schemas.microsoft.com/office/drawing/2014/main" id="{00000000-0008-0000-0300-000012000000}"/>
            </a:ext>
            <a:ext uri="{C183D7F6-B498-43B3-948B-1728B52AA6E4}">
              <adec:decorative xmlns:adec="http://schemas.microsoft.com/office/drawing/2017/decorative" val="1"/>
            </a:ext>
          </a:extLst>
        </xdr:cNvPr>
        <xdr:cNvSpPr/>
      </xdr:nvSpPr>
      <xdr:spPr>
        <a:xfrm>
          <a:off x="19049" y="1019175"/>
          <a:ext cx="1476375" cy="285750"/>
        </a:xfrm>
        <a:prstGeom prst="roundRect">
          <a:avLst/>
        </a:prstGeom>
        <a:noFill/>
        <a:ln w="285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F13CF37-57D3-475E-B67B-90E016D4E237}" type="TxLink">
            <a:rPr lang="en-US" sz="1200" b="1" i="0" u="none" strike="noStrike">
              <a:solidFill>
                <a:srgbClr val="000000"/>
              </a:solidFill>
              <a:latin typeface="Arial"/>
              <a:cs typeface="Arial"/>
            </a:rPr>
            <a:pPr algn="ctr"/>
            <a:t>September 2023</a:t>
          </a:fld>
          <a:endParaRPr lang="en-US" sz="1100"/>
        </a:p>
      </xdr:txBody>
    </xdr:sp>
    <xdr:clientData/>
  </xdr:twoCellAnchor>
  <xdr:twoCellAnchor editAs="absolute">
    <xdr:from>
      <xdr:col>3</xdr:col>
      <xdr:colOff>1850962</xdr:colOff>
      <xdr:row>1</xdr:row>
      <xdr:rowOff>62865</xdr:rowOff>
    </xdr:from>
    <xdr:to>
      <xdr:col>4</xdr:col>
      <xdr:colOff>782257</xdr:colOff>
      <xdr:row>3</xdr:row>
      <xdr:rowOff>22733</xdr:rowOff>
    </xdr:to>
    <xdr:sp macro="" textlink="">
      <xdr:nvSpPr>
        <xdr:cNvPr id="28" name="B HOME PAGE">
          <a:hlinkClick xmlns:r="http://schemas.openxmlformats.org/officeDocument/2006/relationships" r:id="rId7" tooltip="Back to Dashboard Page"/>
          <a:extLst>
            <a:ext uri="{FF2B5EF4-FFF2-40B4-BE49-F238E27FC236}">
              <a16:creationId xmlns:a16="http://schemas.microsoft.com/office/drawing/2014/main" id="{00000000-0008-0000-0300-00001C000000}"/>
            </a:ext>
          </a:extLst>
        </xdr:cNvPr>
        <xdr:cNvSpPr/>
      </xdr:nvSpPr>
      <xdr:spPr>
        <a:xfrm>
          <a:off x="4087613" y="80282"/>
          <a:ext cx="1001758" cy="471860"/>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4</xdr:col>
      <xdr:colOff>873634</xdr:colOff>
      <xdr:row>1</xdr:row>
      <xdr:rowOff>62865</xdr:rowOff>
    </xdr:from>
    <xdr:to>
      <xdr:col>5</xdr:col>
      <xdr:colOff>574549</xdr:colOff>
      <xdr:row>3</xdr:row>
      <xdr:rowOff>22733</xdr:rowOff>
    </xdr:to>
    <xdr:sp macro="" textlink="">
      <xdr:nvSpPr>
        <xdr:cNvPr id="30" name="B GEN DATA PAGE">
          <a:hlinkClick xmlns:r="http://schemas.openxmlformats.org/officeDocument/2006/relationships" r:id="rId8" tooltip="Back to General Data Page"/>
          <a:extLst>
            <a:ext uri="{FF2B5EF4-FFF2-40B4-BE49-F238E27FC236}">
              <a16:creationId xmlns:a16="http://schemas.microsoft.com/office/drawing/2014/main" id="{00000000-0008-0000-0300-00001E000000}"/>
            </a:ext>
          </a:extLst>
        </xdr:cNvPr>
        <xdr:cNvSpPr/>
      </xdr:nvSpPr>
      <xdr:spPr>
        <a:xfrm>
          <a:off x="5187098" y="80282"/>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6</xdr:col>
      <xdr:colOff>454509</xdr:colOff>
      <xdr:row>1</xdr:row>
      <xdr:rowOff>62865</xdr:rowOff>
    </xdr:from>
    <xdr:to>
      <xdr:col>7</xdr:col>
      <xdr:colOff>251945</xdr:colOff>
      <xdr:row>3</xdr:row>
      <xdr:rowOff>22733</xdr:rowOff>
    </xdr:to>
    <xdr:sp macro="" textlink="">
      <xdr:nvSpPr>
        <xdr:cNvPr id="34" name="B ABD PAGE">
          <a:hlinkClick xmlns:r="http://schemas.openxmlformats.org/officeDocument/2006/relationships" r:id="rId9" tooltip="Aged, Blind, or Disabled Page (Current)"/>
          <a:extLst>
            <a:ext uri="{FF2B5EF4-FFF2-40B4-BE49-F238E27FC236}">
              <a16:creationId xmlns:a16="http://schemas.microsoft.com/office/drawing/2014/main" id="{00000000-0008-0000-0300-000022000000}"/>
            </a:ext>
          </a:extLst>
        </xdr:cNvPr>
        <xdr:cNvSpPr/>
      </xdr:nvSpPr>
      <xdr:spPr>
        <a:xfrm>
          <a:off x="7380545" y="80282"/>
          <a:ext cx="1007201" cy="471860"/>
        </a:xfrm>
        <a:prstGeom prst="roundRect">
          <a:avLst/>
        </a:prstGeom>
        <a:solidFill>
          <a:srgbClr val="C74F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3</xdr:col>
      <xdr:colOff>748665</xdr:colOff>
      <xdr:row>1</xdr:row>
      <xdr:rowOff>62865</xdr:rowOff>
    </xdr:from>
    <xdr:to>
      <xdr:col>3</xdr:col>
      <xdr:colOff>1760855</xdr:colOff>
      <xdr:row>3</xdr:row>
      <xdr:rowOff>22733</xdr:rowOff>
    </xdr:to>
    <xdr:sp macro="" textlink="">
      <xdr:nvSpPr>
        <xdr:cNvPr id="40" name="B GEN DATA PAGE">
          <a:hlinkClick xmlns:r="http://schemas.openxmlformats.org/officeDocument/2006/relationships" r:id="rId10" tooltip="Back to Navigation Page"/>
          <a:extLst>
            <a:ext uri="{FF2B5EF4-FFF2-40B4-BE49-F238E27FC236}">
              <a16:creationId xmlns:a16="http://schemas.microsoft.com/office/drawing/2014/main" id="{00000000-0008-0000-0300-000028000000}"/>
            </a:ext>
          </a:extLst>
        </xdr:cNvPr>
        <xdr:cNvSpPr/>
      </xdr:nvSpPr>
      <xdr:spPr>
        <a:xfrm>
          <a:off x="2984046" y="80282"/>
          <a:ext cx="1005840"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13</xdr:col>
      <xdr:colOff>96436</xdr:colOff>
      <xdr:row>1</xdr:row>
      <xdr:rowOff>62865</xdr:rowOff>
    </xdr:from>
    <xdr:to>
      <xdr:col>14</xdr:col>
      <xdr:colOff>397888</xdr:colOff>
      <xdr:row>3</xdr:row>
      <xdr:rowOff>19838</xdr:rowOff>
    </xdr:to>
    <xdr:sp macro="" textlink="">
      <xdr:nvSpPr>
        <xdr:cNvPr id="21" name="B ALL DATA PAGE">
          <a:hlinkClick xmlns:r="http://schemas.openxmlformats.org/officeDocument/2006/relationships" r:id="rId11" tooltip="Back to All Data Page"/>
          <a:extLst>
            <a:ext uri="{FF2B5EF4-FFF2-40B4-BE49-F238E27FC236}">
              <a16:creationId xmlns:a16="http://schemas.microsoft.com/office/drawing/2014/main" id="{C90A9B45-8A2B-4232-8F47-C1F9F6970D47}"/>
            </a:ext>
          </a:extLst>
        </xdr:cNvPr>
        <xdr:cNvSpPr/>
      </xdr:nvSpPr>
      <xdr:spPr>
        <a:xfrm>
          <a:off x="15055766" y="80282"/>
          <a:ext cx="998863" cy="468965"/>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9</xdr:col>
      <xdr:colOff>151785</xdr:colOff>
      <xdr:row>1</xdr:row>
      <xdr:rowOff>62865</xdr:rowOff>
    </xdr:from>
    <xdr:to>
      <xdr:col>9</xdr:col>
      <xdr:colOff>1153441</xdr:colOff>
      <xdr:row>3</xdr:row>
      <xdr:rowOff>19838</xdr:rowOff>
    </xdr:to>
    <xdr:sp macro="" textlink="">
      <xdr:nvSpPr>
        <xdr:cNvPr id="22" name="B AGE PAGE">
          <a:hlinkClick xmlns:r="http://schemas.openxmlformats.org/officeDocument/2006/relationships" r:id="rId12" tooltip="Back to Age &amp; Gender Page"/>
          <a:extLst>
            <a:ext uri="{FF2B5EF4-FFF2-40B4-BE49-F238E27FC236}">
              <a16:creationId xmlns:a16="http://schemas.microsoft.com/office/drawing/2014/main" id="{6F5BB765-98A5-4CA2-AC1B-57D3AF7F3D4B}"/>
            </a:ext>
          </a:extLst>
        </xdr:cNvPr>
        <xdr:cNvSpPr/>
      </xdr:nvSpPr>
      <xdr:spPr>
        <a:xfrm>
          <a:off x="10670106" y="80282"/>
          <a:ext cx="999116"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a:t>
          </a:r>
          <a:r>
            <a:rPr lang="en-US" sz="1100" baseline="0">
              <a:latin typeface="Arial" panose="020B0604020202020204" pitchFamily="34" charset="0"/>
              <a:cs typeface="Arial" panose="020B0604020202020204" pitchFamily="34" charset="0"/>
            </a:rPr>
            <a:t>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11</xdr:col>
      <xdr:colOff>831682</xdr:colOff>
      <xdr:row>1</xdr:row>
      <xdr:rowOff>62865</xdr:rowOff>
    </xdr:from>
    <xdr:to>
      <xdr:col>13</xdr:col>
      <xdr:colOff>989</xdr:colOff>
      <xdr:row>3</xdr:row>
      <xdr:rowOff>19838</xdr:rowOff>
    </xdr:to>
    <xdr:sp macro="" textlink="">
      <xdr:nvSpPr>
        <xdr:cNvPr id="23" name="B TERMS PAGE">
          <a:hlinkClick xmlns:r="http://schemas.openxmlformats.org/officeDocument/2006/relationships" r:id="rId13" tooltip="Back to Appendix &amp; Terms Page"/>
          <a:extLst>
            <a:ext uri="{FF2B5EF4-FFF2-40B4-BE49-F238E27FC236}">
              <a16:creationId xmlns:a16="http://schemas.microsoft.com/office/drawing/2014/main" id="{49092CCA-D238-4026-BA40-3249ABD95AD1}"/>
            </a:ext>
          </a:extLst>
        </xdr:cNvPr>
        <xdr:cNvSpPr/>
      </xdr:nvSpPr>
      <xdr:spPr>
        <a:xfrm>
          <a:off x="13965115" y="80282"/>
          <a:ext cx="990124"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8</xdr:col>
      <xdr:colOff>1141414</xdr:colOff>
      <xdr:row>1</xdr:row>
      <xdr:rowOff>62865</xdr:rowOff>
    </xdr:from>
    <xdr:to>
      <xdr:col>9</xdr:col>
      <xdr:colOff>59734</xdr:colOff>
      <xdr:row>3</xdr:row>
      <xdr:rowOff>19838</xdr:rowOff>
    </xdr:to>
    <xdr:sp macro="" textlink="">
      <xdr:nvSpPr>
        <xdr:cNvPr id="24" name="B IHSS SERV PAGE">
          <a:hlinkClick xmlns:r="http://schemas.openxmlformats.org/officeDocument/2006/relationships" r:id="rId14" tooltip="Back to IHSS Services Page"/>
          <a:extLst>
            <a:ext uri="{FF2B5EF4-FFF2-40B4-BE49-F238E27FC236}">
              <a16:creationId xmlns:a16="http://schemas.microsoft.com/office/drawing/2014/main" id="{37A1C00F-B406-4CB3-A7A3-831DA0F5DEE5}"/>
            </a:ext>
          </a:extLst>
        </xdr:cNvPr>
        <xdr:cNvSpPr/>
      </xdr:nvSpPr>
      <xdr:spPr>
        <a:xfrm>
          <a:off x="9577843" y="80282"/>
          <a:ext cx="998942"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10</xdr:col>
      <xdr:colOff>1044570</xdr:colOff>
      <xdr:row>1</xdr:row>
      <xdr:rowOff>62865</xdr:rowOff>
    </xdr:from>
    <xdr:to>
      <xdr:col>11</xdr:col>
      <xdr:colOff>748521</xdr:colOff>
      <xdr:row>3</xdr:row>
      <xdr:rowOff>19838</xdr:rowOff>
    </xdr:to>
    <xdr:sp macro="" textlink="">
      <xdr:nvSpPr>
        <xdr:cNvPr id="26" name="B PROV DET PAGE">
          <a:hlinkClick xmlns:r="http://schemas.openxmlformats.org/officeDocument/2006/relationships" r:id="rId15" tooltip="Back to Provider Page"/>
          <a:extLst>
            <a:ext uri="{FF2B5EF4-FFF2-40B4-BE49-F238E27FC236}">
              <a16:creationId xmlns:a16="http://schemas.microsoft.com/office/drawing/2014/main" id="{7209B749-0B0E-4BB4-BB88-450FC4D8332A}"/>
            </a:ext>
          </a:extLst>
        </xdr:cNvPr>
        <xdr:cNvSpPr/>
      </xdr:nvSpPr>
      <xdr:spPr>
        <a:xfrm>
          <a:off x="12864097" y="80282"/>
          <a:ext cx="1007697"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8</xdr:col>
      <xdr:colOff>47178</xdr:colOff>
      <xdr:row>1</xdr:row>
      <xdr:rowOff>62865</xdr:rowOff>
    </xdr:from>
    <xdr:to>
      <xdr:col>8</xdr:col>
      <xdr:colOff>1049363</xdr:colOff>
      <xdr:row>3</xdr:row>
      <xdr:rowOff>19838</xdr:rowOff>
    </xdr:to>
    <xdr:sp macro="" textlink="">
      <xdr:nvSpPr>
        <xdr:cNvPr id="27" name="B IHSS PROG PAGE">
          <a:hlinkClick xmlns:r="http://schemas.openxmlformats.org/officeDocument/2006/relationships" r:id="rId16" tooltip="Back to IHSS Programs Page"/>
          <a:extLst>
            <a:ext uri="{FF2B5EF4-FFF2-40B4-BE49-F238E27FC236}">
              <a16:creationId xmlns:a16="http://schemas.microsoft.com/office/drawing/2014/main" id="{A6D4C10B-111D-48B6-BF99-A44D872E9FBD}"/>
            </a:ext>
          </a:extLst>
        </xdr:cNvPr>
        <xdr:cNvSpPr/>
      </xdr:nvSpPr>
      <xdr:spPr>
        <a:xfrm>
          <a:off x="8481067" y="80282"/>
          <a:ext cx="100345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9</xdr:col>
      <xdr:colOff>1239142</xdr:colOff>
      <xdr:row>1</xdr:row>
      <xdr:rowOff>62865</xdr:rowOff>
    </xdr:from>
    <xdr:to>
      <xdr:col>10</xdr:col>
      <xdr:colOff>943629</xdr:colOff>
      <xdr:row>3</xdr:row>
      <xdr:rowOff>19838</xdr:rowOff>
    </xdr:to>
    <xdr:sp macro="" textlink="">
      <xdr:nvSpPr>
        <xdr:cNvPr id="35" name="B ETHNICITY PAGE">
          <a:hlinkClick xmlns:r="http://schemas.openxmlformats.org/officeDocument/2006/relationships" r:id="rId17" tooltip="Back to Ethnicity &amp; Language Page"/>
          <a:extLst>
            <a:ext uri="{FF2B5EF4-FFF2-40B4-BE49-F238E27FC236}">
              <a16:creationId xmlns:a16="http://schemas.microsoft.com/office/drawing/2014/main" id="{615EA3B9-2764-4F19-8C3F-06DE27C1E80E}"/>
            </a:ext>
          </a:extLst>
        </xdr:cNvPr>
        <xdr:cNvSpPr/>
      </xdr:nvSpPr>
      <xdr:spPr>
        <a:xfrm>
          <a:off x="11762543" y="80282"/>
          <a:ext cx="1008233"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5</xdr:col>
      <xdr:colOff>669709</xdr:colOff>
      <xdr:row>1</xdr:row>
      <xdr:rowOff>62865</xdr:rowOff>
    </xdr:from>
    <xdr:to>
      <xdr:col>6</xdr:col>
      <xdr:colOff>368808</xdr:colOff>
      <xdr:row>3</xdr:row>
      <xdr:rowOff>19838</xdr:rowOff>
    </xdr:to>
    <xdr:sp macro="" textlink="">
      <xdr:nvSpPr>
        <xdr:cNvPr id="41" name="B GEN DATA PAGE">
          <a:hlinkClick xmlns:r="http://schemas.openxmlformats.org/officeDocument/2006/relationships" r:id="rId18" tooltip="IHSS Applicants Page (Current)"/>
          <a:extLst>
            <a:ext uri="{FF2B5EF4-FFF2-40B4-BE49-F238E27FC236}">
              <a16:creationId xmlns:a16="http://schemas.microsoft.com/office/drawing/2014/main" id="{1A24AF73-7DD6-4428-A09B-762E7183A520}"/>
            </a:ext>
          </a:extLst>
        </xdr:cNvPr>
        <xdr:cNvSpPr/>
      </xdr:nvSpPr>
      <xdr:spPr>
        <a:xfrm>
          <a:off x="6288189" y="80282"/>
          <a:ext cx="99903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764241</xdr:colOff>
      <xdr:row>3</xdr:row>
      <xdr:rowOff>21179</xdr:rowOff>
    </xdr:to>
    <xdr:sp macro="" textlink="">
      <xdr:nvSpPr>
        <xdr:cNvPr id="34" name="B NAME IP" descr="County Name and Link back to county selection">
          <a:hlinkClick xmlns:r="http://schemas.openxmlformats.org/officeDocument/2006/relationships" r:id="rId1" tooltip="Back to County Selection"/>
          <a:extLst>
            <a:ext uri="{FF2B5EF4-FFF2-40B4-BE49-F238E27FC236}">
              <a16:creationId xmlns:a16="http://schemas.microsoft.com/office/drawing/2014/main" id="{00000000-0008-0000-0400-000022000000}"/>
            </a:ext>
          </a:extLst>
        </xdr:cNvPr>
        <xdr:cNvSpPr/>
      </xdr:nvSpPr>
      <xdr:spPr>
        <a:xfrm>
          <a:off x="0" y="0"/>
          <a:ext cx="2286000" cy="548640"/>
        </a:xfrm>
        <a:prstGeom prst="round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21590</xdr:colOff>
      <xdr:row>6</xdr:row>
      <xdr:rowOff>23084</xdr:rowOff>
    </xdr:from>
    <xdr:to>
      <xdr:col>2</xdr:col>
      <xdr:colOff>254448</xdr:colOff>
      <xdr:row>7</xdr:row>
      <xdr:rowOff>21590</xdr:rowOff>
    </xdr:to>
    <xdr:sp macro="" textlink="Data_Date">
      <xdr:nvSpPr>
        <xdr:cNvPr id="15" name="B DATE IP">
          <a:extLst>
            <a:ext uri="{FF2B5EF4-FFF2-40B4-BE49-F238E27FC236}">
              <a16:creationId xmlns:a16="http://schemas.microsoft.com/office/drawing/2014/main" id="{00000000-0008-0000-0400-00000F000000}"/>
            </a:ext>
          </a:extLst>
        </xdr:cNvPr>
        <xdr:cNvSpPr/>
      </xdr:nvSpPr>
      <xdr:spPr>
        <a:xfrm>
          <a:off x="19050" y="1017494"/>
          <a:ext cx="1390650" cy="285750"/>
        </a:xfrm>
        <a:prstGeom prst="roundRect">
          <a:avLst/>
        </a:prstGeom>
        <a:noFill/>
        <a:ln w="285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91C5D5A-7A05-42F8-A81C-A37CABC66EEF}" type="TxLink">
            <a:rPr lang="en-US" sz="1200" b="1" i="0" u="none" strike="noStrike">
              <a:solidFill>
                <a:srgbClr val="000000"/>
              </a:solidFill>
              <a:latin typeface="Arial"/>
              <a:cs typeface="Arial"/>
            </a:rPr>
            <a:pPr algn="ctr"/>
            <a:t>September 2023</a:t>
          </a:fld>
          <a:endParaRPr lang="en-US" sz="1100"/>
        </a:p>
      </xdr:txBody>
    </xdr:sp>
    <xdr:clientData/>
  </xdr:twoCellAnchor>
  <xdr:twoCellAnchor editAs="absolute">
    <xdr:from>
      <xdr:col>4</xdr:col>
      <xdr:colOff>304338</xdr:colOff>
      <xdr:row>1</xdr:row>
      <xdr:rowOff>57785</xdr:rowOff>
    </xdr:from>
    <xdr:to>
      <xdr:col>5</xdr:col>
      <xdr:colOff>229781</xdr:colOff>
      <xdr:row>3</xdr:row>
      <xdr:rowOff>24003</xdr:rowOff>
    </xdr:to>
    <xdr:sp macro="" textlink="">
      <xdr:nvSpPr>
        <xdr:cNvPr id="27" name="B HOME PAGE">
          <a:hlinkClick xmlns:r="http://schemas.openxmlformats.org/officeDocument/2006/relationships" r:id="rId2" tooltip="Back to Dashboard Page"/>
          <a:extLst>
            <a:ext uri="{FF2B5EF4-FFF2-40B4-BE49-F238E27FC236}">
              <a16:creationId xmlns:a16="http://schemas.microsoft.com/office/drawing/2014/main" id="{00000000-0008-0000-0400-00001B000000}"/>
            </a:ext>
          </a:extLst>
        </xdr:cNvPr>
        <xdr:cNvSpPr/>
      </xdr:nvSpPr>
      <xdr:spPr>
        <a:xfrm>
          <a:off x="4066686" y="80282"/>
          <a:ext cx="1005840" cy="471860"/>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effectLst/>
              <a:latin typeface="Arial" panose="020B0604020202020204" pitchFamily="34" charset="0"/>
              <a:cs typeface="Arial" panose="020B0604020202020204" pitchFamily="34" charset="0"/>
            </a:rPr>
            <a:t>Dashboard</a:t>
          </a:r>
        </a:p>
      </xdr:txBody>
    </xdr:sp>
    <xdr:clientData/>
  </xdr:twoCellAnchor>
  <xdr:twoCellAnchor editAs="absolute">
    <xdr:from>
      <xdr:col>5</xdr:col>
      <xdr:colOff>305220</xdr:colOff>
      <xdr:row>1</xdr:row>
      <xdr:rowOff>57785</xdr:rowOff>
    </xdr:from>
    <xdr:to>
      <xdr:col>6</xdr:col>
      <xdr:colOff>172804</xdr:colOff>
      <xdr:row>3</xdr:row>
      <xdr:rowOff>24003</xdr:rowOff>
    </xdr:to>
    <xdr:sp macro="" textlink="">
      <xdr:nvSpPr>
        <xdr:cNvPr id="29" name="B GEN DATA PAGE">
          <a:hlinkClick xmlns:r="http://schemas.openxmlformats.org/officeDocument/2006/relationships" r:id="rId3" tooltip="Back to General Data Page"/>
          <a:extLst>
            <a:ext uri="{FF2B5EF4-FFF2-40B4-BE49-F238E27FC236}">
              <a16:creationId xmlns:a16="http://schemas.microsoft.com/office/drawing/2014/main" id="{00000000-0008-0000-0400-00001D000000}"/>
            </a:ext>
          </a:extLst>
        </xdr:cNvPr>
        <xdr:cNvSpPr/>
      </xdr:nvSpPr>
      <xdr:spPr>
        <a:xfrm>
          <a:off x="5167015" y="80282"/>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General Data</a:t>
          </a:r>
        </a:p>
      </xdr:txBody>
    </xdr:sp>
    <xdr:clientData/>
  </xdr:twoCellAnchor>
  <xdr:twoCellAnchor editAs="absolute">
    <xdr:from>
      <xdr:col>7</xdr:col>
      <xdr:colOff>291050</xdr:colOff>
      <xdr:row>1</xdr:row>
      <xdr:rowOff>57785</xdr:rowOff>
    </xdr:from>
    <xdr:to>
      <xdr:col>8</xdr:col>
      <xdr:colOff>251206</xdr:colOff>
      <xdr:row>3</xdr:row>
      <xdr:rowOff>24003</xdr:rowOff>
    </xdr:to>
    <xdr:sp macro="" textlink="">
      <xdr:nvSpPr>
        <xdr:cNvPr id="33" name="B ABD PAGE">
          <a:hlinkClick xmlns:r="http://schemas.openxmlformats.org/officeDocument/2006/relationships" r:id="rId4" tooltip="Back to Aged, Blind, or Disabled Page"/>
          <a:extLst>
            <a:ext uri="{FF2B5EF4-FFF2-40B4-BE49-F238E27FC236}">
              <a16:creationId xmlns:a16="http://schemas.microsoft.com/office/drawing/2014/main" id="{00000000-0008-0000-0400-000021000000}"/>
            </a:ext>
          </a:extLst>
        </xdr:cNvPr>
        <xdr:cNvSpPr/>
      </xdr:nvSpPr>
      <xdr:spPr>
        <a:xfrm>
          <a:off x="7362229" y="80282"/>
          <a:ext cx="1007201"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Aged,</a:t>
          </a:r>
          <a:r>
            <a:rPr lang="en-US" sz="1100" baseline="0">
              <a:latin typeface="Arial" panose="020B0604020202020204" pitchFamily="34" charset="0"/>
              <a:cs typeface="Arial" panose="020B0604020202020204" pitchFamily="34" charset="0"/>
            </a:rPr>
            <a:t> Blind, or Disabled</a:t>
          </a:r>
          <a:endParaRPr lang="en-US" sz="1100">
            <a:latin typeface="Arial" panose="020B0604020202020204" pitchFamily="34" charset="0"/>
            <a:cs typeface="Arial" panose="020B0604020202020204" pitchFamily="34" charset="0"/>
          </a:endParaRPr>
        </a:p>
        <a:p>
          <a:pPr algn="ctr"/>
          <a:endParaRPr lang="en-US" sz="1100">
            <a:latin typeface="Arial" panose="020B0604020202020204" pitchFamily="34" charset="0"/>
            <a:cs typeface="Arial" panose="020B0604020202020204" pitchFamily="34" charset="0"/>
          </a:endParaRPr>
        </a:p>
      </xdr:txBody>
    </xdr:sp>
    <xdr:clientData/>
  </xdr:twoCellAnchor>
  <xdr:twoCellAnchor editAs="absolute">
    <xdr:from>
      <xdr:col>8</xdr:col>
      <xdr:colOff>327915</xdr:colOff>
      <xdr:row>1</xdr:row>
      <xdr:rowOff>57785</xdr:rowOff>
    </xdr:from>
    <xdr:to>
      <xdr:col>9</xdr:col>
      <xdr:colOff>213806</xdr:colOff>
      <xdr:row>3</xdr:row>
      <xdr:rowOff>24003</xdr:rowOff>
    </xdr:to>
    <xdr:sp macro="" textlink="">
      <xdr:nvSpPr>
        <xdr:cNvPr id="36" name="B IHSS PROG PAGE">
          <a:hlinkClick xmlns:r="http://schemas.openxmlformats.org/officeDocument/2006/relationships" r:id="rId5" tooltip="IHSS Programs Page (Current)"/>
          <a:extLst>
            <a:ext uri="{FF2B5EF4-FFF2-40B4-BE49-F238E27FC236}">
              <a16:creationId xmlns:a16="http://schemas.microsoft.com/office/drawing/2014/main" id="{00000000-0008-0000-0400-000024000000}"/>
            </a:ext>
          </a:extLst>
        </xdr:cNvPr>
        <xdr:cNvSpPr/>
      </xdr:nvSpPr>
      <xdr:spPr>
        <a:xfrm>
          <a:off x="8463919" y="80282"/>
          <a:ext cx="1003118" cy="471860"/>
        </a:xfrm>
        <a:prstGeom prst="roundRect">
          <a:avLst/>
        </a:prstGeom>
        <a:solidFill>
          <a:srgbClr val="C74F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Program Equity</a:t>
          </a:r>
        </a:p>
      </xdr:txBody>
    </xdr:sp>
    <xdr:clientData/>
  </xdr:twoCellAnchor>
  <xdr:twoCellAnchor editAs="absolute">
    <xdr:from>
      <xdr:col>3</xdr:col>
      <xdr:colOff>1447837</xdr:colOff>
      <xdr:row>1</xdr:row>
      <xdr:rowOff>57785</xdr:rowOff>
    </xdr:from>
    <xdr:to>
      <xdr:col>4</xdr:col>
      <xdr:colOff>254299</xdr:colOff>
      <xdr:row>3</xdr:row>
      <xdr:rowOff>24003</xdr:rowOff>
    </xdr:to>
    <xdr:sp macro="" textlink="">
      <xdr:nvSpPr>
        <xdr:cNvPr id="38" name="B GEN DATA PAGE">
          <a:hlinkClick xmlns:r="http://schemas.openxmlformats.org/officeDocument/2006/relationships" r:id="rId6" tooltip="Back to Navigation Page"/>
          <a:extLst>
            <a:ext uri="{FF2B5EF4-FFF2-40B4-BE49-F238E27FC236}">
              <a16:creationId xmlns:a16="http://schemas.microsoft.com/office/drawing/2014/main" id="{00000000-0008-0000-0400-000026000000}"/>
            </a:ext>
          </a:extLst>
        </xdr:cNvPr>
        <xdr:cNvSpPr/>
      </xdr:nvSpPr>
      <xdr:spPr>
        <a:xfrm>
          <a:off x="2970439" y="80282"/>
          <a:ext cx="1001758" cy="47186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Navigation</a:t>
          </a:r>
        </a:p>
      </xdr:txBody>
    </xdr:sp>
    <xdr:clientData/>
  </xdr:twoCellAnchor>
  <xdr:twoCellAnchor editAs="absolute">
    <xdr:from>
      <xdr:col>13</xdr:col>
      <xdr:colOff>917215</xdr:colOff>
      <xdr:row>1</xdr:row>
      <xdr:rowOff>57785</xdr:rowOff>
    </xdr:from>
    <xdr:to>
      <xdr:col>14</xdr:col>
      <xdr:colOff>800238</xdr:colOff>
      <xdr:row>3</xdr:row>
      <xdr:rowOff>21108</xdr:rowOff>
    </xdr:to>
    <xdr:sp macro="" textlink="">
      <xdr:nvSpPr>
        <xdr:cNvPr id="21" name="B ALL DATA PAGE">
          <a:hlinkClick xmlns:r="http://schemas.openxmlformats.org/officeDocument/2006/relationships" r:id="rId7" tooltip="Back to All Data Page"/>
          <a:extLst>
            <a:ext uri="{FF2B5EF4-FFF2-40B4-BE49-F238E27FC236}">
              <a16:creationId xmlns:a16="http://schemas.microsoft.com/office/drawing/2014/main" id="{D843F25B-9F92-49B9-8F56-6FD6B20A45FF}"/>
            </a:ext>
          </a:extLst>
        </xdr:cNvPr>
        <xdr:cNvSpPr/>
      </xdr:nvSpPr>
      <xdr:spPr>
        <a:xfrm>
          <a:off x="15038078" y="80282"/>
          <a:ext cx="998863" cy="468965"/>
        </a:xfrm>
        <a:prstGeom prst="roundRect">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All</a:t>
          </a:r>
          <a:r>
            <a:rPr lang="en-US" sz="1100" baseline="0">
              <a:latin typeface="Arial" panose="020B0604020202020204" pitchFamily="34" charset="0"/>
              <a:cs typeface="Arial" panose="020B0604020202020204" pitchFamily="34" charset="0"/>
            </a:rPr>
            <a:t> Data</a:t>
          </a:r>
          <a:endParaRPr lang="en-US" sz="1100">
            <a:latin typeface="Arial" panose="020B0604020202020204" pitchFamily="34" charset="0"/>
            <a:cs typeface="Arial" panose="020B0604020202020204" pitchFamily="34" charset="0"/>
          </a:endParaRPr>
        </a:p>
      </xdr:txBody>
    </xdr:sp>
    <xdr:clientData/>
  </xdr:twoCellAnchor>
  <xdr:twoCellAnchor editAs="absolute">
    <xdr:from>
      <xdr:col>10</xdr:col>
      <xdr:colOff>991453</xdr:colOff>
      <xdr:row>1</xdr:row>
      <xdr:rowOff>57785</xdr:rowOff>
    </xdr:from>
    <xdr:to>
      <xdr:col>10</xdr:col>
      <xdr:colOff>2004539</xdr:colOff>
      <xdr:row>3</xdr:row>
      <xdr:rowOff>21108</xdr:rowOff>
    </xdr:to>
    <xdr:sp macro="" textlink="">
      <xdr:nvSpPr>
        <xdr:cNvPr id="22" name="B AGE PAGE">
          <a:hlinkClick xmlns:r="http://schemas.openxmlformats.org/officeDocument/2006/relationships" r:id="rId8" tooltip="Back to Age &amp; Gender Page"/>
          <a:extLst>
            <a:ext uri="{FF2B5EF4-FFF2-40B4-BE49-F238E27FC236}">
              <a16:creationId xmlns:a16="http://schemas.microsoft.com/office/drawing/2014/main" id="{9D0A852E-08CE-4A2E-8B79-AE2F71126C2B}"/>
            </a:ext>
          </a:extLst>
        </xdr:cNvPr>
        <xdr:cNvSpPr/>
      </xdr:nvSpPr>
      <xdr:spPr>
        <a:xfrm>
          <a:off x="10654957" y="80282"/>
          <a:ext cx="999116"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Age</a:t>
          </a:r>
          <a:r>
            <a:rPr lang="en-US" sz="1100" baseline="0">
              <a:latin typeface="Arial" panose="020B0604020202020204" pitchFamily="34" charset="0"/>
              <a:cs typeface="Arial" panose="020B0604020202020204" pitchFamily="34" charset="0"/>
            </a:rPr>
            <a:t> &amp; </a:t>
          </a:r>
          <a:r>
            <a:rPr lang="en-US" sz="1100">
              <a:latin typeface="Arial" panose="020B0604020202020204" pitchFamily="34" charset="0"/>
              <a:cs typeface="Arial" panose="020B0604020202020204" pitchFamily="34" charset="0"/>
            </a:rPr>
            <a:t>Gender</a:t>
          </a:r>
        </a:p>
      </xdr:txBody>
    </xdr:sp>
    <xdr:clientData/>
  </xdr:twoCellAnchor>
  <xdr:twoCellAnchor editAs="absolute">
    <xdr:from>
      <xdr:col>12</xdr:col>
      <xdr:colOff>899482</xdr:colOff>
      <xdr:row>1</xdr:row>
      <xdr:rowOff>57785</xdr:rowOff>
    </xdr:from>
    <xdr:to>
      <xdr:col>13</xdr:col>
      <xdr:colOff>840511</xdr:colOff>
      <xdr:row>3</xdr:row>
      <xdr:rowOff>21108</xdr:rowOff>
    </xdr:to>
    <xdr:sp macro="" textlink="">
      <xdr:nvSpPr>
        <xdr:cNvPr id="23" name="B TERMS PAGE">
          <a:hlinkClick xmlns:r="http://schemas.openxmlformats.org/officeDocument/2006/relationships" r:id="rId9" tooltip="Back to Appendix &amp; Terms Page"/>
          <a:extLst>
            <a:ext uri="{FF2B5EF4-FFF2-40B4-BE49-F238E27FC236}">
              <a16:creationId xmlns:a16="http://schemas.microsoft.com/office/drawing/2014/main" id="{CC99101A-B3D2-4F70-B25A-CDC61F1A7E21}"/>
            </a:ext>
          </a:extLst>
        </xdr:cNvPr>
        <xdr:cNvSpPr/>
      </xdr:nvSpPr>
      <xdr:spPr>
        <a:xfrm>
          <a:off x="13953470" y="80282"/>
          <a:ext cx="990124"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Arial" panose="020B0604020202020204" pitchFamily="34" charset="0"/>
              <a:ea typeface="+mn-ea"/>
              <a:cs typeface="Arial" panose="020B0604020202020204" pitchFamily="34" charset="0"/>
            </a:rPr>
            <a:t>Appendix &amp;</a:t>
          </a:r>
          <a:r>
            <a:rPr lang="en-US" sz="1100" baseline="0">
              <a:solidFill>
                <a:schemeClr val="lt1"/>
              </a:solidFill>
              <a:effectLst/>
              <a:latin typeface="Arial" panose="020B0604020202020204" pitchFamily="34" charset="0"/>
              <a:ea typeface="+mn-ea"/>
              <a:cs typeface="Arial" panose="020B0604020202020204" pitchFamily="34" charset="0"/>
            </a:rPr>
            <a:t> Terms</a:t>
          </a:r>
          <a:endParaRPr lang="en-US" sz="1100">
            <a:effectLst/>
            <a:latin typeface="Arial" panose="020B0604020202020204" pitchFamily="34" charset="0"/>
            <a:cs typeface="Arial" panose="020B0604020202020204" pitchFamily="34" charset="0"/>
          </a:endParaRPr>
        </a:p>
      </xdr:txBody>
    </xdr:sp>
    <xdr:clientData/>
  </xdr:twoCellAnchor>
  <xdr:twoCellAnchor editAs="absolute">
    <xdr:from>
      <xdr:col>9</xdr:col>
      <xdr:colOff>324805</xdr:colOff>
      <xdr:row>1</xdr:row>
      <xdr:rowOff>57785</xdr:rowOff>
    </xdr:from>
    <xdr:to>
      <xdr:col>10</xdr:col>
      <xdr:colOff>797445</xdr:colOff>
      <xdr:row>3</xdr:row>
      <xdr:rowOff>21108</xdr:rowOff>
    </xdr:to>
    <xdr:sp macro="" textlink="">
      <xdr:nvSpPr>
        <xdr:cNvPr id="24" name="B IHSS SERV PAGE">
          <a:hlinkClick xmlns:r="http://schemas.openxmlformats.org/officeDocument/2006/relationships" r:id="rId10" tooltip="Back to IHSS Services Page"/>
          <a:extLst>
            <a:ext uri="{FF2B5EF4-FFF2-40B4-BE49-F238E27FC236}">
              <a16:creationId xmlns:a16="http://schemas.microsoft.com/office/drawing/2014/main" id="{14B6C126-9CEC-45A2-8A31-A4E95227D10D}"/>
            </a:ext>
          </a:extLst>
        </xdr:cNvPr>
        <xdr:cNvSpPr/>
      </xdr:nvSpPr>
      <xdr:spPr>
        <a:xfrm>
          <a:off x="9561526" y="80282"/>
          <a:ext cx="998942"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Services</a:t>
          </a:r>
        </a:p>
      </xdr:txBody>
    </xdr:sp>
    <xdr:clientData/>
  </xdr:twoCellAnchor>
  <xdr:twoCellAnchor editAs="absolute">
    <xdr:from>
      <xdr:col>11</xdr:col>
      <xdr:colOff>859816</xdr:colOff>
      <xdr:row>1</xdr:row>
      <xdr:rowOff>57785</xdr:rowOff>
    </xdr:from>
    <xdr:to>
      <xdr:col>12</xdr:col>
      <xdr:colOff>784673</xdr:colOff>
      <xdr:row>3</xdr:row>
      <xdr:rowOff>21108</xdr:rowOff>
    </xdr:to>
    <xdr:sp macro="" textlink="">
      <xdr:nvSpPr>
        <xdr:cNvPr id="25" name="B PROV DET PAGE">
          <a:hlinkClick xmlns:r="http://schemas.openxmlformats.org/officeDocument/2006/relationships" r:id="rId11" tooltip="Back to Provider Page"/>
          <a:extLst>
            <a:ext uri="{FF2B5EF4-FFF2-40B4-BE49-F238E27FC236}">
              <a16:creationId xmlns:a16="http://schemas.microsoft.com/office/drawing/2014/main" id="{20F5DF05-677D-40D4-9ECF-F7FE8C532448}"/>
            </a:ext>
          </a:extLst>
        </xdr:cNvPr>
        <xdr:cNvSpPr/>
      </xdr:nvSpPr>
      <xdr:spPr>
        <a:xfrm>
          <a:off x="12851284" y="80282"/>
          <a:ext cx="1007697"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Provider Details</a:t>
          </a:r>
        </a:p>
      </xdr:txBody>
    </xdr:sp>
    <xdr:clientData/>
  </xdr:twoCellAnchor>
  <xdr:twoCellAnchor editAs="absolute">
    <xdr:from>
      <xdr:col>10</xdr:col>
      <xdr:colOff>2044418</xdr:colOff>
      <xdr:row>1</xdr:row>
      <xdr:rowOff>57785</xdr:rowOff>
    </xdr:from>
    <xdr:to>
      <xdr:col>11</xdr:col>
      <xdr:colOff>743737</xdr:colOff>
      <xdr:row>3</xdr:row>
      <xdr:rowOff>21108</xdr:rowOff>
    </xdr:to>
    <xdr:sp macro="" textlink="">
      <xdr:nvSpPr>
        <xdr:cNvPr id="39" name="B ETHNICITY PAGE">
          <a:hlinkClick xmlns:r="http://schemas.openxmlformats.org/officeDocument/2006/relationships" r:id="rId12" tooltip="Back to Ethnicity &amp; Language Page"/>
          <a:extLst>
            <a:ext uri="{FF2B5EF4-FFF2-40B4-BE49-F238E27FC236}">
              <a16:creationId xmlns:a16="http://schemas.microsoft.com/office/drawing/2014/main" id="{3D63DBBC-2251-4B02-96F5-A3A5ABB2BBA1}"/>
            </a:ext>
          </a:extLst>
        </xdr:cNvPr>
        <xdr:cNvSpPr/>
      </xdr:nvSpPr>
      <xdr:spPr>
        <a:xfrm>
          <a:off x="11748562" y="80282"/>
          <a:ext cx="1008233"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Ethnicity &amp; Language</a:t>
          </a:r>
        </a:p>
      </xdr:txBody>
    </xdr:sp>
    <xdr:clientData/>
  </xdr:twoCellAnchor>
  <xdr:twoCellAnchor editAs="absolute">
    <xdr:from>
      <xdr:col>6</xdr:col>
      <xdr:colOff>330793</xdr:colOff>
      <xdr:row>1</xdr:row>
      <xdr:rowOff>57785</xdr:rowOff>
    </xdr:from>
    <xdr:to>
      <xdr:col>7</xdr:col>
      <xdr:colOff>215611</xdr:colOff>
      <xdr:row>3</xdr:row>
      <xdr:rowOff>21108</xdr:rowOff>
    </xdr:to>
    <xdr:sp macro="" textlink="">
      <xdr:nvSpPr>
        <xdr:cNvPr id="40" name="B GEN DATA PAGE">
          <a:hlinkClick xmlns:r="http://schemas.openxmlformats.org/officeDocument/2006/relationships" r:id="rId13" tooltip="IHSS Applicants Page (Current)"/>
          <a:extLst>
            <a:ext uri="{FF2B5EF4-FFF2-40B4-BE49-F238E27FC236}">
              <a16:creationId xmlns:a16="http://schemas.microsoft.com/office/drawing/2014/main" id="{22A52B9B-DB4A-4155-936F-84CD71C138F9}"/>
            </a:ext>
          </a:extLst>
        </xdr:cNvPr>
        <xdr:cNvSpPr/>
      </xdr:nvSpPr>
      <xdr:spPr>
        <a:xfrm>
          <a:off x="6268705" y="80282"/>
          <a:ext cx="999035" cy="46896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Arial" panose="020B0604020202020204" pitchFamily="34" charset="0"/>
              <a:cs typeface="Arial" panose="020B0604020202020204" pitchFamily="34" charset="0"/>
            </a:rPr>
            <a:t>IHSS Applicants</a:t>
          </a:r>
        </a:p>
      </xdr:txBody>
    </xdr:sp>
    <xdr:clientData/>
  </xdr:twoCellAnchor>
  <xdr:twoCellAnchor editAs="oneCell">
    <xdr:from>
      <xdr:col>3</xdr:col>
      <xdr:colOff>23236</xdr:colOff>
      <xdr:row>7</xdr:row>
      <xdr:rowOff>100331</xdr:rowOff>
    </xdr:from>
    <xdr:to>
      <xdr:col>9</xdr:col>
      <xdr:colOff>25400</xdr:colOff>
      <xdr:row>28</xdr:row>
      <xdr:rowOff>73943</xdr:rowOff>
    </xdr:to>
    <xdr:graphicFrame macro="">
      <xdr:nvGraphicFramePr>
        <xdr:cNvPr id="19" name="Chart 18">
          <a:extLst>
            <a:ext uri="{FF2B5EF4-FFF2-40B4-BE49-F238E27FC236}">
              <a16:creationId xmlns:a16="http://schemas.microsoft.com/office/drawing/2014/main" id="{02A91C68-1158-481D-9998-A291B8FFB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478790</xdr:colOff>
      <xdr:row>7</xdr:row>
      <xdr:rowOff>96520</xdr:rowOff>
    </xdr:from>
    <xdr:to>
      <xdr:col>15</xdr:col>
      <xdr:colOff>1125220</xdr:colOff>
      <xdr:row>28</xdr:row>
      <xdr:rowOff>73943</xdr:rowOff>
    </xdr:to>
    <xdr:graphicFrame macro="">
      <xdr:nvGraphicFramePr>
        <xdr:cNvPr id="26" name="Chart 25">
          <a:extLst>
            <a:ext uri="{FF2B5EF4-FFF2-40B4-BE49-F238E27FC236}">
              <a16:creationId xmlns:a16="http://schemas.microsoft.com/office/drawing/2014/main" id="{D869D8B8-1681-43A3-AC1F-D8EC18E51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xdr:col>
      <xdr:colOff>419100</xdr:colOff>
      <xdr:row>56</xdr:row>
      <xdr:rowOff>0</xdr:rowOff>
    </xdr:from>
    <xdr:to>
      <xdr:col>9</xdr:col>
      <xdr:colOff>19944</xdr:colOff>
      <xdr:row>75</xdr:row>
      <xdr:rowOff>175259</xdr:rowOff>
    </xdr:to>
    <xdr:graphicFrame macro="">
      <xdr:nvGraphicFramePr>
        <xdr:cNvPr id="35" name="Chart 34">
          <a:extLst>
            <a:ext uri="{FF2B5EF4-FFF2-40B4-BE49-F238E27FC236}">
              <a16:creationId xmlns:a16="http://schemas.microsoft.com/office/drawing/2014/main" id="{ABD670F4-C6E0-47CB-8137-09E265A31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10</xdr:col>
      <xdr:colOff>0</xdr:colOff>
      <xdr:row>56</xdr:row>
      <xdr:rowOff>0</xdr:rowOff>
    </xdr:from>
    <xdr:to>
      <xdr:col>16</xdr:col>
      <xdr:colOff>0</xdr:colOff>
      <xdr:row>75</xdr:row>
      <xdr:rowOff>172720</xdr:rowOff>
    </xdr:to>
    <xdr:graphicFrame macro="">
      <xdr:nvGraphicFramePr>
        <xdr:cNvPr id="37" name="Chart 36">
          <a:extLst>
            <a:ext uri="{FF2B5EF4-FFF2-40B4-BE49-F238E27FC236}">
              <a16:creationId xmlns:a16="http://schemas.microsoft.com/office/drawing/2014/main" id="{27AC03AE-9734-4559-9563-247B3B0A1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3</xdr:col>
      <xdr:colOff>0</xdr:colOff>
      <xdr:row>103</xdr:row>
      <xdr:rowOff>78740</xdr:rowOff>
    </xdr:from>
    <xdr:to>
      <xdr:col>9</xdr:col>
      <xdr:colOff>23754</xdr:colOff>
      <xdr:row>124</xdr:row>
      <xdr:rowOff>101599</xdr:rowOff>
    </xdr:to>
    <xdr:graphicFrame macro="">
      <xdr:nvGraphicFramePr>
        <xdr:cNvPr id="41" name="Chart 40">
          <a:extLst>
            <a:ext uri="{FF2B5EF4-FFF2-40B4-BE49-F238E27FC236}">
              <a16:creationId xmlns:a16="http://schemas.microsoft.com/office/drawing/2014/main" id="{C1A57ABF-A430-41F2-8C87-8C2A617E7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10</xdr:col>
      <xdr:colOff>0</xdr:colOff>
      <xdr:row>103</xdr:row>
      <xdr:rowOff>77469</xdr:rowOff>
    </xdr:from>
    <xdr:to>
      <xdr:col>16</xdr:col>
      <xdr:colOff>0</xdr:colOff>
      <xdr:row>124</xdr:row>
      <xdr:rowOff>101599</xdr:rowOff>
    </xdr:to>
    <xdr:graphicFrame macro="">
      <xdr:nvGraphicFramePr>
        <xdr:cNvPr id="42" name="Chart 41">
          <a:extLst>
            <a:ext uri="{FF2B5EF4-FFF2-40B4-BE49-F238E27FC236}">
              <a16:creationId xmlns:a16="http://schemas.microsoft.com/office/drawing/2014/main" id="{7541F006-A8DA-4637-8E39-6069B2428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3</xdr:col>
      <xdr:colOff>0</xdr:colOff>
      <xdr:row>151</xdr:row>
      <xdr:rowOff>99060</xdr:rowOff>
    </xdr:from>
    <xdr:to>
      <xdr:col>9</xdr:col>
      <xdr:colOff>22484</xdr:colOff>
      <xdr:row>172</xdr:row>
      <xdr:rowOff>176529</xdr:rowOff>
    </xdr:to>
    <xdr:graphicFrame macro="">
      <xdr:nvGraphicFramePr>
        <xdr:cNvPr id="44" name="Chart 43">
          <a:extLst>
            <a:ext uri="{FF2B5EF4-FFF2-40B4-BE49-F238E27FC236}">
              <a16:creationId xmlns:a16="http://schemas.microsoft.com/office/drawing/2014/main" id="{CE53AB69-0277-4001-9485-11271C79A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10</xdr:col>
      <xdr:colOff>0</xdr:colOff>
      <xdr:row>151</xdr:row>
      <xdr:rowOff>99060</xdr:rowOff>
    </xdr:from>
    <xdr:to>
      <xdr:col>16</xdr:col>
      <xdr:colOff>0</xdr:colOff>
      <xdr:row>172</xdr:row>
      <xdr:rowOff>138430</xdr:rowOff>
    </xdr:to>
    <xdr:graphicFrame macro="">
      <xdr:nvGraphicFramePr>
        <xdr:cNvPr id="45" name="Chart 44">
          <a:extLst>
            <a:ext uri="{FF2B5EF4-FFF2-40B4-BE49-F238E27FC236}">
              <a16:creationId xmlns:a16="http://schemas.microsoft.com/office/drawing/2014/main" id="{CBD43613-CE50-4024-BD33-7C209676A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3</xdr:col>
      <xdr:colOff>0</xdr:colOff>
      <xdr:row>200</xdr:row>
      <xdr:rowOff>101600</xdr:rowOff>
    </xdr:from>
    <xdr:to>
      <xdr:col>9</xdr:col>
      <xdr:colOff>21214</xdr:colOff>
      <xdr:row>220</xdr:row>
      <xdr:rowOff>172719</xdr:rowOff>
    </xdr:to>
    <xdr:graphicFrame macro="">
      <xdr:nvGraphicFramePr>
        <xdr:cNvPr id="46" name="Chart 45">
          <a:extLst>
            <a:ext uri="{FF2B5EF4-FFF2-40B4-BE49-F238E27FC236}">
              <a16:creationId xmlns:a16="http://schemas.microsoft.com/office/drawing/2014/main" id="{5B2D4ADB-7D25-46F4-828E-BD9681B26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10</xdr:col>
      <xdr:colOff>0</xdr:colOff>
      <xdr:row>200</xdr:row>
      <xdr:rowOff>101600</xdr:rowOff>
    </xdr:from>
    <xdr:to>
      <xdr:col>16</xdr:col>
      <xdr:colOff>0</xdr:colOff>
      <xdr:row>221</xdr:row>
      <xdr:rowOff>0</xdr:rowOff>
    </xdr:to>
    <xdr:graphicFrame macro="">
      <xdr:nvGraphicFramePr>
        <xdr:cNvPr id="47" name="Chart 46">
          <a:extLst>
            <a:ext uri="{FF2B5EF4-FFF2-40B4-BE49-F238E27FC236}">
              <a16:creationId xmlns:a16="http://schemas.microsoft.com/office/drawing/2014/main" id="{037063A7-6181-4979-90A8-1326644FE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3</xdr:col>
      <xdr:colOff>0</xdr:colOff>
      <xdr:row>249</xdr:row>
      <xdr:rowOff>0</xdr:rowOff>
    </xdr:from>
    <xdr:to>
      <xdr:col>9</xdr:col>
      <xdr:colOff>23754</xdr:colOff>
      <xdr:row>270</xdr:row>
      <xdr:rowOff>22859</xdr:rowOff>
    </xdr:to>
    <xdr:graphicFrame macro="">
      <xdr:nvGraphicFramePr>
        <xdr:cNvPr id="50" name="Chart 49">
          <a:extLst>
            <a:ext uri="{FF2B5EF4-FFF2-40B4-BE49-F238E27FC236}">
              <a16:creationId xmlns:a16="http://schemas.microsoft.com/office/drawing/2014/main" id="{E03B4F7F-9CA8-400B-A404-FEBAB38A0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10</xdr:col>
      <xdr:colOff>0</xdr:colOff>
      <xdr:row>249</xdr:row>
      <xdr:rowOff>0</xdr:rowOff>
    </xdr:from>
    <xdr:to>
      <xdr:col>16</xdr:col>
      <xdr:colOff>0</xdr:colOff>
      <xdr:row>270</xdr:row>
      <xdr:rowOff>21590</xdr:rowOff>
    </xdr:to>
    <xdr:graphicFrame macro="">
      <xdr:nvGraphicFramePr>
        <xdr:cNvPr id="51" name="Chart 50">
          <a:extLst>
            <a:ext uri="{FF2B5EF4-FFF2-40B4-BE49-F238E27FC236}">
              <a16:creationId xmlns:a16="http://schemas.microsoft.com/office/drawing/2014/main" id="{767E27F3-2845-4A5E-ABF6-5D67FDC1F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3</xdr:col>
      <xdr:colOff>0</xdr:colOff>
      <xdr:row>296</xdr:row>
      <xdr:rowOff>74930</xdr:rowOff>
    </xdr:from>
    <xdr:to>
      <xdr:col>9</xdr:col>
      <xdr:colOff>22484</xdr:colOff>
      <xdr:row>317</xdr:row>
      <xdr:rowOff>138428</xdr:rowOff>
    </xdr:to>
    <xdr:graphicFrame macro="">
      <xdr:nvGraphicFramePr>
        <xdr:cNvPr id="52" name="Chart 51">
          <a:extLst>
            <a:ext uri="{FF2B5EF4-FFF2-40B4-BE49-F238E27FC236}">
              <a16:creationId xmlns:a16="http://schemas.microsoft.com/office/drawing/2014/main" id="{3655540B-C3DB-4D60-B271-8C6C35B83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10</xdr:col>
      <xdr:colOff>0</xdr:colOff>
      <xdr:row>296</xdr:row>
      <xdr:rowOff>74930</xdr:rowOff>
    </xdr:from>
    <xdr:to>
      <xdr:col>16</xdr:col>
      <xdr:colOff>0</xdr:colOff>
      <xdr:row>317</xdr:row>
      <xdr:rowOff>139699</xdr:rowOff>
    </xdr:to>
    <xdr:graphicFrame macro="">
      <xdr:nvGraphicFramePr>
        <xdr:cNvPr id="53" name="Chart 52">
          <a:extLst>
            <a:ext uri="{FF2B5EF4-FFF2-40B4-BE49-F238E27FC236}">
              <a16:creationId xmlns:a16="http://schemas.microsoft.com/office/drawing/2014/main" id="{F5D1434A-5422-48F2-BBC1-CD9BF28B2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0.92577</cdr:x>
      <cdr:y>0.95327</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467858" y="3679190"/>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7.xml><?xml version="1.0" encoding="utf-8"?>
<c:userShapes xmlns:c="http://schemas.openxmlformats.org/drawingml/2006/chart">
  <cdr:relSizeAnchor xmlns:cdr="http://schemas.openxmlformats.org/drawingml/2006/chartDrawing">
    <cdr:from>
      <cdr:x>0.92628</cdr:x>
      <cdr:y>0.95318</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524114" y="3671571"/>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8.xml><?xml version="1.0" encoding="utf-8"?>
<c:userShapes xmlns:c="http://schemas.openxmlformats.org/drawingml/2006/chart">
  <cdr:relSizeAnchor xmlns:cdr="http://schemas.openxmlformats.org/drawingml/2006/chartDrawing">
    <cdr:from>
      <cdr:x>0.92608</cdr:x>
      <cdr:y>0.95301</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502148" y="3657600"/>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drawings/drawing9.xml><?xml version="1.0" encoding="utf-8"?>
<c:userShapes xmlns:c="http://schemas.openxmlformats.org/drawingml/2006/chart">
  <cdr:relSizeAnchor xmlns:cdr="http://schemas.openxmlformats.org/drawingml/2006/chartDrawing">
    <cdr:from>
      <cdr:x>0.92628</cdr:x>
      <cdr:y>0.95314</cdr:y>
    </cdr:from>
    <cdr:to>
      <cdr:x>1</cdr:x>
      <cdr:y>1</cdr:y>
    </cdr:to>
    <cdr:sp macro="" textlink="">
      <cdr:nvSpPr>
        <cdr:cNvPr id="2" name="B RECIP SPOKEN HYPER HOME" descr="Link to Data De-Identification Guidelines definition on the Appendix and Terms Page">
          <a:hlinkClick xmlns:a="http://schemas.openxmlformats.org/drawingml/2006/main" xmlns:r="http://schemas.openxmlformats.org/officeDocument/2006/relationships" r:id="rId1" tooltip="Go to De-Identification definition"/>
          <a:extLst xmlns:a="http://schemas.openxmlformats.org/drawingml/2006/main">
            <a:ext uri="{FF2B5EF4-FFF2-40B4-BE49-F238E27FC236}">
              <a16:creationId xmlns:a16="http://schemas.microsoft.com/office/drawing/2014/main" id="{B29D90AF-2870-49F3-8277-ECCE94BC2775}"/>
            </a:ext>
          </a:extLst>
        </cdr:cNvPr>
        <cdr:cNvSpPr/>
      </cdr:nvSpPr>
      <cdr:spPr>
        <a:xfrm xmlns:a="http://schemas.openxmlformats.org/drawingml/2006/main">
          <a:off x="7524114" y="3667761"/>
          <a:ext cx="598806" cy="180339"/>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latin typeface="Arial" panose="020B0604020202020204" pitchFamily="34" charset="0"/>
              <a:cs typeface="Arial" panose="020B0604020202020204" pitchFamily="34" charset="0"/>
            </a:rPr>
            <a:t>DDG</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5FEEC8-DF3A-4A7B-BB0F-8025FE4BDD63}" name="ALL_DATA" displayName="ALL_DATA" ref="A3:VN62" totalsRowShown="0" headerRowDxfId="1770" dataDxfId="1769" tableBorderDxfId="1768" headerRowCellStyle="Normal_Sheet1">
  <autoFilter ref="A3:VN62" xr:uid="{3140C8E1-ED80-4D20-A443-3DDDB0BA12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autoFilter>
  <tableColumns count="586">
    <tableColumn id="1" xr3:uid="{119328FE-4B27-448F-9EF7-0E320B50052F}" name="County Name" dataDxfId="1767"/>
    <tableColumn id="2" xr3:uid="{8AD06716-4866-44DD-924D-B0396BA66FF8}" name="County Size" dataDxfId="1766"/>
    <tableColumn id="3" xr3:uid="{F751C7B6-24BA-4F91-B0A3-BFF2632C06AB}" name="Wage Rate" dataDxfId="1765" dataCellStyle="Currency"/>
    <tableColumn id="4" xr3:uid="{5F620E51-E4A7-4198-A2F2-F6E13169D559}" name="Authorized Recipients" dataDxfId="1764"/>
    <tableColumn id="5" xr3:uid="{7F4056B1-83CC-4FC7-A85F-358ED32159F0}" name="Authorized Hours" dataDxfId="1763"/>
    <tableColumn id="6" xr3:uid="{43169AD1-D11F-4D25-9E5A-4281798318C9}" name="Authorized Hours per Recipient" dataDxfId="1762"/>
    <tableColumn id="7" xr3:uid="{314261D2-F5FA-4159-9A80-5A7B0ED8D9E1}" name="Electronic Timesheets - Enrolled: Authorized Recipients" dataDxfId="1761"/>
    <tableColumn id="8" xr3:uid="{3027FE9E-296E-46F8-AC26-8C767EFE8F61}" name="Electronic Timesheets - Enrolled: Active or Leave Ind. Providers" dataDxfId="1760"/>
    <tableColumn id="68" xr3:uid="{219A6CBA-2EFD-4EB2-9BDC-EF3EE455D4C8}" name="Electronic Visit Verification (EVV): Authorized Recipients " dataDxfId="1759" dataCellStyle="Comma"/>
    <tableColumn id="46" xr3:uid="{EEF416EB-FD21-4312-881B-3A66EFB7948D}" name=" Electronic Visit _x000a_Verification (EVV):_x000a_Active or Leave_x000a_Ind. Providers " dataDxfId="1758" dataCellStyle="Comma"/>
    <tableColumn id="9" xr3:uid="{7A4F5782-C87E-4124-95A8-876F7DA1EC31}" name="Severely Impaired (SI) Recipients" dataDxfId="1757"/>
    <tableColumn id="10" xr3:uid="{05926F93-603C-4450-89B8-602BD9B01C21}" name="SI Authorized Hours" dataDxfId="1756"/>
    <tableColumn id="11" xr3:uid="{0E9F6C8F-E234-457A-A78E-CD050178BD9D}" name="Non-Severely Impaired (NSI) Recipients" dataDxfId="1755"/>
    <tableColumn id="12" xr3:uid="{D1DF7023-38CE-4C45-AB17-52966816DEE2}" name="NSI Authorized Hours" dataDxfId="1754"/>
    <tableColumn id="13" xr3:uid="{F64566F2-399F-435F-91A6-038AD6C0D394}" name="Protective Sup. (PS) Recipients" dataDxfId="1753"/>
    <tableColumn id="14" xr3:uid="{2CEC1EB3-4C5C-4C8C-BB3F-AC0A0D12A98E}" name="Protective Sup. (PS) Auth. Hours" dataDxfId="1752"/>
    <tableColumn id="15" xr3:uid="{FFF4FA38-9721-4753-A232-3570DA0E80C2}" name="Paramedical (PM) Recipients" dataDxfId="1751"/>
    <tableColumn id="16" xr3:uid="{A25640BE-3BDA-4730-A51C-10874E1C73A4}" name="Paramedical (PM) Auth. Hours" dataDxfId="1750"/>
    <tableColumn id="17" xr3:uid="{0ACBD11F-9DB8-47E7-A85C-C77EC822189B}" name="Recipients that Entered IHSS as &quot;Aged&quot;" dataDxfId="1749"/>
    <tableColumn id="18" xr3:uid="{A07E3DC6-DD5E-4F6C-A166-4838B08BB549}" name="Hours for Recipients that Entered IHSS as &quot;Aged&quot;" dataDxfId="1748"/>
    <tableColumn id="19" xr3:uid="{67374D59-6DBA-48ED-8460-C9A3BA2F7863}" name="Recipients that Entered IHSS as &quot;Blind&quot;" dataDxfId="1747"/>
    <tableColumn id="20" xr3:uid="{DF743897-0FA5-42AC-B11E-58E567B04EFC}" name="Hours for Recipients that Entered IHSS as &quot;Blind&quot;" dataDxfId="1746"/>
    <tableColumn id="21" xr3:uid="{FAAD9A2A-3721-4D83-AD1E-8ACD5E14A808}" name="Recipients that Entered IHSS as &quot;Disabled&quot;" dataDxfId="1745"/>
    <tableColumn id="22" xr3:uid="{DEE5A9FF-62C4-48B7-BCE3-A911B81D5B5B}" name="Hours for Recipients that Entered IHSS as &quot;Disabled&quot;" dataDxfId="1744"/>
    <tableColumn id="23" xr3:uid="{34747853-0CE6-4972-9C3A-A753F0DB7207}" name="Active or Leave Ind. Providers" dataDxfId="1743"/>
    <tableColumn id="24" xr3:uid="{07A3DD52-67D5-4AED-9B61-D649B708371B}" name="Active/Leave Live-In Providers" dataDxfId="1742"/>
    <tableColumn id="25" xr3:uid="{E278304A-0566-454D-ACF7-6B08CBCA4403}" name="Active/Leave Relatives Providers " dataDxfId="1741"/>
    <tableColumn id="26" xr3:uid="{123CF0F7-AE5A-4F05-855C-9A26770B3D49}" name="Active/Leave Live-In Relative Prov" dataDxfId="1740"/>
    <tableColumn id="27" xr3:uid="{ED581F48-17E3-4DB0-A7BF-A6CBAE707BF3}" name="Active/Leave Spouse Providers" dataDxfId="1739"/>
    <tableColumn id="28" xr3:uid="{C0920E69-3D89-4F95-A6F0-A88785ABFB69}" name="Active/Leave Parent Providers" dataDxfId="1738"/>
    <tableColumn id="29" xr3:uid="{C603244F-BAA8-4A73-9E3A-3018D65BA0F1}" name="Recipients in PCSP" dataDxfId="1737"/>
    <tableColumn id="30" xr3:uid="{B320B07D-49FD-4EC6-BDF8-CC86ADD91D9D}" name="Hours in PCSP" dataDxfId="1736"/>
    <tableColumn id="31" xr3:uid="{A1ECFC70-BE01-4EA3-8BE1-DA45BBB42EAF}" name="Recipients in CFCO" dataDxfId="1735"/>
    <tableColumn id="32" xr3:uid="{5E76D65A-9369-4C43-B5A2-73745435BE06}" name="Hours in CFCO" dataDxfId="1734"/>
    <tableColumn id="33" xr3:uid="{5349E11E-BAFF-4DC9-AF92-D5C86D0B108D}" name="Recipients in IPO" dataDxfId="1733"/>
    <tableColumn id="34" xr3:uid="{210418CF-DF21-449D-9C2E-7FC3BAF62ECA}" name="Hours in IPO" dataDxfId="1732"/>
    <tableColumn id="35" xr3:uid="{33793C6C-A7C2-4089-A6FD-46AA370F7EF4}" name="Recipients in     IHSS-R" dataDxfId="1731"/>
    <tableColumn id="36" xr3:uid="{A8C8FA5B-3C62-4BAD-A7F4-BFC08DE98CD3}" name="Hours in     IHSS-R" dataDxfId="1730"/>
    <tableColumn id="37" xr3:uid="{88D5CA43-C2C1-4100-8CE6-A66B1801A7C2}" name="Female" dataDxfId="1729"/>
    <tableColumn id="38" xr3:uid="{E4439EC9-F024-4F7F-BC65-4F91FC2790B0}" name="Male" dataDxfId="1728"/>
    <tableColumn id="39" xr3:uid="{058D3B33-DE96-411B-BE32-D7902506201A}" name="White" dataDxfId="1727"/>
    <tableColumn id="40" xr3:uid="{20724BA2-DBE8-4558-A1CC-3EC50A3D3A8E}" name="Hispanic" dataDxfId="1726"/>
    <tableColumn id="41" xr3:uid="{2D70CE74-F0CB-4108-AC11-783D8FCAF3F2}" name="Black" dataDxfId="1725"/>
    <tableColumn id="42" xr3:uid="{0E485A1D-A5C1-4C8A-810D-279B47E36F6D}" name="Asian or Pacific Islander" dataDxfId="1724"/>
    <tableColumn id="43" xr3:uid="{849A8E37-49BC-42D0-ACBE-B8F0C30A8985}" name="Alaskan Native or American Indian" dataDxfId="1723"/>
    <tableColumn id="44" xr3:uid="{EB641260-28E8-4309-A0B3-77F0B95009C6}" name="Filipino" dataDxfId="1722"/>
    <tableColumn id="45" xr3:uid="{1A31A9B2-74FD-4BF0-96ED-C2185B9E59CB}" name="No Valid Data Reported" dataDxfId="1721"/>
    <tableColumn id="47" xr3:uid="{C91F69C4-04EF-47A1-A028-0D16D5BF2A95}" name="Amerasian" dataDxfId="1720"/>
    <tableColumn id="48" xr3:uid="{B9F39915-124C-4050-8CF3-B1A8F7FA34D4}" name="Chinese" dataDxfId="1719"/>
    <tableColumn id="49" xr3:uid="{5402204F-05A9-4666-BFDF-90A2A494FA3D}" name="Cambodian" dataDxfId="1718"/>
    <tableColumn id="50" xr3:uid="{2E167C9C-D1C3-4155-A4B5-4198DA03442A}" name="Japanese" dataDxfId="1717"/>
    <tableColumn id="51" xr3:uid="{D337E829-1CCD-434C-80E9-EBFE36DC37E0}" name="Korean" dataDxfId="1716"/>
    <tableColumn id="52" xr3:uid="{AC379AEE-1AAB-4090-84FC-6DC483ACD835}" name="Samoan" dataDxfId="1715"/>
    <tableColumn id="53" xr3:uid="{F391CF07-3E50-4E0C-B4FB-74B9CC665D53}" name="Asian Indian" dataDxfId="1714"/>
    <tableColumn id="54" xr3:uid="{9662CCD7-AC60-4CAD-8744-ED27409830B3}" name="Hawaiian" dataDxfId="1713"/>
    <tableColumn id="55" xr3:uid="{D93B7132-07DC-4A8F-8CE2-55762FDC5C9F}" name="Guamanian" dataDxfId="1712"/>
    <tableColumn id="56" xr3:uid="{B7CA580F-091F-4D51-8672-C417EF941CD7}" name="Laotian" dataDxfId="1711"/>
    <tableColumn id="57" xr3:uid="{170EE66A-1ECD-4D9F-A33D-A593D3391878}" name="Vietnamese" dataDxfId="1710"/>
    <tableColumn id="58" xr3:uid="{650D37DC-A01F-4258-9867-8EDA71CB9FE5}" name="Other" dataDxfId="1709"/>
    <tableColumn id="59" xr3:uid="{A35D4744-F22D-4AC7-A856-FF39F392D24B}" name="Recipient Spoken Language - American Sign Language" dataDxfId="1708" dataCellStyle="Comma"/>
    <tableColumn id="60" xr3:uid="{68B59045-56F7-4ADA-90FF-F122DAA63220}" name="Recipient Spoken Language - Spanish" dataDxfId="1707" dataCellStyle="Comma"/>
    <tableColumn id="61" xr3:uid="{14CC4E41-6DC7-42A9-8344-306117C7C8FB}" name="Recipient Spoken Language - Cantonese" dataDxfId="1706" dataCellStyle="Comma"/>
    <tableColumn id="62" xr3:uid="{3844A663-7DE9-47A6-A142-F4CA347FAFE3}" name="Recipient Spoken Language - Japanese" dataDxfId="1705" dataCellStyle="Comma"/>
    <tableColumn id="63" xr3:uid="{1A858F3B-F6BA-4868-979D-EE0EAC2FF25F}" name="Recipient Spoken Language - Korean" dataDxfId="1704" dataCellStyle="Comma"/>
    <tableColumn id="64" xr3:uid="{C48CDDC5-00CE-4370-97A2-AF70E10E39A8}" name="Recipient Spoken Language - Tagalog" dataDxfId="1703" dataCellStyle="Comma"/>
    <tableColumn id="65" xr3:uid="{E38C24AA-3D10-43D4-8CF4-8AB23744DDEA}" name="Recipient Spoken Language - Other Non-English" dataDxfId="1702" dataCellStyle="Comma"/>
    <tableColumn id="66" xr3:uid="{AAEBDBF1-4452-4D40-B9D8-2EC4FECD7832}" name="Recipient Spoken Language - English" dataDxfId="1701" dataCellStyle="Comma"/>
    <tableColumn id="67" xr3:uid="{C4B7101B-8E50-4DE8-A262-797110A203FE}" name="Recipient Spoken Language - No Valid Data Reported" dataDxfId="1700" dataCellStyle="Comma"/>
    <tableColumn id="69" xr3:uid="{70034FD5-1E00-4626-9A1D-D575F168586B}" name="Recipient Spoken Language - Other Sign Language" dataDxfId="1699" dataCellStyle="Comma"/>
    <tableColumn id="70" xr3:uid="{08FBBEF4-A520-4FC6-9EA9-EF9BBE3EBDBA}" name="Recipient Spoken Language - Mandarin" dataDxfId="1698" dataCellStyle="Comma"/>
    <tableColumn id="71" xr3:uid="{F9370C8A-4B9A-40F8-9BD9-C636AB799647}" name="Recipient Spoken Language - Other Chinese Languages" dataDxfId="1697" dataCellStyle="Comma"/>
    <tableColumn id="72" xr3:uid="{E01EEDA6-200D-4393-A65C-D6AFC203CF29}" name="Recipient Spoken Language - Cambodian" dataDxfId="1696" dataCellStyle="Comma"/>
    <tableColumn id="73" xr3:uid="{54301365-7603-4371-A006-CA0E9F156EF0}" name="Recipient Spoken Language - Armenian" dataDxfId="1695" dataCellStyle="Comma"/>
    <tableColumn id="74" xr3:uid="{6E4E033D-B754-4E57-833C-5DF33F284A5B}" name="Recipient Spoken Language - Ilocano" dataDxfId="1694" dataCellStyle="Comma"/>
    <tableColumn id="75" xr3:uid="{E2EADFA0-7767-4D7C-9853-F9C2CB5420F0}" name="Recipient Spoken Language - Mien" dataDxfId="1693" dataCellStyle="Comma"/>
    <tableColumn id="76" xr3:uid="{CF3F741F-5E67-41F0-B65F-8E473564448B}" name="Recipient Spoken Language - Hmong" dataDxfId="1692" dataCellStyle="Comma"/>
    <tableColumn id="77" xr3:uid="{E21CC81E-76C3-4214-B197-3C75C3D31C10}" name="Recipient Spoken Language - Lao" dataDxfId="1691" dataCellStyle="Comma"/>
    <tableColumn id="78" xr3:uid="{A6663EA3-0338-405D-BAAE-AD843AB3DADE}" name="Recipient Spoken Language - Turkish" dataDxfId="1690" dataCellStyle="Comma"/>
    <tableColumn id="79" xr3:uid="{287FA14B-CFE8-4009-8582-3074567333B4}" name="Recipient Spoken Language - Hebrew" dataDxfId="1689" dataCellStyle="Comma"/>
    <tableColumn id="80" xr3:uid="{59AA6F3B-84B7-456B-A15A-D2872569BC62}" name="Recipient Spoken Language - French" dataDxfId="1688" dataCellStyle="Comma"/>
    <tableColumn id="81" xr3:uid="{4494FDDF-A5EF-40FF-8BD6-B1FDFC2E84B6}" name="Recipient Spoken Language - Polish" dataDxfId="1687" dataCellStyle="Comma"/>
    <tableColumn id="82" xr3:uid="{615684F9-B2D3-4E16-8E68-29EA04138A96}" name="Recipient Spoken Language - Russian" dataDxfId="1686" dataCellStyle="Comma"/>
    <tableColumn id="83" xr3:uid="{20281365-C387-45A7-B34C-B5C0B42E2730}" name="Recipient Spoken Language - Portuguese" dataDxfId="1685" dataCellStyle="Comma"/>
    <tableColumn id="84" xr3:uid="{C4D16DC4-F148-4222-B06D-48003456D7ED}" name="Recipient Spoken Language - Italian" dataDxfId="1684" dataCellStyle="Comma"/>
    <tableColumn id="85" xr3:uid="{AC163467-8C08-4AA6-914A-3CF7B0F46996}" name="Recipient Spoken Language - Arabic" dataDxfId="1683" dataCellStyle="Comma"/>
    <tableColumn id="86" xr3:uid="{334D453D-F290-4096-9B51-5322B543ECB3}" name="Recipient Spoken Language - Samoan" dataDxfId="1682" dataCellStyle="Comma"/>
    <tableColumn id="87" xr3:uid="{499B491B-9C52-4816-AE8E-623C19606B1C}" name="Recipient Spoken Language - Thai" dataDxfId="1681" dataCellStyle="Comma"/>
    <tableColumn id="88" xr3:uid="{81793841-1EA0-4629-AF93-91445F95C842}" name="Recipient Spoken Language - Farsi" dataDxfId="1680" dataCellStyle="Comma"/>
    <tableColumn id="89" xr3:uid="{70E30F0F-E204-4CCE-8D7D-C2D618E8FC18}" name="Recipient Spoken Language - Vietnamese" dataDxfId="1679" dataCellStyle="Comma"/>
    <tableColumn id="311" xr3:uid="{46F7D47D-DC7D-45D5-B77B-792E17F5FEEB}" name="Recipient Spoken Language - Hindi" dataDxfId="1678" dataCellStyle="Comma"/>
    <tableColumn id="310" xr3:uid="{AF937C86-41CD-4C32-8F9F-8887ECAE3F45}" name="Recipient Spoken Language - Punjabi" dataDxfId="1677" dataCellStyle="Comma"/>
    <tableColumn id="309" xr3:uid="{78C64330-91EF-4885-A1E4-908ECB09E285}" name="Recipient Spoken Language - Ukrainian" dataDxfId="1676" dataCellStyle="Comma"/>
    <tableColumn id="91" xr3:uid="{A159E9AA-B6D1-4491-B5DC-D105415C4A44}" name="Provider Spoken - American Sign Language" dataDxfId="1675" dataCellStyle="Comma"/>
    <tableColumn id="92" xr3:uid="{8D092505-A313-4A1A-BCF8-72F490A7EDB1}" name="Provider Spoken - Spanish" dataDxfId="1674" dataCellStyle="Comma"/>
    <tableColumn id="93" xr3:uid="{7220BFFB-05CE-40AE-8322-38428F27FD6F}" name="Provider Spoken - Cantonese" dataDxfId="1673" dataCellStyle="Comma"/>
    <tableColumn id="94" xr3:uid="{B6C83BA5-AC16-4147-ABA9-3BD4522CF98E}" name="Provider Spoken - Japanese" dataDxfId="1672" dataCellStyle="Comma"/>
    <tableColumn id="95" xr3:uid="{C56DFC63-2831-4F70-A06A-8384A88562CF}" name="Provider Spoken - Korean" dataDxfId="1671" dataCellStyle="Comma"/>
    <tableColumn id="96" xr3:uid="{FA9C0840-9FD6-4FB2-8619-D1C78BFCF901}" name="Provider Spoken - Tagalog" dataDxfId="1670" dataCellStyle="Comma"/>
    <tableColumn id="97" xr3:uid="{BB13764F-1F8D-46C9-AD2C-8429F12C8AF6}" name="Provider Spoken - Other Non-English" dataDxfId="1669" dataCellStyle="Comma"/>
    <tableColumn id="98" xr3:uid="{CE4AEC56-EA37-4A5C-8602-A232E02A9CEB}" name="Provider Spoken - English" dataDxfId="1668" dataCellStyle="Comma"/>
    <tableColumn id="99" xr3:uid="{9434950C-5EFC-4146-8311-E930A8F476D4}" name="Provider Spoken - No Valid Data Reported" dataDxfId="1667" dataCellStyle="Comma"/>
    <tableColumn id="101" xr3:uid="{3EDD6C7B-D8DB-4ED3-8483-A4695CFBAF2F}" name="Provider Spoken - Other Sign Language" dataDxfId="1666" dataCellStyle="Comma"/>
    <tableColumn id="102" xr3:uid="{4F91F93B-6763-40F5-B908-A752E45A0353}" name="Provider Spoken - Mandarin" dataDxfId="1665" dataCellStyle="Comma"/>
    <tableColumn id="103" xr3:uid="{9B2DF885-1EDB-4BB9-8B2A-113D918B9B3B}" name="Provider Spoken - Other Chinese Languages" dataDxfId="1664" dataCellStyle="Comma"/>
    <tableColumn id="104" xr3:uid="{681E10F9-6C5C-4516-8E33-78BEF03F0FCA}" name="Provider Spoken - Cambodian" dataDxfId="1663" dataCellStyle="Comma"/>
    <tableColumn id="105" xr3:uid="{72BAAFF8-F9AD-4C45-92CB-1F7AD8DE8771}" name="Provider Spoken - Armenian" dataDxfId="1662" dataCellStyle="Comma"/>
    <tableColumn id="106" xr3:uid="{8B72D27C-93E8-44B8-AE43-3034FF57FAE5}" name="Provider Spoken - Ilocano" dataDxfId="1661" dataCellStyle="Comma"/>
    <tableColumn id="107" xr3:uid="{F2543D84-8505-4D3F-BCD1-759B4C6B34B4}" name="Provider Spoken - Mien" dataDxfId="1660" dataCellStyle="Comma"/>
    <tableColumn id="108" xr3:uid="{0543E299-EBE9-4349-BC42-0B98806F8268}" name="Provider Spoken - Hmong" dataDxfId="1659" dataCellStyle="Comma"/>
    <tableColumn id="109" xr3:uid="{C8478B87-4973-4C11-9058-B83FBA27206E}" name="Provider Spoken - Lao" dataDxfId="1658" dataCellStyle="Comma"/>
    <tableColumn id="110" xr3:uid="{F0FB6DA7-9301-47DE-AD77-6A0D24481C16}" name="Provider Spoken - Turkish" dataDxfId="1657" dataCellStyle="Comma"/>
    <tableColumn id="111" xr3:uid="{D21B3C6B-53D2-4D05-8243-F4A71AC00C0C}" name="Provider Spoken - Hebrew" dataDxfId="1656" dataCellStyle="Comma"/>
    <tableColumn id="112" xr3:uid="{56D74597-B1E7-4319-B739-D0449D811CF7}" name="Provider Spoken - French" dataDxfId="1655" dataCellStyle="Comma"/>
    <tableColumn id="113" xr3:uid="{D01B4665-BE8E-4C0F-892B-66499AE63ACE}" name="Provider Spoken - Polish" dataDxfId="1654" dataCellStyle="Comma"/>
    <tableColumn id="114" xr3:uid="{CBF15580-F0C4-46EC-9606-C4EEB481C23E}" name="Provider Spoken - Russian" dataDxfId="1653" dataCellStyle="Comma"/>
    <tableColumn id="115" xr3:uid="{1E960A23-964C-4225-84D5-95D7CD87316F}" name="Provider Spoken - Portuguese" dataDxfId="1652" dataCellStyle="Comma"/>
    <tableColumn id="116" xr3:uid="{B8763677-40F9-4EBE-BD86-AAC41CFAAF76}" name="Provider Spoken - Italian" dataDxfId="1651" dataCellStyle="Comma"/>
    <tableColumn id="117" xr3:uid="{4B725AEB-D22F-4DE2-8390-2724AA7D5F0D}" name="Provider Spoken - Arabic" dataDxfId="1650" dataCellStyle="Comma"/>
    <tableColumn id="118" xr3:uid="{E5864FD1-DCFD-456B-8CAD-BB25A04DFFA3}" name="Provider Spoken - Samoan" dataDxfId="1649" dataCellStyle="Comma"/>
    <tableColumn id="119" xr3:uid="{B2F36949-84E6-41C2-A0A0-C2DA63C5B5FD}" name="Provider Spoken - Thai" dataDxfId="1648" dataCellStyle="Comma"/>
    <tableColumn id="120" xr3:uid="{F08D14F5-9E94-4D1E-A715-CDE474767A99}" name="Provider Spoken - Farsi" dataDxfId="1647" dataCellStyle="Comma"/>
    <tableColumn id="121" xr3:uid="{6E5E1D7E-C777-4F53-BF55-C770431DEA83}" name="Provider Spoken - Vietnamese" dataDxfId="1646" dataCellStyle="Comma"/>
    <tableColumn id="318" xr3:uid="{378332CA-CA21-4DE3-998A-A7121BFC8015}" name="Provider Spoken - Hindi " dataDxfId="1645" dataCellStyle="Comma"/>
    <tableColumn id="317" xr3:uid="{8E74556B-0E3F-4048-A45F-8CC8552F9428}" name="Provider Spoken - Punjabi " dataDxfId="1644" dataCellStyle="Comma"/>
    <tableColumn id="316" xr3:uid="{DAD9014B-BDE8-4332-BF44-D047145D7166}" name="Provider Spoken - Ukrainian " dataDxfId="1643" dataCellStyle="Comma"/>
    <tableColumn id="123" xr3:uid="{90F4D58B-C7AE-4FE3-9F1B-CEA54CF0CC93}" name="0-17 Age Group (Minors) Recipients" dataDxfId="1642"/>
    <tableColumn id="124" xr3:uid="{E0829093-E13E-4B51-84DD-1E261A97CA43}" name="0-17 Age Group (Minors) Hours" dataDxfId="1641"/>
    <tableColumn id="125" xr3:uid="{179A2AF3-5F0B-4A3C-9E87-118034E20457}" name="18-44 Age Group Recipients" dataDxfId="1640"/>
    <tableColumn id="126" xr3:uid="{3A25FC42-FA71-4EFD-85D7-B5CAF6BAFDB9}" name="18-44 Age Group Hours" dataDxfId="1639"/>
    <tableColumn id="127" xr3:uid="{DCF6E57E-B196-4ADE-AC59-2AC8D63B638C}" name="45 to 64 Age Group Recipients" dataDxfId="1638"/>
    <tableColumn id="128" xr3:uid="{9FC878FF-0A4A-4BB6-BF27-CBFCBE0FC0D0}" name="45 to 64 Age Group Hours" dataDxfId="1637"/>
    <tableColumn id="129" xr3:uid="{BBE389E9-9CF6-46F6-A101-7EB2F8B98FBC}" name="65 to 74 Age Group Recipients" dataDxfId="1636"/>
    <tableColumn id="130" xr3:uid="{5599E4BC-590C-4E84-AB77-A38297B633E7}" name="65 to 74 Age Group Hours" dataDxfId="1635"/>
    <tableColumn id="131" xr3:uid="{51C75214-EF68-40F5-AC1A-31923F1DACA9}" name="75 to 84 Age Group Recipients" dataDxfId="1634"/>
    <tableColumn id="132" xr3:uid="{0BCDB7E7-D1A9-4D00-8FA7-CEA1131A705F}" name="75 to 84 Age Group Hours" dataDxfId="1633"/>
    <tableColumn id="133" xr3:uid="{C6CBA916-3BA3-49CD-A7DD-8B2744A7ABB3}" name="85+ Age Group Recipients" dataDxfId="1632"/>
    <tableColumn id="134" xr3:uid="{30762EB5-CE66-4C90-BE08-9E563B35CA77}" name="85+ Age Group Hours" dataDxfId="1631"/>
    <tableColumn id="135" xr3:uid="{64832F31-55B6-46A5-AD9C-9409FAB0C33F}" name="Domestic Services" dataDxfId="1630"/>
    <tableColumn id="136" xr3:uid="{9FDE1253-DE1D-4E3F-9968-97D88C1FF760}" name="Domestic Services Hours" dataDxfId="1629"/>
    <tableColumn id="137" xr3:uid="{64C4D726-4983-4DA3-9DC8-51D9CF99BC15}" name="Meal Prep" dataDxfId="1628"/>
    <tableColumn id="138" xr3:uid="{43A03E77-D653-4DB0-B770-D9CD241AA0F8}" name="Meal Prep Hours" dataDxfId="1627"/>
    <tableColumn id="139" xr3:uid="{113303E6-095B-4E5F-9F05-27F5F510FF12}" name="Meal Clean" dataDxfId="1626"/>
    <tableColumn id="140" xr3:uid="{6EE79599-E838-4F8B-BB5A-5F267095DDE9}" name="Meal Clean Hours" dataDxfId="1625"/>
    <tableColumn id="141" xr3:uid="{184CAC0F-B2AD-41E8-ABF0-F29801EE9579}" name="Laundry" dataDxfId="1624"/>
    <tableColumn id="142" xr3:uid="{53A27665-9A16-4A5B-8FE2-B4DE71E2A651}" name="Laundry Hours" dataDxfId="1623"/>
    <tableColumn id="143" xr3:uid="{50852B2B-B28B-4338-ACC7-B089C4DA40C4}" name="Shop Food" dataDxfId="1622"/>
    <tableColumn id="144" xr3:uid="{33B88398-4786-4718-836E-213BD3D8A2F9}" name="Shop Food Hours" dataDxfId="1621"/>
    <tableColumn id="145" xr3:uid="{930EA96B-F8EA-4ED4-B196-BA0B6F494738}" name="Other Errands" dataDxfId="1620"/>
    <tableColumn id="146" xr3:uid="{BFC0B061-6B23-47F7-A87B-A95EFEEF8DE1}" name="Other Errands Hours" dataDxfId="1619"/>
    <tableColumn id="147" xr3:uid="{5BA54B8E-37D9-4C09-9F73-17780E61C884}" name="Restaurant Meal" dataDxfId="1618"/>
    <tableColumn id="148" xr3:uid="{808E9F9E-4888-4068-8D46-5FEBAD6556A4}" name="Bowl Bladder" dataDxfId="1617"/>
    <tableColumn id="149" xr3:uid="{9A9B4C02-FD73-4B75-ABAE-A4091C5FA787}" name="Bowl Bladder Hours" dataDxfId="1616"/>
    <tableColumn id="150" xr3:uid="{90E38B4A-C9B7-422F-B5C2-AA217B630E6C}" name="Respiration" dataDxfId="1615"/>
    <tableColumn id="151" xr3:uid="{4FFD78A9-D567-46C2-A5C6-87DF3795F5F7}" name="Respiration Hours" dataDxfId="1614"/>
    <tableColumn id="152" xr3:uid="{819E02C5-F34C-4B02-B497-70E2269639A8}" name="Feeding" dataDxfId="1613"/>
    <tableColumn id="153" xr3:uid="{62F42E5A-2F09-49E3-9420-E42ED20326A9}" name="Feeding Hours" dataDxfId="1612"/>
    <tableColumn id="154" xr3:uid="{0794C689-5518-4D9F-B255-8A6B2CF7B6D0}" name="Routing Bed Bath" dataDxfId="1611"/>
    <tableColumn id="155" xr3:uid="{4271B2C4-50EE-4CAD-ACA4-E53F2E81FC71}" name="Routing Bed Bath Hours" dataDxfId="1610"/>
    <tableColumn id="156" xr3:uid="{B77E3A87-0B8C-45E8-B2CF-59235CD989F3}" name="Bath Oral Hyg" dataDxfId="1609"/>
    <tableColumn id="157" xr3:uid="{B8C3CFFC-03EA-4877-B51A-2E69BD52A0B7}" name="Bath Oral Hyg Hours" dataDxfId="1608"/>
    <tableColumn id="158" xr3:uid="{3B4B4802-BD91-45F0-9526-2D9E4D4B0EFB}" name="Dressing" dataDxfId="1607"/>
    <tableColumn id="159" xr3:uid="{537C5507-3D84-45B2-B3D2-4CA3D7FEC41D}" name="Dressing Hours" dataDxfId="1606"/>
    <tableColumn id="160" xr3:uid="{A417D2A6-515A-4F33-8BD6-023B7F22C177}" name="Rub Skin" dataDxfId="1605"/>
    <tableColumn id="161" xr3:uid="{1C13F215-6585-4B8B-87F6-EA5A8D34EF5B}" name="Rub Skin Hours" dataDxfId="1604"/>
    <tableColumn id="162" xr3:uid="{463873F1-8F5C-4710-9E48-795F7DC055CD}" name="Transfer" dataDxfId="1603"/>
    <tableColumn id="163" xr3:uid="{60027FCA-8BC1-4FDF-8247-D618B36B6102}" name="Transfer Hours" dataDxfId="1602"/>
    <tableColumn id="164" xr3:uid="{16916CE7-96C4-4BD9-A403-7A2DF690B97C}" name="Care Prosthetic" dataDxfId="1601"/>
    <tableColumn id="165" xr3:uid="{1F68534A-37F5-43D0-B9D8-B0A96ED114BF}" name="Care Prosthetic Hours" dataDxfId="1600"/>
    <tableColumn id="166" xr3:uid="{F3FE9DFD-7EB4-4CC6-9396-D7D9F9BA58D8}" name="Menstrual Care" dataDxfId="1599"/>
    <tableColumn id="167" xr3:uid="{58B0BF71-6E0F-4A6A-BDBE-495D533D8177}" name="Menstrual Care Hours" dataDxfId="1598"/>
    <tableColumn id="168" xr3:uid="{428155DD-027E-4D75-B033-EEF2477B15A0}" name="Ambulation" dataDxfId="1597"/>
    <tableColumn id="169" xr3:uid="{457C92E4-C243-4CEB-8BDA-D714451923C6}" name="Ambulation Hours" dataDxfId="1596"/>
    <tableColumn id="170" xr3:uid="{6D211125-F992-4394-9E1B-6AB623EE56BE}" name="Med Accomp" dataDxfId="1595"/>
    <tableColumn id="171" xr3:uid="{1439F002-9DA8-4DB8-814C-DEA3A7C004D8}" name="Medical Accomp Hours" dataDxfId="1594"/>
    <tableColumn id="172" xr3:uid="{A4737C46-AA76-49DE-87F3-48204B3B4F26}" name="Accomp Alt Res" dataDxfId="1593"/>
    <tableColumn id="173" xr3:uid="{D5109798-60F4-43FD-9044-C67E4FF37EAD}" name="Accomp Alt Res Hours" dataDxfId="1592"/>
    <tableColumn id="174" xr3:uid="{B03C980A-B4F8-4011-81DF-5D470FBEFBE7}" name="Heavy Clean" dataDxfId="1591"/>
    <tableColumn id="175" xr3:uid="{FB1AC88A-71C9-45B4-AB58-2669F1D02BC4}" name="Heavy Clean Hours" dataDxfId="1590"/>
    <tableColumn id="176" xr3:uid="{B7A0692E-E3E3-42B6-A370-EBEE2677E773}" name="Yard Hazard" dataDxfId="1589"/>
    <tableColumn id="177" xr3:uid="{15AA46F1-EF51-4512-9205-15F193C9B748}" name="Yard Hazard Hours" dataDxfId="1588"/>
    <tableColumn id="178" xr3:uid="{3ED9E78A-7167-40CF-A7E9-3808B304F620}" name="Snow Ice Remove" dataDxfId="1587"/>
    <tableColumn id="179" xr3:uid="{E5CE1D80-9A14-41CA-9E83-AD450C3F4D24}" name="Snow Ice Remove Hours" dataDxfId="1586"/>
    <tableColumn id="180" xr3:uid="{BD3987BF-C80D-407F-A691-6D764F5E57A0}" name="Teach Demo" dataDxfId="1585"/>
    <tableColumn id="181" xr3:uid="{A667DD5E-0F43-46E4-B688-D3085DEE6F74}" name="Teach Demo Hours" dataDxfId="1584"/>
    <tableColumn id="182" xr3:uid="{78E46CFA-0AE5-4542-9C48-8F2D4B01F8FB}" name="Data Not Reported as of 1/1/2020" dataDxfId="1583"/>
    <tableColumn id="183" xr3:uid="{66070604-EDA4-4E98-8F27-8F0678FDE8E3}" name="Telephone Timesheet System (TTS)" dataDxfId="1582"/>
    <tableColumn id="184" xr3:uid="{8B927038-A6E1-42CD-95B9-94DCD13C0017}" name="Large Font Timesheet" dataDxfId="1581"/>
    <tableColumn id="185" xr3:uid="{CA469B0D-0271-466B-8560-D0B6D147C6D2}" name="No Accommodation Needed" dataDxfId="1580"/>
    <tableColumn id="186" xr3:uid="{C0D65992-97E2-4BFC-86F0-9F4DC8B141A2}" name="Audio CD" dataDxfId="1579"/>
    <tableColumn id="187" xr3:uid="{5EEBE576-9C5E-4A86-8514-1C079420111D}" name="Braille Documents" dataDxfId="1578"/>
    <tableColumn id="188" xr3:uid="{7273A16E-F557-422A-BAC5-AA0F8560771D}" name="County Support " dataDxfId="1577"/>
    <tableColumn id="189" xr3:uid="{2BF57B0E-268E-4FA2-B888-F8CEE8FBDF5B}" name="Data CD" dataDxfId="1576"/>
    <tableColumn id="190" xr3:uid="{7DCEA3B9-2298-4F88-9AB3-735723B7A6F0}" name="Large Font NOA" dataDxfId="1575"/>
    <tableColumn id="191" xr3:uid="{20085063-0067-4E18-9944-4F335C93E585}" name="No Accommodation is Needed " dataDxfId="1574"/>
    <tableColumn id="192" xr3:uid="{9100FF22-CABC-4131-A8B5-7247C6FCE510}" name="Cases Self-Identifying as BVI in CMIPS" dataDxfId="1573"/>
    <tableColumn id="193" xr3:uid="{F641FE6E-C806-4733-9726-8E620FE19DBA}" name="Reassessments - Outstanding" dataDxfId="1572"/>
    <tableColumn id="194" xr3:uid="{FF7CF634-789B-4E4D-8F0E-49DE6F6B7530}" name="New Applications  (Month)" dataDxfId="1571"/>
    <tableColumn id="195" xr3:uid="{81DF6124-C499-4922-9AE2-25FEC4DB96CF}" name="Application Denials Days 0-45" dataDxfId="1570"/>
    <tableColumn id="196" xr3:uid="{FE62D448-DF10-4D4E-A807-5CEC1BED83F7}" name="Application Denials Days 46-91" dataDxfId="1569"/>
    <tableColumn id="197" xr3:uid="{050DD034-E02F-404A-8B99-BD7D71FC831A}" name="Application Denials Days 90+" dataDxfId="1568"/>
    <tableColumn id="198" xr3:uid="{64200740-6279-409B-BD2C-57B3F759243B}" name="Application Denials Monthly Denials" dataDxfId="1567"/>
    <tableColumn id="199" xr3:uid="{566A4D15-31BB-415A-A0DA-EA3D0744C195}" name="EFT (Direct Deposit)" dataDxfId="1566"/>
    <tableColumn id="200" xr3:uid="{496677F8-0353-459B-B787-AFA542000383}" name="Violations - With Single Recipient " dataDxfId="1565"/>
    <tableColumn id="201" xr3:uid="{3E2434B6-0B2C-4E95-9005-AA1FDA4C2989}" name="Violations - Travel" dataDxfId="1564"/>
    <tableColumn id="202" xr3:uid="{0B5A5FFE-2D4B-4C23-9A4D-2A78623B3956}" name="Violations - With Multiple Recipients" dataDxfId="1563"/>
    <tableColumn id="203" xr3:uid="{DA20FBA7-F67D-44D5-8DE1-C778B2879F34}" name="Total Violations" dataDxfId="1562"/>
    <tableColumn id="204" xr3:uid="{B373C7E5-5E40-4035-A7CE-01D26666317B}" name="Parent Provider (Exemptions 1)" dataDxfId="1561"/>
    <tableColumn id="205" xr3:uid="{B9123246-8885-427A-84F9-D7C945841F73}" name="Extraordinary Circumstance (Exemptions 2)" dataDxfId="1560"/>
    <tableColumn id="206" xr3:uid="{DC040FA0-0B5B-497F-9A57-B92E56C973AC}" name="Total Exemptions" dataDxfId="1559"/>
    <tableColumn id="90" xr3:uid="{64F710C3-0167-40CC-A3D3-6FDD6B9E22EB}" name="No longer in own home" dataDxfId="1558" dataCellStyle="Normal_Sheet1"/>
    <tableColumn id="100" xr3:uid="{2D49E2D8-BBEA-4CB7-80F2-50465966CCCC}" name="Recipient Request" dataDxfId="1557" dataCellStyle="Normal_Sheet1"/>
    <tableColumn id="122" xr3:uid="{512CEF71-9EBB-4062-8493-DBA077F4A2A0}" name="Did not pay Share of Cost" dataDxfId="1556" dataCellStyle="Normal_Sheet1"/>
    <tableColumn id="216" xr3:uid="{DDB92DC4-31F2-482B-948F-F50ECCA6804A}" name="Out of State more than 60 days" dataDxfId="1555" dataCellStyle="Normal_Sheet1"/>
    <tableColumn id="238" xr3:uid="{6344257C-59BC-4FF8-9473-484548AF5671}" name="Out of country" dataDxfId="1554" dataCellStyle="Normal_Sheet1"/>
    <tableColumn id="260" xr3:uid="{BF9A57F4-6A76-439E-9223-16ECA7C6C7B3}" name="Moved out of State" dataDxfId="1553" dataCellStyle="Normal_Sheet1"/>
    <tableColumn id="270" xr3:uid="{46B375F0-067E-41AF-97E4-E734936EB552}" name="Failure to cooperate" dataDxfId="1552" dataCellStyle="Normal_Sheet1"/>
    <tableColumn id="292" xr3:uid="{4A54C04F-F0E8-4CAC-9D9B-EEBCA7E1ED63}" name="IHSS-R SOC exceeds need" dataDxfId="1551" dataCellStyle="Normal_Sheet1"/>
    <tableColumn id="293" xr3:uid="{360CBD29-12AA-45ED-913B-7E479C5F79BC}" name="No Assessed Need" dataDxfId="1550" dataCellStyle="Normal_Sheet1"/>
    <tableColumn id="294" xr3:uid="{BC477C70-4FAA-47AF-82DD-1D162EFBD24E}" name="Need met through Alternate Resources" dataDxfId="1549" dataCellStyle="Normal_Sheet1"/>
    <tableColumn id="295" xr3:uid="{6235C23A-50F1-414F-9B39-3E8D2428DD05}" name="Non-Compliance with Medi-Cal Eligibility" dataDxfId="1548" dataCellStyle="Normal_Sheet1"/>
    <tableColumn id="296" xr3:uid="{42B9CDD1-F324-4AE4-A711-D5AE0A8976AE}" name="Residence - Hospital" dataDxfId="1547" dataCellStyle="Normal_Sheet1"/>
    <tableColumn id="297" xr3:uid="{54A36943-EA13-40A1-8E06-B187DD0CC1C4}" name="Residence - Intermediate Care Facility" dataDxfId="1546" dataCellStyle="Normal_Sheet1"/>
    <tableColumn id="298" xr3:uid="{62D941B3-313A-4A2C-949B-8A85F827EF82}" name="Residence - Skilled Nursing Facility" dataDxfId="1545" dataCellStyle="Normal_Sheet1"/>
    <tableColumn id="299" xr3:uid="{0581DB90-475D-4FFD-B44A-AD30807752AF}" name="Residence - Community Care Facility" dataDxfId="1544" dataCellStyle="Normal_Sheet1"/>
    <tableColumn id="300" xr3:uid="{B5A02DDC-65D6-4384-B61B-1F5904F92201}" name="Whereabouts unknown" dataDxfId="1543" dataCellStyle="Normal_Sheet1"/>
    <tableColumn id="301" xr3:uid="{BD937A23-020A-44C3-9122-389F8CA64062}" name="Recipient Death" dataDxfId="1542" dataCellStyle="Normal_Sheet1"/>
    <tableColumn id="302" xr3:uid="{CCCA7011-2BB9-48FC-BBC4-5687E099369A}" name="Erroneous" dataDxfId="1541" dataCellStyle="Normal_Sheet1"/>
    <tableColumn id="303" xr3:uid="{B998EAA5-086B-41C7-9700-403DBAEF88C9}" name="IHSS-R Excess Resource" dataDxfId="1540" dataCellStyle="Normal_Sheet1"/>
    <tableColumn id="304" xr3:uid="{34EBAF37-CE00-4698-8448-43C3CBE6D6C4}" name="Invalid SSN" dataDxfId="1539" dataCellStyle="Normal_Sheet1"/>
    <tableColumn id="305" xr3:uid="{B40D3F59-A3FE-4B04-8565-0C859C0634EF}" name="Terminations - Duplicate SSN" dataDxfId="1538" dataCellStyle="Normal_Sheet1"/>
    <tableColumn id="306" xr3:uid="{E548764C-C078-4053-A0C9-89037C2B0CA3}" name="Health Care Certification - Not Received" dataDxfId="1537" dataCellStyle="Normal_Sheet1"/>
    <tableColumn id="307" xr3:uid="{4E20A5B8-B6AA-4C25-B185-0078C604C0C9}" name="Health Care Certification - No Need" dataDxfId="1536" dataCellStyle="Normal_Sheet1"/>
    <tableColumn id="308" xr3:uid="{92D853C0-B198-4D94-ACD0-64378D026CAC}" name="Medi- Cal Restored" dataDxfId="1535" dataCellStyle="Normal_Sheet1"/>
    <tableColumn id="315" xr3:uid="{B1517B22-6A56-4667-B932-E420DD5B9AAA}" name="White Apps Equity" dataDxfId="1534" dataCellStyle="Normal_Sheet1"/>
    <tableColumn id="322" xr3:uid="{786BFF0B-B63D-4ECF-9C4D-8C79269E1A4F}" name="Hispanic Apps Equity" dataDxfId="1533" dataCellStyle="Normal_Sheet1"/>
    <tableColumn id="323" xr3:uid="{16316F4B-5C1B-4909-AFBF-815C8F4B1C4B}" name="Black Apps Equity" dataDxfId="1532" dataCellStyle="Normal_Sheet1"/>
    <tableColumn id="324" xr3:uid="{286D0340-08FE-464F-A1BD-05C9F638B467}" name="Asian Pacific Apps Equity" dataDxfId="1531" dataCellStyle="Normal_Sheet1"/>
    <tableColumn id="325" xr3:uid="{5585220D-C628-4438-A4F7-0BF46395E7FD}" name="Alaskan Native Apps Equity" dataDxfId="1530" dataCellStyle="Normal_Sheet1"/>
    <tableColumn id="326" xr3:uid="{9AA6B0C4-30AF-419B-8CD3-8F6DF227FF6A}" name="Filipino Apps Equity" dataDxfId="1529" dataCellStyle="Normal_Sheet1"/>
    <tableColumn id="327" xr3:uid="{89F1AA00-570E-43BD-A068-84DD6849B0F9}" name="No Valid Data Apps Equity" dataDxfId="1528" dataCellStyle="Normal_Sheet1"/>
    <tableColumn id="328" xr3:uid="{9FF424EE-E635-4AF9-998D-2C5A89B16213}" name="Amerasion Apps Equity" dataDxfId="1527" dataCellStyle="Normal_Sheet1"/>
    <tableColumn id="329" xr3:uid="{4930D4F0-BB72-428B-BD46-4A82240E2199}" name="Chinese Apps Equity" dataDxfId="1526" dataCellStyle="Normal_Sheet1"/>
    <tableColumn id="330" xr3:uid="{DD8E8C7E-D3A2-4FDD-8470-0F1184BD4013}" name="Cambodian Apps Equity" dataDxfId="1525" dataCellStyle="Normal_Sheet1"/>
    <tableColumn id="331" xr3:uid="{0F6982A3-EAA0-4305-A2B4-A007030211B2}" name="Japanese Apps Equity" dataDxfId="1524" dataCellStyle="Normal_Sheet1"/>
    <tableColumn id="332" xr3:uid="{DE36F769-0CFD-4176-88FE-82669CA1AF86}" name="Korean Apps Equity" dataDxfId="1523" dataCellStyle="Normal_Sheet1"/>
    <tableColumn id="333" xr3:uid="{98B8A0F3-1B67-45D8-B2F4-6920CBCBEFEB}" name="Samoan Apps Equity" dataDxfId="1522" dataCellStyle="Normal_Sheet1"/>
    <tableColumn id="334" xr3:uid="{4A6B9C9A-D60A-427B-9717-CA38FBF078FE}" name="Asian Indian Apps Equity" dataDxfId="1521" dataCellStyle="Normal_Sheet1"/>
    <tableColumn id="335" xr3:uid="{F201F53A-1077-4EA0-94A5-E575753A7B21}" name="Hawaiian Apps Equity" dataDxfId="1520" dataCellStyle="Normal_Sheet1"/>
    <tableColumn id="336" xr3:uid="{9AD489DF-EC77-49EE-BF52-D0B6A1D0BDE4}" name="Guamanian Apps Equity" dataDxfId="1519" dataCellStyle="Normal_Sheet1"/>
    <tableColumn id="337" xr3:uid="{6DA5E287-0CB0-4EFA-8A44-ED61E4F015D2}" name="Laotian Apps Equity" dataDxfId="1518" dataCellStyle="Normal_Sheet1"/>
    <tableColumn id="338" xr3:uid="{2ACD41BF-6890-4A8C-85B2-D51BD83872CC}" name="Vietnamese Apps Equity" dataDxfId="1517" dataCellStyle="Normal_Sheet1"/>
    <tableColumn id="339" xr3:uid="{FA51013E-2E5C-4FBE-9DB1-8FF58C5420DB}" name="Other Apps Equity" dataDxfId="1516" dataCellStyle="Normal_Sheet1"/>
    <tableColumn id="340" xr3:uid="{759BD174-9559-42A5-B888-8944469C0459}" name="White Denials Equity" dataDxfId="1515" dataCellStyle="Normal_Sheet1"/>
    <tableColumn id="341" xr3:uid="{769A99DC-8009-4B35-821B-227DF3B62C44}" name="Hispanic Denials Equity" dataDxfId="1514" dataCellStyle="Normal_Sheet1"/>
    <tableColumn id="342" xr3:uid="{62237118-03DC-43D3-BF52-1751D734D7BB}" name="Black Denials Equity" dataDxfId="1513" dataCellStyle="Normal_Sheet1"/>
    <tableColumn id="343" xr3:uid="{D451E260-7235-4CF6-851F-8DB87828EB43}" name="Asian Pacific Denials Equity" dataDxfId="1512" dataCellStyle="Normal_Sheet1"/>
    <tableColumn id="344" xr3:uid="{6C16124E-BC8A-4DC5-B7DA-0FC0B3FF443F}" name="Alaskan Native Denials Equity" dataDxfId="1511" dataCellStyle="Normal_Sheet1"/>
    <tableColumn id="345" xr3:uid="{A12A11A2-0CDB-4F03-B13F-D0220A56C7B8}" name="Filipino Denials Equity" dataDxfId="1510" dataCellStyle="Normal_Sheet1"/>
    <tableColumn id="346" xr3:uid="{6517167E-579A-4304-B470-5250027C77D6}" name="No Valid Data Denials Equity" dataDxfId="1509" dataCellStyle="Normal_Sheet1"/>
    <tableColumn id="347" xr3:uid="{4F1FD484-51B9-4598-BA03-C74538EFACA1}" name="Amerasion Denials Equity" dataDxfId="1508" dataCellStyle="Normal_Sheet1"/>
    <tableColumn id="348" xr3:uid="{685E860B-3E32-4102-ACD2-058BC294860D}" name="Chinese Denials Equity" dataDxfId="1507" dataCellStyle="Normal_Sheet1"/>
    <tableColumn id="349" xr3:uid="{A4A37533-90BC-43C9-B229-129B3AA096EE}" name="Cambodian Denials Equity" dataDxfId="1506" dataCellStyle="Normal_Sheet1"/>
    <tableColumn id="350" xr3:uid="{5AD9979F-EF7E-447E-81DC-84D52B37FE52}" name="Japanese Denials Equity" dataDxfId="1505" dataCellStyle="Normal_Sheet1"/>
    <tableColumn id="351" xr3:uid="{B82436B6-B96C-4B6A-8E46-6767EFD9914E}" name="Korean Denials Equity" dataDxfId="1504" dataCellStyle="Normal_Sheet1"/>
    <tableColumn id="352" xr3:uid="{88E9878D-292C-44B2-8E90-BBAC64726C2F}" name="Samoan Denials Equity" dataDxfId="1503" dataCellStyle="Normal_Sheet1"/>
    <tableColumn id="353" xr3:uid="{D7D3F69C-D127-4CC2-9C42-0D1F597AC5EE}" name="Asian Indian Denials Equity" dataDxfId="1502" dataCellStyle="Normal_Sheet1"/>
    <tableColumn id="354" xr3:uid="{BE62582A-9661-49EF-AF84-DE1833AB7178}" name="Hawaiian Denials Equity" dataDxfId="1501" dataCellStyle="Normal_Sheet1"/>
    <tableColumn id="355" xr3:uid="{B0FA2A47-6753-4C53-80DC-22D8ADAFA729}" name="Guamanian Denials Equity" dataDxfId="1500" dataCellStyle="Normal_Sheet1"/>
    <tableColumn id="356" xr3:uid="{C8534EC7-B3A2-4D6D-9523-99FC04C791DC}" name="Laotian Denials Equity" dataDxfId="1499" dataCellStyle="Normal_Sheet1"/>
    <tableColumn id="357" xr3:uid="{92EF781B-748B-4B16-8541-4752D0B84EC2}" name="Vietnamese Denials Equity" dataDxfId="1498" dataCellStyle="Normal_Sheet1"/>
    <tableColumn id="358" xr3:uid="{46F7E7C5-D87C-4E3E-8D18-61EFFDF74620}" name="Other Denials Equity" dataDxfId="1497" dataCellStyle="Normal_Sheet1"/>
    <tableColumn id="359" xr3:uid="{C1B08B55-2123-493A-A4D2-8405F7418843}" name="White Auth Hours Equity" dataDxfId="1496" dataCellStyle="Normal_Sheet1"/>
    <tableColumn id="360" xr3:uid="{D828D23D-21E2-48E5-BFDA-9BDEFD0BE328}" name="Hispanic Auth Hours Equity" dataDxfId="1495" dataCellStyle="Normal_Sheet1"/>
    <tableColumn id="361" xr3:uid="{22F21F73-2ABC-47B0-A0D4-3C2F60D5BB24}" name="Black Auth Hours Equity" dataDxfId="1494" dataCellStyle="Normal_Sheet1"/>
    <tableColumn id="362" xr3:uid="{C2DB0F07-5B8F-4610-B016-87EA75A5F0AE}" name="Asian Pacific Auth Hours Equity" dataDxfId="1493" dataCellStyle="Normal_Sheet1"/>
    <tableColumn id="363" xr3:uid="{891DABB4-11B3-4FDD-BB81-4B6304178E6F}" name="Alaskan Native Auth Hours Equity" dataDxfId="1492" dataCellStyle="Normal_Sheet1"/>
    <tableColumn id="364" xr3:uid="{3F4D6E22-6145-455E-9209-8FB308A88BF0}" name="Filipino Auth Hours Equity" dataDxfId="1491" dataCellStyle="Normal_Sheet1"/>
    <tableColumn id="365" xr3:uid="{326230ED-0CEA-42A6-B2A8-51A0A1E81954}" name="No Valid Data Auth Hours Equity" dataDxfId="1490" dataCellStyle="Normal_Sheet1"/>
    <tableColumn id="366" xr3:uid="{C90F9265-09AA-43D0-BE70-BB9C56180D64}" name="Amerasion Auth Hours Equity" dataDxfId="1489" dataCellStyle="Normal_Sheet1"/>
    <tableColumn id="367" xr3:uid="{C57B2FE8-EE76-41C2-B7E5-373498B6BE9E}" name="Chinese Auth Hours Equity" dataDxfId="1488" dataCellStyle="Normal_Sheet1"/>
    <tableColumn id="368" xr3:uid="{5600F3A5-F157-408F-9F4E-76DE65AE228E}" name="Cambodian Auth Hours Equity" dataDxfId="1487" dataCellStyle="Normal_Sheet1"/>
    <tableColumn id="369" xr3:uid="{BD99DB73-AC75-44DA-B2EC-95FC040D7F86}" name="Japanese Auth Hours Equity" dataDxfId="1486" dataCellStyle="Normal_Sheet1"/>
    <tableColumn id="370" xr3:uid="{B81FE495-79A9-43CB-B962-33FEDBD231B9}" name="Korean Auth Hours Equity" dataDxfId="1485" dataCellStyle="Normal_Sheet1"/>
    <tableColumn id="371" xr3:uid="{D8C74BE1-05D8-48B1-A5BE-CCC248C102F7}" name="Samoan Auth Hours Equity" dataDxfId="1484" dataCellStyle="Normal_Sheet1"/>
    <tableColumn id="372" xr3:uid="{141D962B-E210-4A34-84D3-C5CFD59902DB}" name="Asian Indian Auth Hours Equity" dataDxfId="1483" dataCellStyle="Normal_Sheet1"/>
    <tableColumn id="373" xr3:uid="{BE49B5F0-5DB4-4FCA-A71B-AB3FDD48C8EC}" name="Hawaiian Auth Hours Equity" dataDxfId="1482" dataCellStyle="Normal_Sheet1"/>
    <tableColumn id="374" xr3:uid="{A4EF46CF-D670-4226-8E8F-169F6A0C64BF}" name="Guamanian Auth Hours Equity" dataDxfId="1481" dataCellStyle="Normal_Sheet1"/>
    <tableColumn id="375" xr3:uid="{46EA448E-176A-4D92-B202-307E43E04AD6}" name="Laotian Auth Hours Equity" dataDxfId="1480" dataCellStyle="Normal_Sheet1"/>
    <tableColumn id="376" xr3:uid="{63D1B38B-79D9-4CBB-B659-041ACA2B8364}" name="Vietnamese Auth Hours Equity" dataDxfId="1479" dataCellStyle="Normal_Sheet1"/>
    <tableColumn id="377" xr3:uid="{2B1DA9F4-09B3-4287-B8E3-686A0D6E9578}" name="Other Auth Hours Equity" dataDxfId="1478" dataCellStyle="Normal_Sheet1"/>
    <tableColumn id="378" xr3:uid="{7B772C53-C315-4929-AED3-9A3AD9D91144}" name="White PS Equity" dataDxfId="1477" dataCellStyle="Normal_Sheet1"/>
    <tableColumn id="379" xr3:uid="{34088E7F-1B78-4EF3-95BD-248C6566D0DD}" name="Hispanic PS Equity" dataDxfId="1476" dataCellStyle="Normal_Sheet1"/>
    <tableColumn id="380" xr3:uid="{AF5CC3A7-E4F7-430B-B8A8-A1BE2C2DCBE3}" name="Black PS Equity" dataDxfId="1475" dataCellStyle="Normal_Sheet1"/>
    <tableColumn id="381" xr3:uid="{CB8A8EB0-EC5F-42F2-B0E8-5F59D3A501A5}" name="Asian Pacific PS Equity" dataDxfId="1474" dataCellStyle="Normal_Sheet1"/>
    <tableColumn id="382" xr3:uid="{8CBE1E51-84D1-485A-A26B-DEDD06B582EA}" name="Alaskan Native PS Equity" dataDxfId="1473" dataCellStyle="Normal_Sheet1"/>
    <tableColumn id="383" xr3:uid="{03476E5F-5AF0-4061-A053-8E65C2D8C27B}" name="Filipino PS Equity" dataDxfId="1472" dataCellStyle="Normal_Sheet1"/>
    <tableColumn id="384" xr3:uid="{DF5AE71E-9CC3-45F9-92E2-FC9D43CCE75E}" name="No Valid Data PS Equity" dataDxfId="1471" dataCellStyle="Normal_Sheet1"/>
    <tableColumn id="385" xr3:uid="{596F312F-040C-4F45-881B-E2E356C34F8D}" name="Amerasion PS Equity" dataDxfId="1470" dataCellStyle="Normal_Sheet1"/>
    <tableColumn id="386" xr3:uid="{A93C1099-0449-4297-B358-A427C3C4EE9B}" name="Chinese PS Equity" dataDxfId="1469" dataCellStyle="Normal_Sheet1"/>
    <tableColumn id="387" xr3:uid="{DC3A13A3-39B8-4419-969B-42EE2691C7B5}" name="Cambodian PS Equity" dataDxfId="1468" dataCellStyle="Normal_Sheet1"/>
    <tableColumn id="388" xr3:uid="{00A8555F-1686-41DA-979C-056A6E1D3362}" name="Japanese PS Equity" dataDxfId="1467" dataCellStyle="Normal_Sheet1"/>
    <tableColumn id="389" xr3:uid="{740AD3EC-04A2-4410-9B80-95A76C9B1AFE}" name="Korean PS Equity" dataDxfId="1466" dataCellStyle="Normal_Sheet1"/>
    <tableColumn id="390" xr3:uid="{FD23D259-0810-40B3-B7F6-D8A6E3862715}" name="Samoan PS Equity" dataDxfId="1465" dataCellStyle="Normal_Sheet1"/>
    <tableColumn id="391" xr3:uid="{90F90748-715E-41E2-88FA-880BBEC9BBA6}" name="Asian Indian PS Equity" dataDxfId="1464" dataCellStyle="Normal_Sheet1"/>
    <tableColumn id="392" xr3:uid="{22AB4F2B-F7DD-447A-A998-EAFF1E2ADF11}" name="Hawaiian PS Equity" dataDxfId="1463" dataCellStyle="Normal_Sheet1"/>
    <tableColumn id="393" xr3:uid="{CE359ECC-C824-4AD4-A666-6AEC0290A5EE}" name="Guamanian PS Equity" dataDxfId="1462" dataCellStyle="Normal_Sheet1"/>
    <tableColumn id="394" xr3:uid="{F7395497-FBA4-4CCA-8987-B415D7C12314}" name="Laotian PS Equity" dataDxfId="1461" dataCellStyle="Normal_Sheet1"/>
    <tableColumn id="395" xr3:uid="{0707C3BB-167C-4D54-9682-E5A5B59ADEE4}" name="Vietnamese PS Equity" dataDxfId="1460" dataCellStyle="Normal_Sheet1"/>
    <tableColumn id="396" xr3:uid="{4A5A73D6-8BF9-45EC-8D50-667C43C22731}" name="Other PS Equity" dataDxfId="1459" dataCellStyle="Normal_Sheet1"/>
    <tableColumn id="397" xr3:uid="{322627DE-44CC-449D-B939-CB14FE8ECB32}" name="White PM Equity" dataDxfId="1458" dataCellStyle="Normal_Sheet1"/>
    <tableColumn id="398" xr3:uid="{EAAFD8DC-C439-4C9C-AF36-A7AB165C712A}" name="Hispanic PM Equity" dataDxfId="1457" dataCellStyle="Normal_Sheet1"/>
    <tableColumn id="399" xr3:uid="{21E6F331-F331-4913-8A7A-2A3B3D15783E}" name="Black PM Equity" dataDxfId="1456" dataCellStyle="Normal_Sheet1"/>
    <tableColumn id="400" xr3:uid="{EF101661-E2C1-41A8-8B1D-47D7A295DD9D}" name="Asian Pacific PM Equity" dataDxfId="1455" dataCellStyle="Normal_Sheet1"/>
    <tableColumn id="401" xr3:uid="{7D922661-3B82-4D9D-A15B-3E3DF3EDBE61}" name="Alaskan Native PM Equity" dataDxfId="1454" dataCellStyle="Normal_Sheet1"/>
    <tableColumn id="402" xr3:uid="{45A04F81-90D3-4ACA-BB2E-5C48469439FB}" name="Filipino PM Equity" dataDxfId="1453" dataCellStyle="Normal_Sheet1"/>
    <tableColumn id="403" xr3:uid="{8690F8F4-E1D8-48E3-AFAD-87843C97FCC0}" name="No Valid Data PM Equity" dataDxfId="1452" dataCellStyle="Normal_Sheet1"/>
    <tableColumn id="404" xr3:uid="{334DE762-74E3-4731-B445-B748E3C812D9}" name="Amerasion PM Equity" dataDxfId="1451" dataCellStyle="Normal_Sheet1"/>
    <tableColumn id="405" xr3:uid="{3FF00710-95BF-4952-9B44-E8A948C07FFF}" name="Chinese PM Equity" dataDxfId="1450" dataCellStyle="Normal_Sheet1"/>
    <tableColumn id="406" xr3:uid="{613DD6A8-3C11-4B2D-B5A4-641D1FAEF169}" name="Cambodian PM Equity" dataDxfId="1449" dataCellStyle="Normal_Sheet1"/>
    <tableColumn id="407" xr3:uid="{737EDD7E-5450-4F60-AA57-7C23851779BA}" name="Japanese PM Equity" dataDxfId="1448" dataCellStyle="Normal_Sheet1"/>
    <tableColumn id="408" xr3:uid="{400DEF54-E0DD-47B0-A830-E8CBCEC93BE1}" name="Korean PM Equity" dataDxfId="1447" dataCellStyle="Normal_Sheet1"/>
    <tableColumn id="409" xr3:uid="{E6342FC2-0651-46AA-8E7A-2DFB631C15CD}" name="Samoan PM Equity" dataDxfId="1446" dataCellStyle="Normal_Sheet1"/>
    <tableColumn id="410" xr3:uid="{ED92F9DD-54B2-468A-BACD-C1A2F148641E}" name="Asian Indian PM Equity" dataDxfId="1445" dataCellStyle="Normal_Sheet1"/>
    <tableColumn id="411" xr3:uid="{4D80B1A4-666A-4891-AD85-7D135212A448}" name="Hawaiian PM Equity" dataDxfId="1444" dataCellStyle="Normal_Sheet1"/>
    <tableColumn id="412" xr3:uid="{0EC9E4F7-5439-4286-8E80-B1DD526577E0}" name="Guamanian PM Equity" dataDxfId="1443" dataCellStyle="Normal_Sheet1"/>
    <tableColumn id="413" xr3:uid="{C70B4B58-5C61-4184-86C0-71BB5C73F787}" name="Laotian PM Equity" dataDxfId="1442" dataCellStyle="Normal_Sheet1"/>
    <tableColumn id="414" xr3:uid="{20ED80BA-1E44-4A15-87E1-211C9F47C0B2}" name="Vietnamese PM Equity" dataDxfId="1441" dataCellStyle="Normal_Sheet1"/>
    <tableColumn id="415" xr3:uid="{0C318705-0D22-48DA-9219-5027DCA11392}" name="Other PM Equity" dataDxfId="1440" dataCellStyle="Normal_Sheet1"/>
    <tableColumn id="416" xr3:uid="{DAA3890B-7BEA-4184-A438-BA2260C728BC}" name="White NSI Equity" dataDxfId="1439" dataCellStyle="Normal_Sheet1"/>
    <tableColumn id="417" xr3:uid="{EDB58B7A-BDF0-46E6-9BEB-36D9606F6457}" name="Hispanic NSI Equity" dataDxfId="1438" dataCellStyle="Normal_Sheet1"/>
    <tableColumn id="418" xr3:uid="{9AD2F681-9F3C-4199-9E4E-8306BB6D1ED9}" name="Black NSI Equity" dataDxfId="1437" dataCellStyle="Normal_Sheet1"/>
    <tableColumn id="419" xr3:uid="{A23454F6-1C63-4040-A06A-5A46D5B8AA1A}" name="Asian Pacific NSI Equity" dataDxfId="1436" dataCellStyle="Normal_Sheet1"/>
    <tableColumn id="420" xr3:uid="{5DCAEE51-A316-41FA-ACF7-5BB0D86587A5}" name="Alaskan Native NSI Equity" dataDxfId="1435" dataCellStyle="Normal_Sheet1"/>
    <tableColumn id="421" xr3:uid="{5FC9E0D3-237C-4D81-8A2B-09712D170464}" name="Filipino NSI Equity" dataDxfId="1434" dataCellStyle="Normal_Sheet1"/>
    <tableColumn id="422" xr3:uid="{6ABC42BD-61C7-47CF-BD5E-1F7DE3D37505}" name="No Valid Data NSI Equity" dataDxfId="1433" dataCellStyle="Normal_Sheet1"/>
    <tableColumn id="423" xr3:uid="{58F0E0B7-9288-46F3-ABDF-09BB822293E6}" name="Amerasion NSI Equity" dataDxfId="1432" dataCellStyle="Normal_Sheet1"/>
    <tableColumn id="424" xr3:uid="{83DF6432-0039-4543-8428-D73098B29DF6}" name="Chinese NSI Equity" dataDxfId="1431" dataCellStyle="Normal_Sheet1"/>
    <tableColumn id="425" xr3:uid="{FF587565-2454-4935-96CE-CC0A5507CFF9}" name="Cambodian NSI Equity" dataDxfId="1430" dataCellStyle="Normal_Sheet1"/>
    <tableColumn id="426" xr3:uid="{9620D176-8902-4B22-85BE-34714F3383C8}" name="Japanese NSI Equity" dataDxfId="1429" dataCellStyle="Normal_Sheet1"/>
    <tableColumn id="427" xr3:uid="{1D7386F7-8829-4C9F-ACD6-41087C2FF842}" name="Korean NSI Equity" dataDxfId="1428" dataCellStyle="Normal_Sheet1"/>
    <tableColumn id="428" xr3:uid="{B861499C-5913-46BC-945A-25A27BCB6F3A}" name="Samoan NSI Equity" dataDxfId="1427" dataCellStyle="Normal_Sheet1"/>
    <tableColumn id="429" xr3:uid="{FDE07A64-5CBD-4F0A-BB60-CBCCFA3CDD36}" name="Asian Indian NSI Equity" dataDxfId="1426" dataCellStyle="Normal_Sheet1"/>
    <tableColumn id="430" xr3:uid="{928C80DC-8E96-4589-87F3-4F94CCB1D07F}" name="Hawaiian NSI Equity" dataDxfId="1425" dataCellStyle="Normal_Sheet1"/>
    <tableColumn id="431" xr3:uid="{1B3EFC42-B547-4C07-A246-711D54CE09FC}" name="Guamanian NSI Equity" dataDxfId="1424" dataCellStyle="Normal_Sheet1"/>
    <tableColumn id="432" xr3:uid="{ACC9CC2A-1795-462B-9D26-31776EE7306B}" name="Laotian NSI Equity" dataDxfId="1423" dataCellStyle="Normal_Sheet1"/>
    <tableColumn id="433" xr3:uid="{3C7BC289-544C-43F2-9129-EC933758A0F1}" name="Vietnamese NSI Equity" dataDxfId="1422" dataCellStyle="Normal_Sheet1"/>
    <tableColumn id="434" xr3:uid="{3AE30ADC-EF82-47B0-AA95-12C31B34EE51}" name="Other NSI Equity" dataDxfId="1421" dataCellStyle="Normal_Sheet1"/>
    <tableColumn id="435" xr3:uid="{33EB335D-9063-49B2-B407-D97B8B08FFC2}" name="White SI Equity" dataDxfId="1420" dataCellStyle="Normal_Sheet1"/>
    <tableColumn id="436" xr3:uid="{0144B1B3-74FB-4A18-81A9-03AF964DED86}" name="Hispanic SI Equity" dataDxfId="1419" dataCellStyle="Normal_Sheet1"/>
    <tableColumn id="437" xr3:uid="{98B4C68E-56D1-4223-8378-9E890DA844B9}" name="Black SI Equity" dataDxfId="1418" dataCellStyle="Normal_Sheet1"/>
    <tableColumn id="438" xr3:uid="{A70651F3-BB28-4FA7-B3C0-FC77659D9FB9}" name="Asian Pacific SI Equity" dataDxfId="1417" dataCellStyle="Normal_Sheet1"/>
    <tableColumn id="439" xr3:uid="{B7F7EA4C-9716-40DB-8774-6BD2936E24AF}" name="Alaskan Native SI Equity" dataDxfId="1416" dataCellStyle="Normal_Sheet1"/>
    <tableColumn id="440" xr3:uid="{E338750D-6D44-45AC-83B7-D714E60F0497}" name="Filipino SI Equity" dataDxfId="1415" dataCellStyle="Normal_Sheet1"/>
    <tableColumn id="441" xr3:uid="{6463B8A1-7DAF-44B2-9B95-269DF1DA226A}" name="No Valid Data SI Equity" dataDxfId="1414" dataCellStyle="Normal_Sheet1"/>
    <tableColumn id="442" xr3:uid="{B91F7B0D-2955-4082-87B1-34136528F23A}" name="Amerasion SI Equity" dataDxfId="1413" dataCellStyle="Normal_Sheet1"/>
    <tableColumn id="443" xr3:uid="{8852EF21-0984-4D59-936A-2E32F03C2D40}" name="Chinese SI Equity" dataDxfId="1412" dataCellStyle="Normal_Sheet1"/>
    <tableColumn id="444" xr3:uid="{BB2916C1-E9E4-4C63-B662-BBF9FD329DE5}" name="Cambodian SI Equity" dataDxfId="1411" dataCellStyle="Normal_Sheet1"/>
    <tableColumn id="445" xr3:uid="{0EE06C04-EABE-446E-B7BF-F4FEE743A258}" name="Japanese SI Equity" dataDxfId="1410" dataCellStyle="Normal_Sheet1"/>
    <tableColumn id="446" xr3:uid="{D8F70522-1E3C-418B-A5F1-D18850D48166}" name="Korean SI Equity" dataDxfId="1409" dataCellStyle="Normal_Sheet1"/>
    <tableColumn id="447" xr3:uid="{898DBD70-9449-4089-8BA5-ACCDE60ADFA4}" name="Samoan SI Equity" dataDxfId="1408" dataCellStyle="Normal_Sheet1"/>
    <tableColumn id="448" xr3:uid="{E7709747-C420-449F-82BD-FBF6CC2E494F}" name="Asian Indian SI Equity" dataDxfId="1407" dataCellStyle="Normal_Sheet1"/>
    <tableColumn id="449" xr3:uid="{6BBEF6E7-BB55-40D9-9AE2-96AC2B20434A}" name="Hawaiian SI Equity" dataDxfId="1406" dataCellStyle="Normal_Sheet1"/>
    <tableColumn id="450" xr3:uid="{01841735-F331-4E78-8D03-88EA6CCEDD69}" name="Guamanian SI Equity" dataDxfId="1405" dataCellStyle="Normal_Sheet1"/>
    <tableColumn id="451" xr3:uid="{29AF4693-F6FC-4AD6-94C6-62FFA0E510C6}" name="Laotian SI Equity" dataDxfId="1404" dataCellStyle="Normal_Sheet1"/>
    <tableColumn id="452" xr3:uid="{32D852E3-3C68-43DC-9816-CA39AFFDA892}" name="Vietnamese SI Equity" dataDxfId="1403" dataCellStyle="Normal_Sheet1"/>
    <tableColumn id="453" xr3:uid="{1E7A258B-2E61-4E2A-A905-7F54294E7FB1}" name="Other SI Equity" dataDxfId="1402" dataCellStyle="Normal_Sheet1"/>
    <tableColumn id="207" xr3:uid="{01072EAC-1706-41B8-B302-F72CD8BD47E4}" name="Female " dataDxfId="1401"/>
    <tableColumn id="208" xr3:uid="{B1D5B946-B1C4-4B1D-AD6B-C51486B3D6E4}" name="Male " dataDxfId="1400"/>
    <tableColumn id="209" xr3:uid="{1B2C225D-86B4-43BE-BA27-36BFF20B7561}" name="White " dataDxfId="1399"/>
    <tableColumn id="210" xr3:uid="{FDABD894-0C1D-4716-A610-D1264BC6DD1B}" name="Hispanic " dataDxfId="1398"/>
    <tableColumn id="211" xr3:uid="{F857EE44-5424-40C4-A43B-8BF68C57A9D8}" name="Black " dataDxfId="1397"/>
    <tableColumn id="212" xr3:uid="{E9BF2C80-0967-4D34-96E1-53B5DAB9B1FB}" name="Asian or Pacific Islander " dataDxfId="1396"/>
    <tableColumn id="213" xr3:uid="{803F3EE0-2646-4B11-9549-731A5E5C7EC3}" name="Alaskan Native or American Indian " dataDxfId="1395"/>
    <tableColumn id="214" xr3:uid="{6BD8371E-8C3E-4E33-A2A9-53C53750F467}" name="Filipino " dataDxfId="1394"/>
    <tableColumn id="215" xr3:uid="{58133A3D-225B-4318-8D1B-11786D0A3BF7}" name="No Valid Data Reported " dataDxfId="1393"/>
    <tableColumn id="217" xr3:uid="{3E81D565-B0ED-4072-AE2B-E0379581620D}" name="Amerasian " dataDxfId="1392"/>
    <tableColumn id="218" xr3:uid="{A4B5133A-020F-4282-B1F0-E25EEA05D281}" name="Chinese " dataDxfId="1391"/>
    <tableColumn id="219" xr3:uid="{FCAB6EAB-0DEC-4A17-A4D3-E27530E5FAB6}" name="Cambodian " dataDxfId="1390"/>
    <tableColumn id="220" xr3:uid="{3BF1BEA3-71E4-4333-B099-BC01F152B67F}" name="Japanese " dataDxfId="1389"/>
    <tableColumn id="221" xr3:uid="{94670B8E-1735-4159-B19B-197F4F8B96A3}" name="Korean " dataDxfId="1388"/>
    <tableColumn id="222" xr3:uid="{212CA0A9-6B32-4EB2-B3EA-E14E7209B7D3}" name="Samoan " dataDxfId="1387"/>
    <tableColumn id="223" xr3:uid="{54553A34-AF9B-4CD4-A5CF-CE65BB2E0121}" name="Asian Indian " dataDxfId="1386"/>
    <tableColumn id="224" xr3:uid="{9977298B-9A24-440D-9D0B-70D0C996E4C3}" name="Hawaiian " dataDxfId="1385"/>
    <tableColumn id="225" xr3:uid="{AD16716E-78E0-4E21-8E3C-92C4F857049E}" name="Guamanian " dataDxfId="1384"/>
    <tableColumn id="226" xr3:uid="{3E0F0E0F-9A37-4D0D-9687-B119C7FAFBCC}" name="Laotian " dataDxfId="1383"/>
    <tableColumn id="227" xr3:uid="{CC364A1A-AC51-45C5-BAB8-A905C78AEDB3}" name="Vietnamese " dataDxfId="1382"/>
    <tableColumn id="228" xr3:uid="{E0815F45-348F-4AAA-8C45-20558EDA0CE2}" name="Other " dataDxfId="1381"/>
    <tableColumn id="229" xr3:uid="{E3996BB6-A006-4926-B30D-576F737A4A02}" name="Spoken Language - American Sign Language " dataDxfId="1380"/>
    <tableColumn id="230" xr3:uid="{C947D42D-3FC0-4894-8FB1-CBC82230238F}" name="Spoken Language - Spanish " dataDxfId="1379"/>
    <tableColumn id="231" xr3:uid="{06658729-CC95-44BD-84BA-6543B940897F}" name="Spoken Language - Cantonese " dataDxfId="1378"/>
    <tableColumn id="232" xr3:uid="{691031B1-1FFF-4F7E-BD6E-840C94C3BB1D}" name="Spoken Language - Japanese " dataDxfId="1377"/>
    <tableColumn id="233" xr3:uid="{8122F435-CB05-4655-80C0-DE9C900F171B}" name="Spoken Language - Korean " dataDxfId="1376"/>
    <tableColumn id="234" xr3:uid="{F38852EC-64B9-45E8-A058-B6A7E7DDA51E}" name="Spoken Language - Tagalog " dataDxfId="1375"/>
    <tableColumn id="235" xr3:uid="{C858EDF0-7C69-488B-B5D0-59F33D9DFA90}" name="Spoken Language - Other Non-English " dataDxfId="1374"/>
    <tableColumn id="236" xr3:uid="{601A8A86-CA8D-42AE-B2F6-B82C51E70BEC}" name="Spoken Language - English " dataDxfId="1373"/>
    <tableColumn id="237" xr3:uid="{873ABA82-4D6C-417E-AAE1-9B4BBE1FA757}" name="Spoken Language - No Valid Data Reported " dataDxfId="1372"/>
    <tableColumn id="239" xr3:uid="{E4FC7B70-10A0-4B4D-A8B0-AF906AECA103}" name="Spoken Language - Other Sign Language " dataDxfId="1371"/>
    <tableColumn id="240" xr3:uid="{89E584D8-3249-4DAD-804A-5ADE5BFA5CD2}" name="Spoken Language - Mandarin " dataDxfId="1370"/>
    <tableColumn id="241" xr3:uid="{A6117AC9-37BB-4B4F-878A-9455FBB1F72E}" name="Spoken Language - Other Chinese Languages " dataDxfId="1369"/>
    <tableColumn id="242" xr3:uid="{BD3AB7C0-6515-47E6-A0A4-B1926D49788C}" name="Spoken Language - Cambodian " dataDxfId="1368"/>
    <tableColumn id="243" xr3:uid="{08A24CBA-3BE5-48E9-B255-F2EF2288FF48}" name="Spoken Language - Armenian " dataDxfId="1367"/>
    <tableColumn id="244" xr3:uid="{FBD637AA-D26C-4DEC-BCF1-EFF29386EF74}" name="Spoken Language - Ilocano " dataDxfId="1366"/>
    <tableColumn id="245" xr3:uid="{7F9E9BB1-09D9-4A5E-8EE7-3BBB72FBD172}" name="Spoken Language - Mien " dataDxfId="1365"/>
    <tableColumn id="246" xr3:uid="{8BCC49BA-D2B2-4073-9C0E-AC00FF00A48A}" name="Spoken Language - Hmong " dataDxfId="1364"/>
    <tableColumn id="247" xr3:uid="{60F2EE3C-42C6-4FB0-B20B-DB3D0DA94938}" name="Spoken Language - Lao " dataDxfId="1363"/>
    <tableColumn id="248" xr3:uid="{B7971805-DC3D-4F3B-B8E1-D681902660BE}" name="Spoken Language - Turkish " dataDxfId="1362"/>
    <tableColumn id="249" xr3:uid="{C5C1CA44-2B03-4866-8300-F7829E0E5228}" name="Spoken Language - Hebrew " dataDxfId="1361"/>
    <tableColumn id="250" xr3:uid="{E7B0ED32-0288-4EFF-B37C-AEB8AF5F4599}" name="Spoken Language - French " dataDxfId="1360"/>
    <tableColumn id="251" xr3:uid="{89602536-3605-42F2-A74F-DA2B1FEB5302}" name="Spoken Language - Polish " dataDxfId="1359"/>
    <tableColumn id="252" xr3:uid="{94660293-C3A1-49B6-8CE3-B8F627DA0F00}" name="Spoken Language - Russian " dataDxfId="1358"/>
    <tableColumn id="253" xr3:uid="{F1C3258D-CDEC-4D91-A566-4B344ED1CD46}" name="Spoken Language - Portuguese " dataDxfId="1357"/>
    <tableColumn id="254" xr3:uid="{FBB0D09F-7C8A-4518-A91F-C2B1B44F715B}" name="Spoken Language - Italian " dataDxfId="1356"/>
    <tableColumn id="255" xr3:uid="{4B143383-427D-49F0-AA8F-8B268FF27FB4}" name="Spoken Language - Arabic " dataDxfId="1355"/>
    <tableColumn id="256" xr3:uid="{38217820-8331-4910-B227-ECE615CF80DA}" name="Spoken Language - Samoan " dataDxfId="1354"/>
    <tableColumn id="257" xr3:uid="{21B4A13A-60C8-4C13-9CDB-3A215559893F}" name="Spoken Language - Thai " dataDxfId="1353"/>
    <tableColumn id="258" xr3:uid="{28394668-18F0-4A5E-A498-3905ACD2DE86}" name="Spoken Language - Farsi " dataDxfId="1352"/>
    <tableColumn id="259" xr3:uid="{02680796-85DD-474D-893A-D01AA8B5A363}" name="Spoken Language - Vietnamese " dataDxfId="1351"/>
    <tableColumn id="314" xr3:uid="{F0A6B6A5-2A88-4BF5-A0AC-FF3F0ADDC598}" name="Spoken Language - Hindi" dataDxfId="1350" dataCellStyle="Percent"/>
    <tableColumn id="313" xr3:uid="{66426889-8E54-4D87-8945-B56723C18A1F}" name="Spoken Language - Punjabi" dataDxfId="1349" dataCellStyle="Percent"/>
    <tableColumn id="312" xr3:uid="{E14ABD34-572E-40C9-A9F8-D73CB0826BBF}" name="Spoken Language - Ukrainian" dataDxfId="1348" dataCellStyle="Percent"/>
    <tableColumn id="261" xr3:uid="{0B52FE9D-79C4-4833-89BE-C828F71E3F02}" name="Provider Spoken - American Sign Language " dataDxfId="1347"/>
    <tableColumn id="262" xr3:uid="{95945DDB-C3D5-4A13-A1A6-2681D97ECEEF}" name="Provider Spoken - Spanish " dataDxfId="1346"/>
    <tableColumn id="263" xr3:uid="{3D51BAE0-AFAD-4972-B287-0D08C8D0A16A}" name="Provider Spoken - Cantonese " dataDxfId="1345"/>
    <tableColumn id="264" xr3:uid="{BD5BA3DC-1892-4A0B-8EAE-8022BDCBBF2E}" name="Provider Spoken - Japanese " dataDxfId="1344"/>
    <tableColumn id="265" xr3:uid="{573F9E9E-9911-42F8-BE7B-33079E90CA14}" name="Provider Spoken - Korean " dataDxfId="1343"/>
    <tableColumn id="266" xr3:uid="{3AA9D9CF-9D50-468C-9DA5-E231C41165D4}" name="Provider Spoken - Tagalog " dataDxfId="1342"/>
    <tableColumn id="267" xr3:uid="{8614CE67-DD64-45F2-B5F2-E70A24742435}" name="Provider Spoken - Other Non-English " dataDxfId="1341"/>
    <tableColumn id="268" xr3:uid="{C1BC853B-DD28-4F50-89A8-4B2729316947}" name="Provider Spoken - English " dataDxfId="1340"/>
    <tableColumn id="269" xr3:uid="{62AFA5FE-2AE8-4FD1-BA6E-7880C05AE85E}" name="Provider Spoken - No Valid Data Reported " dataDxfId="1339"/>
    <tableColumn id="271" xr3:uid="{9A8B8753-7403-4E11-B205-0480306BEDE6}" name="Provider Spoken - Other Sign Language " dataDxfId="1338"/>
    <tableColumn id="272" xr3:uid="{09153623-64B7-44D7-98CF-F635625ACB25}" name="Provider Spoken - Mandarin " dataDxfId="1337"/>
    <tableColumn id="273" xr3:uid="{BB8FCAF7-A379-423D-A1AC-0E3233FD6688}" name="Provider Spoken - Other Chinese Languages " dataDxfId="1336"/>
    <tableColumn id="274" xr3:uid="{FD71980F-CDC5-4C87-80A0-73F66BAB53FF}" name="Provider Spoken - Cambodian " dataDxfId="1335"/>
    <tableColumn id="275" xr3:uid="{802CD98D-C9F5-4A19-9E44-5D71E2778114}" name="Provider Spoken - Armenian " dataDxfId="1334"/>
    <tableColumn id="276" xr3:uid="{3A9E8640-389B-469E-95FC-5A2B7C26074E}" name="Provider Spoken - Ilocano " dataDxfId="1333"/>
    <tableColumn id="277" xr3:uid="{0BD636B7-6A51-491A-851B-130B1CB0944E}" name="Provider Spoken - Mien " dataDxfId="1332"/>
    <tableColumn id="278" xr3:uid="{AFD714DC-EAC3-461E-89F5-D7D55B206F59}" name="Provider Spoken - Hmong " dataDxfId="1331"/>
    <tableColumn id="279" xr3:uid="{6C012565-0478-4FDA-9C85-728A3EF06F2D}" name="Provider Spoken - Lao " dataDxfId="1330"/>
    <tableColumn id="280" xr3:uid="{3878142A-5D4F-4F10-B6AA-B5A5632227EA}" name="Provider Spoken - Turkish " dataDxfId="1329"/>
    <tableColumn id="281" xr3:uid="{AB5A46AF-5836-4D8D-9AF6-2A94F4E60D1E}" name="Provider Spoken - Hebrew " dataDxfId="1328"/>
    <tableColumn id="282" xr3:uid="{D1C34261-1693-4668-A4F5-CEF2455535CE}" name="Provider Spoken - French " dataDxfId="1327"/>
    <tableColumn id="283" xr3:uid="{F871C840-5E1B-4F62-98CE-960E78870E50}" name="Provider Spoken - Polish " dataDxfId="1326"/>
    <tableColumn id="284" xr3:uid="{64C09991-F414-45C3-B336-080FE8709659}" name="Provider Spoken - Russian " dataDxfId="1325"/>
    <tableColumn id="285" xr3:uid="{25CCF244-A3C2-4D95-B2D9-266491937580}" name="Provider Spoken - Portuguese " dataDxfId="1324"/>
    <tableColumn id="286" xr3:uid="{8F54E805-7F9A-4C3E-9F09-C55CB6016EEF}" name="Provider Spoken - Italian " dataDxfId="1323"/>
    <tableColumn id="287" xr3:uid="{F5CECEBA-5B00-4271-976C-4B13E33AC038}" name="Provider Spoken - Arabic " dataDxfId="1322"/>
    <tableColumn id="288" xr3:uid="{69EFCF8D-A8A6-4CA4-BC23-FD47B16E507E}" name="Provider Spoken - Samoan " dataDxfId="1321"/>
    <tableColumn id="289" xr3:uid="{D0DF81FD-036D-4006-B3AF-2467B9C2C651}" name="Provider Spoken - Thai " dataDxfId="1320"/>
    <tableColumn id="290" xr3:uid="{8F45A676-4ED3-4B90-BC4A-0F6004B45E87}" name="Provider Spoken - Farsi " dataDxfId="1319"/>
    <tableColumn id="291" xr3:uid="{EB3BB9F8-2D09-4038-B28F-7DA082D32BFE}" name="Provider Spoken - Vietnamese " dataDxfId="1318"/>
    <tableColumn id="319" xr3:uid="{19292988-EF2E-458A-8EC6-6C304DB87736}" name="Provider Spoken Language - Hindi  " dataDxfId="1317" dataCellStyle="Percent"/>
    <tableColumn id="320" xr3:uid="{A2283EE5-1334-4C50-AB6C-BD948DC7820D}" name="Provider Spoken Language - Punjabi  " dataDxfId="1316" dataCellStyle="Percent"/>
    <tableColumn id="321" xr3:uid="{50BF8F38-FB6B-4129-BAEA-2B70166399FA}" name="Provider Spoken Language - Ukrainian  " dataDxfId="1315" dataCellStyle="Percent"/>
    <tableColumn id="454" xr3:uid="{187E0687-133B-460C-8B65-38867ABBC579}" name="White Apps Equity " dataDxfId="1314" dataCellStyle="Percent"/>
    <tableColumn id="455" xr3:uid="{B46A8C92-48D9-433B-82A9-348F494D095A}" name="Hispanic Apps Equity " dataDxfId="1313" dataCellStyle="Percent"/>
    <tableColumn id="456" xr3:uid="{30A1975D-C94C-4FF5-B808-0662518F6E53}" name="Black Apps Equity " dataDxfId="1312" dataCellStyle="Percent"/>
    <tableColumn id="457" xr3:uid="{8BCEA510-FCEF-43CE-9594-F2A677D35784}" name="Asian Pacific Apps Equity " dataDxfId="1311" dataCellStyle="Percent"/>
    <tableColumn id="458" xr3:uid="{230D7D64-D32D-46FC-BA6E-31F5B5517020}" name="Alaskan Native Apps Equity " dataDxfId="1310" dataCellStyle="Percent"/>
    <tableColumn id="459" xr3:uid="{893199E9-D428-44A3-A78B-DF5F33FC6EB8}" name="Filipino Apps Equity " dataDxfId="1309" dataCellStyle="Percent"/>
    <tableColumn id="460" xr3:uid="{28001AAD-B220-47CA-9D8D-7C7735C2897C}" name="No Valid Data Apps Equity " dataDxfId="1308" dataCellStyle="Percent"/>
    <tableColumn id="461" xr3:uid="{1D63A7D7-07C8-4526-8759-AC8A2D60BBBC}" name="Amerasion Apps Equity " dataDxfId="1307" dataCellStyle="Percent"/>
    <tableColumn id="462" xr3:uid="{AE9A1888-9A41-431C-B0EB-1187BA99430C}" name="Chinese Apps Equity " dataDxfId="1306" dataCellStyle="Percent"/>
    <tableColumn id="463" xr3:uid="{40DFEC83-9669-46F7-AB1B-822EE22FA839}" name="Cambodian Apps Equity " dataDxfId="1305" dataCellStyle="Percent"/>
    <tableColumn id="464" xr3:uid="{61EEB309-6D63-4CE4-991A-4EEE89EDB8E3}" name="Japanese Apps Equity " dataDxfId="1304" dataCellStyle="Percent"/>
    <tableColumn id="465" xr3:uid="{A3467F1E-B3C8-4ACA-9338-ED886AB6B3B0}" name="Korean Apps Equity " dataDxfId="1303" dataCellStyle="Percent"/>
    <tableColumn id="466" xr3:uid="{DCF9A41D-A85C-4235-8D4E-7A144C7BAB95}" name="Samoan Apps Equity " dataDxfId="1302" dataCellStyle="Percent"/>
    <tableColumn id="467" xr3:uid="{83BC7D83-1932-4206-A9CB-08B70B835211}" name="Asian Indian Apps Equity " dataDxfId="1301" dataCellStyle="Percent"/>
    <tableColumn id="468" xr3:uid="{2ECCAC49-E689-469B-BF44-00BBB9DA7315}" name="Hawaiian Apps Equity " dataDxfId="1300" dataCellStyle="Percent"/>
    <tableColumn id="469" xr3:uid="{84D8C8DF-18F5-408E-9F2C-CC13400A8A10}" name="Guamanian Apps Equity " dataDxfId="1299" dataCellStyle="Percent"/>
    <tableColumn id="470" xr3:uid="{9BCC2504-E091-4D68-AB90-53E8C0E27D55}" name="Laotian Apps Equity " dataDxfId="1298" dataCellStyle="Percent"/>
    <tableColumn id="471" xr3:uid="{E03A1D2D-3A09-414B-9EF7-CAAD49A204DF}" name="Vietnamese Apps Equity " dataDxfId="1297" dataCellStyle="Percent"/>
    <tableColumn id="472" xr3:uid="{7EBBB452-7DEA-448C-B6E3-CDF3AA247FC5}" name="Other Apps Equity " dataDxfId="1296" dataCellStyle="Percent"/>
    <tableColumn id="473" xr3:uid="{E26654DC-0FF2-4861-AB06-817D103DE29C}" name="White Denials Equity " dataDxfId="1295" dataCellStyle="Percent"/>
    <tableColumn id="474" xr3:uid="{7F6A894F-159A-4E34-A491-9DE020C8C624}" name="Hispanic Denials Equity " dataDxfId="1294" dataCellStyle="Percent"/>
    <tableColumn id="475" xr3:uid="{B6B3454A-2791-476E-9561-BE4424508FBF}" name="Black Denials Equity " dataDxfId="1293" dataCellStyle="Percent"/>
    <tableColumn id="476" xr3:uid="{BE5160BE-1607-4261-9EA1-3902351322FF}" name="Asian Pacific Denials Equity " dataDxfId="1292" dataCellStyle="Percent"/>
    <tableColumn id="477" xr3:uid="{2992A03C-AA34-4F09-9773-170FFC0CAD17}" name="Alaskan Native Denials Equity " dataDxfId="1291" dataCellStyle="Percent"/>
    <tableColumn id="478" xr3:uid="{96ED24E5-B6FC-4DC5-B34F-04E6A0F39C3D}" name="Filipino Denials Equity " dataDxfId="1290" dataCellStyle="Percent"/>
    <tableColumn id="479" xr3:uid="{71FAE190-DFBE-4FD7-A798-DB9E69D38E8F}" name="No Valid Data Denials Equity " dataDxfId="1289" dataCellStyle="Percent"/>
    <tableColumn id="480" xr3:uid="{7B938664-4A08-4306-9EB2-3C3B5946AEA1}" name="Amerasion Denials Equity " dataDxfId="1288" dataCellStyle="Percent"/>
    <tableColumn id="481" xr3:uid="{AFDF9AA5-5817-4C47-8DC3-CFFA47DC02C7}" name="Chinese Denials Equity " dataDxfId="1287" dataCellStyle="Percent"/>
    <tableColumn id="482" xr3:uid="{2F74BBEE-14E7-410F-A8C9-8A6D11606BC2}" name="Cambodian Denials Equity " dataDxfId="1286" dataCellStyle="Percent"/>
    <tableColumn id="483" xr3:uid="{809C72A1-4012-4764-B2A7-9B946E6680CD}" name="Japanese Denials Equity " dataDxfId="1285" dataCellStyle="Percent"/>
    <tableColumn id="484" xr3:uid="{0DE506F1-58C7-43D7-A61B-E1E16F076004}" name="Korean Denials Equity " dataDxfId="1284" dataCellStyle="Percent"/>
    <tableColumn id="485" xr3:uid="{1C6EF503-13C5-4D4C-8A3E-5804FD19CFC8}" name="Samoan Denials Equity " dataDxfId="1283" dataCellStyle="Percent"/>
    <tableColumn id="486" xr3:uid="{9B30879D-2C86-48C6-BB67-82AFD7ACD664}" name="Asian Indian Denials Equity " dataDxfId="1282" dataCellStyle="Percent"/>
    <tableColumn id="487" xr3:uid="{53A27132-6818-4EE3-B83B-ED17BC295EA6}" name="Hawaiian Denials Equity " dataDxfId="1281" dataCellStyle="Percent"/>
    <tableColumn id="488" xr3:uid="{FA9630F6-DB7E-4DE7-A838-87772551C3FD}" name="Guamanian Denials Equity " dataDxfId="1280" dataCellStyle="Percent"/>
    <tableColumn id="489" xr3:uid="{FBB48B2E-0EC8-4463-8942-106656F989D9}" name="Laotian Denials Equity " dataDxfId="1279" dataCellStyle="Percent"/>
    <tableColumn id="490" xr3:uid="{B7ECD297-30FA-4051-B7AA-1E129B466388}" name="Vietnamese Denials Equity " dataDxfId="1278" dataCellStyle="Percent"/>
    <tableColumn id="491" xr3:uid="{D9BF9F89-EC59-4EBE-8B1A-EE94949FA3A1}" name="Other Denials Equity " dataDxfId="1277" dataCellStyle="Percent"/>
    <tableColumn id="492" xr3:uid="{F4CACC45-0E42-4305-B37E-B05210AABB95}" name="White Auth Hours Equity " dataDxfId="1276" dataCellStyle="Percent"/>
    <tableColumn id="493" xr3:uid="{F85344DA-DD6D-4FD6-8D8D-0516BA5A6E35}" name="Hispanic Auth Hours Equity " dataDxfId="1275" dataCellStyle="Percent"/>
    <tableColumn id="494" xr3:uid="{EFD31144-13CA-4DB9-87DF-EBAD2155EFEA}" name="Black Auth Hours Equity " dataDxfId="1274" dataCellStyle="Percent"/>
    <tableColumn id="495" xr3:uid="{EEDB4172-F62B-4185-9017-9B27BC63EA0A}" name="Asian Pacific Auth Hours Equity " dataDxfId="1273" dataCellStyle="Percent"/>
    <tableColumn id="496" xr3:uid="{EFA27D3B-04FA-459B-BB6C-8DD4F90BB07D}" name="Alaskan Native Auth Hours Equity " dataDxfId="1272" dataCellStyle="Percent"/>
    <tableColumn id="497" xr3:uid="{B917461F-8224-4FE4-9885-49ED9DEDD52C}" name="Filipino Auth Hours Equity " dataDxfId="1271" dataCellStyle="Percent"/>
    <tableColumn id="498" xr3:uid="{1B259327-75FD-4A87-8B82-299F74B3D13C}" name="No Valid Data Auth Hours Equity " dataDxfId="1270" dataCellStyle="Percent"/>
    <tableColumn id="499" xr3:uid="{CACD2937-DEBF-4671-9891-30FEB163A1E3}" name="Amerasion Auth Hours Equity " dataDxfId="1269" dataCellStyle="Percent"/>
    <tableColumn id="500" xr3:uid="{186F0A0D-761D-47EC-88F6-CB507BCA67BC}" name="Chinese Auth Hours Equity " dataDxfId="1268" dataCellStyle="Percent"/>
    <tableColumn id="501" xr3:uid="{D56E2235-CF33-4DE0-8378-A31C454F4BEA}" name="Cambodian Auth Hours Equity " dataDxfId="1267" dataCellStyle="Percent"/>
    <tableColumn id="502" xr3:uid="{738BB793-BFCE-439D-8F9D-97600868AEF3}" name="Japanese Auth Hours Equity " dataDxfId="1266" dataCellStyle="Percent"/>
    <tableColumn id="503" xr3:uid="{3AAE30FC-E5AB-4589-9FE4-C27032A7C99E}" name="Korean Auth Hours Equity " dataDxfId="1265" dataCellStyle="Percent"/>
    <tableColumn id="504" xr3:uid="{18725662-FE7C-42A2-B264-96BA177B8903}" name="Samoan Auth Hours Equity " dataDxfId="1264" dataCellStyle="Percent"/>
    <tableColumn id="505" xr3:uid="{D1138280-6AE0-474A-B095-41A98F064D93}" name="Asian Indian Auth Hours Equity " dataDxfId="1263" dataCellStyle="Percent"/>
    <tableColumn id="506" xr3:uid="{515E649A-0FCC-44CE-8ACF-E289F76F46B8}" name="Hawaiian Auth Hours Equity " dataDxfId="1262" dataCellStyle="Percent"/>
    <tableColumn id="507" xr3:uid="{FD2750E7-FD92-497C-A8C7-C5612F6C74EC}" name="Guamanian Auth Hours Equity " dataDxfId="1261" dataCellStyle="Percent"/>
    <tableColumn id="508" xr3:uid="{D7EB6564-8AC2-454E-8B7A-1B7848F55C35}" name="Laotian Auth Hours Equity " dataDxfId="1260" dataCellStyle="Percent"/>
    <tableColumn id="509" xr3:uid="{4BCB3BFE-202C-45DA-B967-EB1F1178208A}" name="Vietnamese Auth Hours Equity " dataDxfId="1259" dataCellStyle="Percent"/>
    <tableColumn id="510" xr3:uid="{3C6DE3AE-9C05-49E4-9071-F12DC99EE1F9}" name="Other Auth Hours Equity " dataDxfId="1258" dataCellStyle="Percent"/>
    <tableColumn id="511" xr3:uid="{F6A59DDE-B059-4C4D-9AD6-1063AF09B7B3}" name="White PS Equity " dataDxfId="1257" dataCellStyle="Percent"/>
    <tableColumn id="512" xr3:uid="{3D50CF06-FD12-4F74-996E-4E03575FA22E}" name="Hispanic PS Equity " dataDxfId="1256" dataCellStyle="Percent"/>
    <tableColumn id="513" xr3:uid="{3B5678EA-160D-496C-9C05-7E1F92C04226}" name="Black PS Equity " dataDxfId="1255" dataCellStyle="Percent"/>
    <tableColumn id="514" xr3:uid="{60FDF042-F86A-4C71-B4BC-0B3D15123DC3}" name="Asian Pacific PS Equity " dataDxfId="1254" dataCellStyle="Percent"/>
    <tableColumn id="515" xr3:uid="{275BEC8C-5E06-44DB-9C4C-96820F42A863}" name="Alaskan Native PS Equity " dataDxfId="1253" dataCellStyle="Percent"/>
    <tableColumn id="516" xr3:uid="{AB612DF3-FB12-4500-886B-A909DB5F644A}" name="Filipino PS Equity " dataDxfId="1252" dataCellStyle="Percent"/>
    <tableColumn id="517" xr3:uid="{03C974A7-C71C-49EB-A68C-C3F390F28FD8}" name="No Valid Data PS Equity " dataDxfId="1251" dataCellStyle="Percent"/>
    <tableColumn id="518" xr3:uid="{560969E1-6B98-41A2-9122-6A55C1D57E53}" name="Amerasion PS Equity " dataDxfId="1250" dataCellStyle="Percent"/>
    <tableColumn id="519" xr3:uid="{1DBB99D6-34B0-4BC4-BCBB-58EC7C0809A7}" name="Chinese PS Equity " dataDxfId="1249" dataCellStyle="Percent"/>
    <tableColumn id="520" xr3:uid="{DD910ECD-49B1-443E-BC1B-4EB6EDA19566}" name="Cambodian PS Equity " dataDxfId="1248" dataCellStyle="Percent"/>
    <tableColumn id="521" xr3:uid="{2EA4DBDB-BB44-4CE1-90E2-C54B256B5350}" name="Japanese PS Equity " dataDxfId="1247" dataCellStyle="Percent"/>
    <tableColumn id="522" xr3:uid="{5749DB17-4AA5-4BB3-8C6F-8F767CF4BA54}" name="Korean PS Equity " dataDxfId="1246" dataCellStyle="Percent"/>
    <tableColumn id="523" xr3:uid="{5DA524F9-10C2-420B-85CF-D7A4E636D68B}" name="Samoan PS Equity " dataDxfId="1245" dataCellStyle="Percent"/>
    <tableColumn id="524" xr3:uid="{D14C1830-C41C-4F27-8F1A-52006FEA0ADD}" name="Asian Indian PS Equity " dataDxfId="1244" dataCellStyle="Percent"/>
    <tableColumn id="525" xr3:uid="{12A5E92F-7A48-461B-A4C0-DF97F42EE6EF}" name="Hawaiian PS Equity " dataDxfId="1243" dataCellStyle="Percent"/>
    <tableColumn id="526" xr3:uid="{5FA5E0C2-269E-4B22-B9D6-7B1320BBFEE5}" name="Guamanian PS Equity " dataDxfId="1242" dataCellStyle="Percent"/>
    <tableColumn id="527" xr3:uid="{20703AA1-BDFA-476F-8989-B209F731E404}" name="Laotian PS Equity " dataDxfId="1241" dataCellStyle="Percent"/>
    <tableColumn id="528" xr3:uid="{C3810201-23D6-4F1F-A859-724A0620B346}" name="Vietnamese PS Equity " dataDxfId="1240" dataCellStyle="Percent"/>
    <tableColumn id="529" xr3:uid="{EA6C4552-404C-4D73-A1FA-486FE132B445}" name="Other PS Equity " dataDxfId="1239" dataCellStyle="Percent"/>
    <tableColumn id="530" xr3:uid="{FD5BE073-10A7-48E7-ABA8-B1B05AB40121}" name="White PM Equity " dataDxfId="1238" dataCellStyle="Percent"/>
    <tableColumn id="531" xr3:uid="{879E69A7-8EEA-40D1-B130-47C57D832AE5}" name="Hispanic PM Equity " dataDxfId="1237" dataCellStyle="Percent"/>
    <tableColumn id="532" xr3:uid="{B263682E-A1FF-4874-9043-4D8CAC755EB2}" name="Black PM Equity " dataDxfId="1236" dataCellStyle="Percent"/>
    <tableColumn id="533" xr3:uid="{8BE7B6D9-3F2B-4B07-A54E-08636E3DD920}" name="Asian Pacific PM Equity " dataDxfId="1235" dataCellStyle="Percent"/>
    <tableColumn id="534" xr3:uid="{91018AB9-8D18-4BBC-8C13-1159A4D19D6B}" name="Alaskan Native PM Equity " dataDxfId="1234" dataCellStyle="Percent"/>
    <tableColumn id="535" xr3:uid="{3C624655-7D84-4FD7-B9FB-4E689DED7991}" name="Filipino PM Equity " dataDxfId="1233" dataCellStyle="Percent"/>
    <tableColumn id="536" xr3:uid="{2DBF6F49-C1C6-4B63-B254-2CFA85013F5E}" name="No Valid Data PM Equity " dataDxfId="1232" dataCellStyle="Percent"/>
    <tableColumn id="537" xr3:uid="{A2D8BC3D-6497-45E3-9448-6A032DB88C0C}" name="Amerasion PM Equity " dataDxfId="1231" dataCellStyle="Percent"/>
    <tableColumn id="538" xr3:uid="{FCC31F3D-5678-4643-9EFE-9ECD5C477F4D}" name="Chinese PM Equity " dataDxfId="1230" dataCellStyle="Percent"/>
    <tableColumn id="539" xr3:uid="{4BEE9E55-12B4-4E67-B6F6-9A084F70ABBC}" name="Cambodian PM Equity " dataDxfId="1229" dataCellStyle="Percent"/>
    <tableColumn id="540" xr3:uid="{1EFF304C-77D6-44ED-AD69-8A7018CA595B}" name="Japanese PM Equity " dataDxfId="1228" dataCellStyle="Percent"/>
    <tableColumn id="541" xr3:uid="{2ED946BC-6482-4E48-AF73-5CA19DB7D6B4}" name="Korean PM Equity " dataDxfId="1227" dataCellStyle="Percent"/>
    <tableColumn id="542" xr3:uid="{71AF91DD-8F90-4436-95F7-05E2080A5017}" name="Samoan PM Equity " dataDxfId="1226" dataCellStyle="Percent"/>
    <tableColumn id="543" xr3:uid="{608487CE-19CB-4D3D-9843-0BBE15AD6A5E}" name="Asian Indian PM Equity " dataDxfId="1225" dataCellStyle="Percent"/>
    <tableColumn id="544" xr3:uid="{DAFC3DF7-B62F-4713-83DA-FA4FFE8638B4}" name="Hawaiian PM Equity " dataDxfId="1224" dataCellStyle="Percent"/>
    <tableColumn id="545" xr3:uid="{BAAD9099-BA3D-4E51-8ABC-533EB888692F}" name="Guamanian PM Equity " dataDxfId="1223" dataCellStyle="Percent"/>
    <tableColumn id="546" xr3:uid="{9E208582-961B-4EA8-BBFE-48AFACC92425}" name="Laotian PM Equity " dataDxfId="1222" dataCellStyle="Percent"/>
    <tableColumn id="547" xr3:uid="{22DDB9E3-CAEA-4671-A7B6-8BE9BE095E9D}" name="Vietnamese PM Equity " dataDxfId="1221" dataCellStyle="Percent"/>
    <tableColumn id="548" xr3:uid="{DA6C434F-CE2D-49BD-86C8-5F369719A1B9}" name="Other PM Equity " dataDxfId="1220" dataCellStyle="Percent"/>
    <tableColumn id="549" xr3:uid="{0C13C802-9A63-4D73-A91D-22BEA595FF8A}" name="White NSI Equity " dataDxfId="1219" dataCellStyle="Percent"/>
    <tableColumn id="550" xr3:uid="{BE0BD692-7A39-4784-9253-F7E36E59A344}" name="Hispanic NSI Equity " dataDxfId="1218" dataCellStyle="Percent"/>
    <tableColumn id="551" xr3:uid="{67EE8D0B-BA53-4D83-863D-1A81BA1B8842}" name="Black NSI Equity " dataDxfId="1217" dataCellStyle="Percent"/>
    <tableColumn id="552" xr3:uid="{AC8EF189-0964-4A1B-ACC3-1C2BA898BD8B}" name="Asian Pacific NSI Equity " dataDxfId="1216" dataCellStyle="Percent"/>
    <tableColumn id="553" xr3:uid="{C40BE228-BCFF-4279-8BED-BFE7E93004FD}" name="Alaskan Native NSI Equity " dataDxfId="1215" dataCellStyle="Percent"/>
    <tableColumn id="554" xr3:uid="{5F6FAA57-29B9-4204-AF14-F022FA8E9C62}" name="Filipino NSI Equity " dataDxfId="1214" dataCellStyle="Percent"/>
    <tableColumn id="555" xr3:uid="{F5C8AE1F-1748-4967-A500-BF9AF1BD8514}" name="No Valid Data NSI Equity " dataDxfId="1213" dataCellStyle="Percent"/>
    <tableColumn id="556" xr3:uid="{25334410-F41F-4EF6-90A4-FC8817F74E63}" name="Amerasion NSI Equity " dataDxfId="1212" dataCellStyle="Percent"/>
    <tableColumn id="557" xr3:uid="{695C9EE0-BA9D-48F4-8377-5C09EF1B72D0}" name="Chinese NSI Equity " dataDxfId="1211" dataCellStyle="Percent"/>
    <tableColumn id="558" xr3:uid="{489DA402-9BA8-4218-BB10-63FBAE7BBB0B}" name="Cambodian NSI Equity " dataDxfId="1210" dataCellStyle="Percent"/>
    <tableColumn id="559" xr3:uid="{AA6C9C6A-6EAD-49AB-813D-51C91A428022}" name="Japanese NSI Equity " dataDxfId="1209" dataCellStyle="Percent"/>
    <tableColumn id="560" xr3:uid="{1E7267E9-101D-4963-A157-FDB7AB6B9791}" name="Korean NSI Equity " dataDxfId="1208" dataCellStyle="Percent"/>
    <tableColumn id="561" xr3:uid="{CE62C6ED-55C6-4BA7-88AB-BDA6853B6DF2}" name="Samoan NSI Equity " dataDxfId="1207" dataCellStyle="Percent"/>
    <tableColumn id="562" xr3:uid="{353C45DE-7F96-4A26-ABE0-E369719ADC19}" name="Asian Indian NSI Equity " dataDxfId="1206" dataCellStyle="Percent"/>
    <tableColumn id="563" xr3:uid="{9B9AD8D4-805D-43F0-B4D8-C6E8E3BEC94B}" name="Hawaiian NSI Equity " dataDxfId="1205" dataCellStyle="Percent"/>
    <tableColumn id="564" xr3:uid="{E195366D-A490-44FF-9163-2B2E3FD52832}" name="Guamanian NSI Equity " dataDxfId="1204" dataCellStyle="Percent"/>
    <tableColumn id="565" xr3:uid="{DAC2857D-D9E8-4C04-BCD8-97DB9A45B59F}" name="Laotian NSI Equity " dataDxfId="1203" dataCellStyle="Percent"/>
    <tableColumn id="566" xr3:uid="{0A45D56B-BFEE-4C43-B71F-F38D08621FE1}" name="Vietnamese NSI Equity " dataDxfId="1202" dataCellStyle="Percent"/>
    <tableColumn id="567" xr3:uid="{33CDD0F1-F6B8-47C0-BD5D-2FC76B09CF06}" name="Other NSI Equity " dataDxfId="1201" dataCellStyle="Percent"/>
    <tableColumn id="568" xr3:uid="{A1DF6C25-ED06-4DA1-8243-AFDA3FAC8508}" name="White SI Equity " dataDxfId="1200" dataCellStyle="Percent"/>
    <tableColumn id="569" xr3:uid="{5B24BBAF-0489-4A27-8038-4C3994D2194E}" name="Hispanic SI Equity " dataDxfId="1199" dataCellStyle="Percent"/>
    <tableColumn id="570" xr3:uid="{12CB6876-43EF-499D-B49A-E3AB80FA413F}" name="Black SI Equity " dataDxfId="1198" dataCellStyle="Percent"/>
    <tableColumn id="571" xr3:uid="{F2A30715-7B82-4E31-9940-5FCD440DF9DF}" name="Asian Pacific SI Equity " dataDxfId="1197" dataCellStyle="Percent"/>
    <tableColumn id="572" xr3:uid="{A87CBD09-425C-4615-AB90-66E9357197D5}" name="Alaskan Native SI Equity " dataDxfId="1196" dataCellStyle="Percent"/>
    <tableColumn id="573" xr3:uid="{6463A896-8ECA-4B30-844F-21A53599134B}" name="Filipino SI Equity " dataDxfId="1195" dataCellStyle="Percent"/>
    <tableColumn id="574" xr3:uid="{F33513DA-039F-40F7-B464-F8136A1A0059}" name="No Valid Data SI Equity " dataDxfId="1194" dataCellStyle="Percent"/>
    <tableColumn id="575" xr3:uid="{59B16F0D-8904-4005-A1F5-638215FA66EA}" name="Amerasion SI Equity " dataDxfId="1193" dataCellStyle="Percent"/>
    <tableColumn id="576" xr3:uid="{2D15A1FC-BE03-46A0-B12C-F8671FA8658D}" name="Chinese SI Equity " dataDxfId="1192" dataCellStyle="Percent"/>
    <tableColumn id="577" xr3:uid="{392B5ECE-A6B5-4BF4-931F-50142B5377E3}" name="Cambodian SI Equity " dataDxfId="1191" dataCellStyle="Percent"/>
    <tableColumn id="578" xr3:uid="{B2F5F99D-862A-494B-A6DF-E8CFA6A04198}" name="Japanese SI Equity " dataDxfId="1190" dataCellStyle="Percent"/>
    <tableColumn id="579" xr3:uid="{29D89350-7B6B-4A49-9734-8DBD124854D9}" name="Korean SI Equity " dataDxfId="1189" dataCellStyle="Percent"/>
    <tableColumn id="580" xr3:uid="{575AC151-75BC-4CE5-8194-BF415F71F872}" name="Samoan SI Equity " dataDxfId="1188" dataCellStyle="Percent"/>
    <tableColumn id="581" xr3:uid="{2F05386B-D65F-43AC-91FA-0FF265110A42}" name="Asian Indian SI Equity " dataDxfId="1187" dataCellStyle="Percent"/>
    <tableColumn id="582" xr3:uid="{EED39B9D-B4C9-40E0-904B-A1B26A416312}" name="Hawaiian SI Equity " dataDxfId="1186" dataCellStyle="Percent"/>
    <tableColumn id="583" xr3:uid="{08B4B356-4703-40F8-94BB-086ED5533961}" name="Guamanian SI Equity " dataDxfId="1185" dataCellStyle="Percent"/>
    <tableColumn id="584" xr3:uid="{4E4F6EF5-DA2A-489A-9248-46F62CB89FAE}" name="Laotian SI Equity " dataDxfId="1184" dataCellStyle="Percent"/>
    <tableColumn id="585" xr3:uid="{52978748-6C09-4EF5-9F37-3AF84217ADA6}" name="Vietnamese SI Equity " dataDxfId="1183" dataCellStyle="Percent"/>
    <tableColumn id="586" xr3:uid="{59AA357F-B7DE-4BAE-A5D6-1BF766D76EAA}" name="Other SI Equity " dataDxfId="1182" dataCellStyle="Percent"/>
  </tableColumns>
  <tableStyleInfo name="Table Style 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544F41-694A-4A45-8BDE-880E492422F0}" name="COUNTY_SIZES" displayName="COUNTY_SIZES" ref="A63:VN68" totalsRowShown="0" headerRowDxfId="1181" dataDxfId="1179" headerRowBorderDxfId="1180" tableBorderDxfId="1178" totalsRowBorderDxfId="1177" headerRowCellStyle="Normal_Sheet1">
  <autoFilter ref="A63:VN68" xr:uid="{72A492D9-D9B0-4C81-A629-FC4529CB323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autoFilter>
  <tableColumns count="586">
    <tableColumn id="1" xr3:uid="{1385B1FE-AD93-450A-9666-0884D6981259}" name="County Sizes" dataDxfId="1176" dataCellStyle="Normal_Sheet1"/>
    <tableColumn id="2" xr3:uid="{3AE0A557-5E06-4097-BBB2-FB3D87DDFF58}" name="County Size" dataDxfId="1175" dataCellStyle="Normal_Sheet1"/>
    <tableColumn id="3" xr3:uid="{794EB670-34B0-41CA-9D9F-0F859FE7CDF4}" name="Wage Rate" dataDxfId="1174" dataCellStyle="Currency"/>
    <tableColumn id="4" xr3:uid="{A4031890-BED6-49EE-81B5-34E536170478}" name="Authorized Recipients" dataDxfId="1173" dataCellStyle="Comma"/>
    <tableColumn id="5" xr3:uid="{CDB1D626-3CD2-4EB9-84C4-73D79463E228}" name="Authorized Hours" dataDxfId="1172" dataCellStyle="Comma"/>
    <tableColumn id="6" xr3:uid="{903D8B15-FACD-4C44-9A1A-6537B02AD72C}" name="Authorized Hours per Recipient" dataDxfId="1171" dataCellStyle="Comma"/>
    <tableColumn id="7" xr3:uid="{3A9D1AEA-FCD3-4F8F-95A8-DEA84AE84853}" name="Electronic Timesheets - Enrolled: Authorized Recipients" dataDxfId="1170" dataCellStyle="Comma"/>
    <tableColumn id="8" xr3:uid="{55A48142-F115-4E71-81DE-C82F3C694687}" name="Electronic Timesheets - Enrolled: Active or Leave Ind. Providers" dataDxfId="1169" dataCellStyle="Comma"/>
    <tableColumn id="68" xr3:uid="{C69601C5-62D8-4783-9FD3-1536A628D630}" name="Electronic Visit Verification (EVV): Authorized Recipients" dataDxfId="1168" dataCellStyle="Comma"/>
    <tableColumn id="46" xr3:uid="{B68C5873-13D3-45A2-A2AC-8E3415484D4B}" name=" Electronic Visit _x000a_Verification (EVV):_x000a_Active or Leave_x000a_Ind. Providers " dataDxfId="1167" dataCellStyle="Comma"/>
    <tableColumn id="9" xr3:uid="{B70A74F6-C6F7-4FD5-A9CD-82F5F749ABA0}" name="Severely Impaired (SI) Recipients" dataDxfId="1166" dataCellStyle="Comma"/>
    <tableColumn id="10" xr3:uid="{E8603D00-5341-4E9D-B85C-92334895D426}" name="SI Authorized Hours" dataDxfId="1165" dataCellStyle="Comma"/>
    <tableColumn id="11" xr3:uid="{FB826075-FB58-46E2-B254-DF78AC1A18DB}" name="Non-Severely Impaired (NSI) Recipients" dataDxfId="1164" dataCellStyle="Comma"/>
    <tableColumn id="12" xr3:uid="{7877A362-25D1-4510-9C8B-371583D0FA21}" name="NSI Authorized Hours" dataDxfId="1163" dataCellStyle="Comma"/>
    <tableColumn id="13" xr3:uid="{CFAE317C-53F1-43DB-9E83-C0EA12C376BD}" name="Protective Sup. (PS) Recipients" dataDxfId="1162" dataCellStyle="Comma"/>
    <tableColumn id="14" xr3:uid="{A1371FDE-6344-4C30-B524-45ABE4DB8F04}" name="Protective Sup. (PS) Auth. Hours" dataDxfId="1161" dataCellStyle="Comma"/>
    <tableColumn id="15" xr3:uid="{20BC8F71-5249-4558-9C11-D01D130A2568}" name="Paramedical (PM) Recipients" dataDxfId="1160" dataCellStyle="Comma"/>
    <tableColumn id="16" xr3:uid="{4D3DED12-B395-4698-874F-08426FB7EA13}" name="Paramedical (PM) Auth. Hours" dataDxfId="1159" dataCellStyle="Comma"/>
    <tableColumn id="17" xr3:uid="{3A574847-532C-466C-99E6-F6532C9885C7}" name="Recipients that Entered IHSS as &quot;Aged&quot;" dataDxfId="1158" dataCellStyle="Comma"/>
    <tableColumn id="18" xr3:uid="{8E6CB215-AA29-4689-9397-F870A0BA9487}" name="Hours for Recipients that Entered IHSS as &quot;Aged&quot;" dataDxfId="1157" dataCellStyle="Comma"/>
    <tableColumn id="19" xr3:uid="{7A734416-1C3C-41E8-948E-884753650672}" name="Recipients that Entered IHSS as &quot;Blind&quot;" dataDxfId="1156" dataCellStyle="Comma"/>
    <tableColumn id="20" xr3:uid="{6C7C2452-F797-4EBD-AB26-7486F2CC420E}" name="Hours for Recipients that Entered IHSS as &quot;Blind&quot;" dataDxfId="1155" dataCellStyle="Comma"/>
    <tableColumn id="21" xr3:uid="{7C3E98E1-E83F-44C8-898C-26B334ADDDF7}" name="Recipients that Entered IHSS as &quot;Disabled&quot;" dataDxfId="1154" dataCellStyle="Comma"/>
    <tableColumn id="22" xr3:uid="{729B5C2C-52CE-4503-8D9B-E77BDA061F28}" name="Hours for Recipients that Entered IHSS as &quot;Disabled&quot;" dataDxfId="1153" dataCellStyle="Comma"/>
    <tableColumn id="23" xr3:uid="{09E59388-93D4-4C69-883A-332B7D0F2EC6}" name="Active or Leave Ind. Providers" dataDxfId="1152" dataCellStyle="Comma"/>
    <tableColumn id="24" xr3:uid="{52A33926-A21E-408B-82E6-3549590DCD4F}" name="Active/Leave Live-In Providers" dataDxfId="1151" dataCellStyle="Comma"/>
    <tableColumn id="25" xr3:uid="{440A0602-50FF-4420-9DE6-084C022430F2}" name="Active/Leave Relatives Providers " dataDxfId="1150" dataCellStyle="Comma"/>
    <tableColumn id="26" xr3:uid="{06874B1C-5F4C-4DC0-B1AC-4B89CDA27926}" name="Active/Leave Live-In Relative Prov" dataDxfId="1149" dataCellStyle="Comma"/>
    <tableColumn id="27" xr3:uid="{6E25D63A-4684-451A-89B9-1E11EB9A283B}" name="Active/Leave Spouse Providers" dataDxfId="1148" dataCellStyle="Comma"/>
    <tableColumn id="28" xr3:uid="{2E34A752-CAD1-485F-9762-5CE1AE7C65D6}" name="Active/Leave Parent Providers" dataDxfId="1147" dataCellStyle="Comma"/>
    <tableColumn id="29" xr3:uid="{C2D090F6-632E-4175-B811-3519A02CB62E}" name="Recipients in PCSP" dataDxfId="1146" dataCellStyle="Comma"/>
    <tableColumn id="30" xr3:uid="{44226D54-0E62-4684-BB48-A0F108E26EF8}" name="Hours in PCSP" dataDxfId="1145" dataCellStyle="Comma"/>
    <tableColumn id="31" xr3:uid="{14D1BF76-ED31-4C62-B02F-B21942FD825B}" name="Recipients in CFCO" dataDxfId="1144" dataCellStyle="Comma"/>
    <tableColumn id="32" xr3:uid="{FB5DFACE-F526-4910-A962-146E58252DB4}" name="Hours in CFCO" dataDxfId="1143" dataCellStyle="Comma"/>
    <tableColumn id="33" xr3:uid="{5EADD04F-1A4B-4061-9A11-6104719B0A8E}" name="Recipients in IPO" dataDxfId="1142" dataCellStyle="Comma"/>
    <tableColumn id="34" xr3:uid="{88D7C60F-F082-485B-BDF8-5971188D4E16}" name="Hours in IPO" dataDxfId="1141" dataCellStyle="Comma"/>
    <tableColumn id="35" xr3:uid="{C671B2AF-4553-4BA4-AC66-03099BBC6A79}" name="Recipients in     IHSS-R" dataDxfId="1140" dataCellStyle="Comma"/>
    <tableColumn id="36" xr3:uid="{F954FFAE-185B-4BC0-947A-2F34AC248B3E}" name="Hours in     IHSS-R" dataDxfId="1139" dataCellStyle="Comma"/>
    <tableColumn id="37" xr3:uid="{8E830CBB-0B66-42EA-9B91-9A386E005A38}" name="Female" dataDxfId="1138" dataCellStyle="Comma"/>
    <tableColumn id="38" xr3:uid="{9CC7DD6F-DAF2-4E36-AA2F-426971F9FB3A}" name="Male" dataDxfId="1137" dataCellStyle="Comma"/>
    <tableColumn id="39" xr3:uid="{3A5462B3-47BE-4695-9477-C539290F308E}" name="White" dataDxfId="1136" dataCellStyle="Comma"/>
    <tableColumn id="40" xr3:uid="{038321DC-B2B2-4903-8414-93961A405B55}" name="Hispanic" dataDxfId="1135" dataCellStyle="Comma"/>
    <tableColumn id="41" xr3:uid="{F6180ABB-4116-46B5-A1E3-3A81910BFD99}" name="Black" dataDxfId="1134" dataCellStyle="Comma"/>
    <tableColumn id="42" xr3:uid="{ED4BF8A8-4B1B-41EC-9DA5-C1317B68AE60}" name="Asian or Pacific Islander" dataDxfId="1133" dataCellStyle="Comma"/>
    <tableColumn id="43" xr3:uid="{3BE5331D-2741-49A4-9F17-DDAE0A165698}" name="Alaskan Native or American Indian" dataDxfId="1132" dataCellStyle="Comma"/>
    <tableColumn id="44" xr3:uid="{B02EA020-D012-403B-86A7-E51C8F47CBB4}" name="Filipino" dataDxfId="1131" dataCellStyle="Comma"/>
    <tableColumn id="45" xr3:uid="{7BD7A3DC-8CBA-4971-A4B3-7F944E75E809}" name="No Valid Data Reported" dataDxfId="1130" dataCellStyle="Comma"/>
    <tableColumn id="47" xr3:uid="{CF86C510-DAD4-4197-A5E4-91954537EBDF}" name="Amerasian" dataDxfId="1129" dataCellStyle="Comma"/>
    <tableColumn id="48" xr3:uid="{49F93283-8E61-4CA4-AA1E-119913C67A1A}" name="Chinese" dataDxfId="1128" dataCellStyle="Comma"/>
    <tableColumn id="49" xr3:uid="{8DE8FF82-EDE2-4095-A8DE-A67DF5E7F8F4}" name="Cambodian" dataDxfId="1127" dataCellStyle="Comma"/>
    <tableColumn id="50" xr3:uid="{8B563CD5-ACF3-4F5A-8A67-88C49B80A256}" name="Japanese" dataDxfId="1126" dataCellStyle="Comma"/>
    <tableColumn id="51" xr3:uid="{3C47AFFF-878C-480A-8B98-C36767701CFE}" name="Korean" dataDxfId="1125" dataCellStyle="Comma"/>
    <tableColumn id="52" xr3:uid="{B2EA34F8-8503-4B19-B56E-B8DDA512CF76}" name="Samoan" dataDxfId="1124" dataCellStyle="Comma"/>
    <tableColumn id="53" xr3:uid="{8F301EEC-4C56-4077-80CF-2EA3A1690CC7}" name="Asian Indian" dataDxfId="1123" dataCellStyle="Comma"/>
    <tableColumn id="54" xr3:uid="{98CD91A7-096E-4D2D-B3A3-7E637BCFF076}" name="Hawaiian" dataDxfId="1122" dataCellStyle="Comma"/>
    <tableColumn id="55" xr3:uid="{87371A89-E79B-4273-906D-55A9DBEB329B}" name="Guamanian" dataDxfId="1121" dataCellStyle="Comma"/>
    <tableColumn id="56" xr3:uid="{373C3C97-5526-4EA8-8CC0-D572379639ED}" name="Laotian" dataDxfId="1120" dataCellStyle="Comma"/>
    <tableColumn id="57" xr3:uid="{15898B66-29D4-499B-8C9C-E450CAE468DF}" name="Vietnamese" dataDxfId="1119" dataCellStyle="Comma"/>
    <tableColumn id="58" xr3:uid="{C5C9EEA3-7220-44FD-8584-006080F61D50}" name="Other" dataDxfId="1118" dataCellStyle="Comma"/>
    <tableColumn id="59" xr3:uid="{7BD937E9-A9B3-4CE0-A6E6-8623D0718B26}" name="Recipient Spoken Language - American Sign Language" dataDxfId="1117" dataCellStyle="Comma"/>
    <tableColumn id="60" xr3:uid="{EFA1F67F-0109-40A7-97B3-645D1AD81DC6}" name="Recipient Spoken Language - Spanish" dataDxfId="1116" dataCellStyle="Comma"/>
    <tableColumn id="61" xr3:uid="{53F76190-14D2-40BB-8F3D-F051A9F99D17}" name="Recipient Spoken Language - Cantonese" dataDxfId="1115" dataCellStyle="Comma"/>
    <tableColumn id="62" xr3:uid="{B49D0EAE-2A76-416E-8B0E-7BC7C8BBA30A}" name="Recipient Spoken Language - Japanese" dataDxfId="1114" dataCellStyle="Comma"/>
    <tableColumn id="63" xr3:uid="{2BAE9457-6421-453E-9992-2483C0A02307}" name="Recipient Spoken Language - Korean" dataDxfId="1113" dataCellStyle="Comma"/>
    <tableColumn id="64" xr3:uid="{DED78BA2-135B-41C8-9A6C-23AEF1DFCE8E}" name="Recipient Spoken Language - Tagalog" dataDxfId="1112" dataCellStyle="Comma"/>
    <tableColumn id="65" xr3:uid="{753EC438-0EC0-46DA-A8BC-B1E3F389B2B9}" name="Recipient Spoken Language - Other Non-English" dataDxfId="1111" dataCellStyle="Comma"/>
    <tableColumn id="66" xr3:uid="{A28C7AD3-5D8C-4023-85A2-AEEB7023B2D6}" name="Recipient Spoken Language - English" dataDxfId="1110" dataCellStyle="Comma"/>
    <tableColumn id="67" xr3:uid="{2FE502A9-5B6F-4299-A662-D1466C69E2E4}" name="Recipient Spoken Language - No Valid Data Reported" dataDxfId="1109" dataCellStyle="Comma"/>
    <tableColumn id="69" xr3:uid="{A5383C2B-1055-4940-93CC-80A209DF67A3}" name="Recipient Spoken Language - Other Sign Language" dataDxfId="1108" dataCellStyle="Comma"/>
    <tableColumn id="70" xr3:uid="{32C038DF-0932-4C03-B892-74AFFCE843A0}" name="Recipient Spoken Language - Mandarin" dataDxfId="1107" dataCellStyle="Comma"/>
    <tableColumn id="71" xr3:uid="{8DB6DCE6-E3E5-4570-8F10-8E8991C7FC4D}" name="Recipient Spoken Language - Other Chinese Languages" dataDxfId="1106" dataCellStyle="Comma"/>
    <tableColumn id="72" xr3:uid="{1CA0A615-435A-4788-BE07-B2CF13DD8E44}" name="Recipient Spoken Language - Cambodian" dataDxfId="1105" dataCellStyle="Comma"/>
    <tableColumn id="73" xr3:uid="{73A67705-B076-4986-9621-B8E7DACEE0A9}" name="Recipient Spoken Language - Armenian" dataDxfId="1104" dataCellStyle="Comma"/>
    <tableColumn id="74" xr3:uid="{7E71C6F3-3858-4784-8BE1-48347897A884}" name="Recipient Spoken Language - Ilocano" dataDxfId="1103" dataCellStyle="Comma"/>
    <tableColumn id="75" xr3:uid="{7192DC83-5E2A-44A8-A533-CF1D9F663A34}" name="Recipient Spoken Language - Mien" dataDxfId="1102" dataCellStyle="Comma"/>
    <tableColumn id="76" xr3:uid="{2B5741CE-099A-480E-8684-0D20DC4353A7}" name="Recipient Spoken Language - Hmong" dataDxfId="1101" dataCellStyle="Comma"/>
    <tableColumn id="77" xr3:uid="{DACF02EB-4F7F-430B-9281-2BA8EAD992FC}" name="Recipient Spoken Language - Lao" dataDxfId="1100" dataCellStyle="Comma"/>
    <tableColumn id="78" xr3:uid="{90DA0809-CEF4-469C-BB39-EE48F74B7100}" name="Recipient Spoken Language - Turkish" dataDxfId="1099" dataCellStyle="Comma"/>
    <tableColumn id="79" xr3:uid="{61EB8255-DF8A-4E77-858A-93E49497D00D}" name="Recipient Spoken Language - Hebrew" dataDxfId="1098" dataCellStyle="Comma"/>
    <tableColumn id="80" xr3:uid="{291E43F7-6F0F-43F7-BF18-B67B9A46F731}" name="Recipient Spoken Language - French" dataDxfId="1097" dataCellStyle="Comma"/>
    <tableColumn id="81" xr3:uid="{B94C0F4F-2F8F-482A-A9A8-FF7910475705}" name="Recipient Spoken Language - Polish" dataDxfId="1096" dataCellStyle="Comma"/>
    <tableColumn id="82" xr3:uid="{06B892FC-7B10-4F1A-81A5-B0D0FC2E3EC2}" name="Recipient Spoken Language - Russian" dataDxfId="1095" dataCellStyle="Comma"/>
    <tableColumn id="83" xr3:uid="{5683B7F6-8948-4D4E-BDBB-37771E087FB9}" name="Recipient Spoken Language - Portuguese" dataDxfId="1094" dataCellStyle="Comma"/>
    <tableColumn id="84" xr3:uid="{FBD0E3AF-3088-4977-A41D-F08F35A76848}" name="Recipient Spoken Language - Italian" dataDxfId="1093" dataCellStyle="Comma"/>
    <tableColumn id="85" xr3:uid="{67971CD2-C12B-430A-A195-12E3D9455900}" name="Recipient Spoken Language - Arabic" dataDxfId="1092" dataCellStyle="Comma"/>
    <tableColumn id="86" xr3:uid="{371FC4DC-69C3-4FC3-A1F5-7770B9797242}" name="Recipient Spoken Language - Samoan" dataDxfId="1091" dataCellStyle="Comma"/>
    <tableColumn id="87" xr3:uid="{40BEDFE5-E7BF-4B1A-A8AA-2EF70D9A216F}" name="Recipient Spoken Language - Thai" dataDxfId="1090" dataCellStyle="Comma"/>
    <tableColumn id="88" xr3:uid="{3559B832-16C4-49FF-A634-B99154A21F6A}" name="Recipient Spoken Language - Farsi" dataDxfId="1089" dataCellStyle="Comma"/>
    <tableColumn id="89" xr3:uid="{2A8639DC-09AC-4264-B9C2-CA9D5ABBD552}" name="Recipient Spoken Language - Vietnamese" dataDxfId="1088" dataCellStyle="Comma"/>
    <tableColumn id="311" xr3:uid="{A862980E-79EA-43BB-9D78-E850B0C3454A}" name="Recipient Spoken Language - Hindi" dataDxfId="1087" dataCellStyle="Comma"/>
    <tableColumn id="310" xr3:uid="{834C5801-7F4F-4E7D-BF0B-14E1957B7DBB}" name="Recipient Spoken Language - Punjabi" dataDxfId="1086" dataCellStyle="Comma"/>
    <tableColumn id="309" xr3:uid="{7F4BD091-3DF3-4322-9750-814E67355191}" name="Recipient Spoken Language - Ukrainian" dataDxfId="1085" dataCellStyle="Comma"/>
    <tableColumn id="91" xr3:uid="{531B96F1-1E3C-41CD-9AE4-727918486BCC}" name="Provider Spoken - American Sign Language" dataDxfId="1084" dataCellStyle="Comma"/>
    <tableColumn id="92" xr3:uid="{FD0ABF41-F619-4465-B426-528CA2F28DF4}" name="Provider Spoken - Spanish" dataDxfId="1083" dataCellStyle="Comma"/>
    <tableColumn id="93" xr3:uid="{750D8AF6-51DD-4BC4-A769-D3AA7A399F62}" name="Provider Spoken - Cantonese" dataDxfId="1082" dataCellStyle="Comma"/>
    <tableColumn id="94" xr3:uid="{5DF9F524-C91F-4C29-81EE-EF4C46DC829C}" name="Provider Spoken - Japanese" dataDxfId="1081" dataCellStyle="Comma"/>
    <tableColumn id="95" xr3:uid="{48154C3D-8804-4C73-9CE7-02AD05DB47E3}" name="Provider Spoken - Korean" dataDxfId="1080" dataCellStyle="Comma"/>
    <tableColumn id="96" xr3:uid="{FC369C3E-BD6B-4A5E-9C01-74EB02559F75}" name="Provider Spoken - Tagalog" dataDxfId="1079" dataCellStyle="Comma"/>
    <tableColumn id="97" xr3:uid="{16FA9393-E74F-4ADF-91E6-9274498B5471}" name="Provider Spoken - Other Non-English" dataDxfId="1078" dataCellStyle="Comma"/>
    <tableColumn id="98" xr3:uid="{BB4FD4C9-4B79-4843-AB74-BA75888CDDD0}" name="Provider Spoken - English" dataDxfId="1077" dataCellStyle="Comma"/>
    <tableColumn id="99" xr3:uid="{C5DBD94C-CABE-4706-8280-325B9F54A4FE}" name="Provider Spoken - No Valid Data Reported" dataDxfId="1076" dataCellStyle="Comma"/>
    <tableColumn id="101" xr3:uid="{F71FE77E-7A7F-4D17-9AD2-15307EC55CC7}" name="Provider Spoken - Other Sign Language" dataDxfId="1075" dataCellStyle="Comma"/>
    <tableColumn id="102" xr3:uid="{31D5F8A8-2985-4FAC-BB5E-987FEEE3943D}" name="Provider Spoken - Mandarin" dataDxfId="1074" dataCellStyle="Comma"/>
    <tableColumn id="103" xr3:uid="{E3EC861B-36AF-4493-B286-A10DC865EF2D}" name="Provider Spoken - Other Chinese Languages" dataDxfId="1073" dataCellStyle="Comma"/>
    <tableColumn id="104" xr3:uid="{30E5BF2C-04F4-4656-A86F-6A624FDD9DE5}" name="Provider Spoken - Cambodian" dataDxfId="1072" dataCellStyle="Comma"/>
    <tableColumn id="105" xr3:uid="{E4E66421-D280-43BD-BFF8-F9705EB0047F}" name="Provider Spoken - Armenian" dataDxfId="1071" dataCellStyle="Comma"/>
    <tableColumn id="106" xr3:uid="{A865FDF4-65F1-4169-A30F-415BBF631174}" name="Provider Spoken - Ilocano" dataDxfId="1070" dataCellStyle="Comma"/>
    <tableColumn id="107" xr3:uid="{E29DE6DC-EE38-407E-948E-CEB392062386}" name="Provider Spoken - Mien" dataDxfId="1069" dataCellStyle="Comma"/>
    <tableColumn id="108" xr3:uid="{02F41228-3AB2-4CFB-8A81-066549AD401A}" name="Provider Spoken - Hmong" dataDxfId="1068" dataCellStyle="Comma"/>
    <tableColumn id="109" xr3:uid="{17DD6839-C046-476D-8435-20D5D1B4A124}" name="Provider Spoken - Lao" dataDxfId="1067" dataCellStyle="Comma"/>
    <tableColumn id="110" xr3:uid="{65CAFAC1-CE78-46E0-8502-51646E098F79}" name="Provider Spoken - Turkish" dataDxfId="1066" dataCellStyle="Comma"/>
    <tableColumn id="111" xr3:uid="{AB1F271C-16C4-46AD-97C0-22928765AF38}" name="Provider Spoken - Hebrew" dataDxfId="1065" dataCellStyle="Comma"/>
    <tableColumn id="112" xr3:uid="{90E08F47-B737-435A-893F-B1B363ACA9B2}" name="Provider Spoken - French" dataDxfId="1064" dataCellStyle="Comma"/>
    <tableColumn id="113" xr3:uid="{6C7B91B2-64D5-4B42-919D-CAA6B6C71201}" name="Provider Spoken - Polish" dataDxfId="1063" dataCellStyle="Comma"/>
    <tableColumn id="114" xr3:uid="{2BF9ED16-8059-4527-ACDE-32A565E3551B}" name="Provider Spoken - Russian" dataDxfId="1062" dataCellStyle="Comma"/>
    <tableColumn id="115" xr3:uid="{BCA7E0F7-B5EB-43D8-85DC-26C7AA22EED7}" name="Provider Spoken - Portuguese" dataDxfId="1061" dataCellStyle="Comma"/>
    <tableColumn id="116" xr3:uid="{B3BE4440-A1C9-47DB-B5F3-070340312C6D}" name="Provider Spoken - Italian" dataDxfId="1060" dataCellStyle="Comma"/>
    <tableColumn id="117" xr3:uid="{2F7D057E-6C16-4E43-9299-82F917D716FC}" name="Provider Spoken - Arabic" dataDxfId="1059" dataCellStyle="Comma"/>
    <tableColumn id="118" xr3:uid="{583C8ECE-5792-48B3-AA5C-BF12D90A5D0B}" name="Provider Spoken - Samoan" dataDxfId="1058" dataCellStyle="Comma"/>
    <tableColumn id="119" xr3:uid="{A0C2C81A-D901-4F82-9FF2-CA34C944D942}" name="Provider Spoken - Thai" dataDxfId="1057" dataCellStyle="Comma"/>
    <tableColumn id="120" xr3:uid="{F59F3167-F308-4367-928A-50A3760EBCD5}" name="Provider Spoken - Farsi" dataDxfId="1056" dataCellStyle="Comma"/>
    <tableColumn id="121" xr3:uid="{8855356E-9D54-457E-9FB3-B375EF0C1A8D}" name="Provider Spoken - Vietnamese" dataDxfId="1055" dataCellStyle="Comma"/>
    <tableColumn id="315" xr3:uid="{BD1FEA36-DFB9-4208-BFB3-74EF85F1D073}" name="Provider Spoken - Hindi " dataDxfId="1054" dataCellStyle="Comma"/>
    <tableColumn id="316" xr3:uid="{F8E6C290-C24F-4287-A9F6-BD59CFAFEC37}" name="Provider Spoken - Punjabi " dataDxfId="1053" dataCellStyle="Comma"/>
    <tableColumn id="317" xr3:uid="{FA5B4EEF-B124-49EE-8009-7197606FC00D}" name="Provider Spoken - Ukrainian " dataDxfId="1052" dataCellStyle="Comma"/>
    <tableColumn id="123" xr3:uid="{DCBB084C-B858-44D5-98FB-FB7B8E586B77}" name="0-17 Age Group (Minors) Recipients" dataDxfId="1051" dataCellStyle="Comma"/>
    <tableColumn id="124" xr3:uid="{7B3A78E7-F4AC-4881-B938-DB1E8A1CED86}" name="0-17 Age Group (Minors) Hours" dataDxfId="1050" dataCellStyle="Comma"/>
    <tableColumn id="125" xr3:uid="{058F35DF-177F-4535-96BC-2F2E50F171CB}" name="18-44 Age Group Recipients" dataDxfId="1049" dataCellStyle="Comma"/>
    <tableColumn id="126" xr3:uid="{F70C53C9-53B6-4F1E-90DC-E7DA9C14DAEF}" name="18-44 Age Group Hours" dataDxfId="1048" dataCellStyle="Comma"/>
    <tableColumn id="127" xr3:uid="{6798EF79-FBBE-4077-8648-DB876AC9400A}" name="45 to 64 Age Group Recipients" dataDxfId="1047" dataCellStyle="Comma"/>
    <tableColumn id="128" xr3:uid="{8965C22D-7BA9-4A96-BD22-107B6FF71CEB}" name="45 to 64 Age Group Hours" dataDxfId="1046" dataCellStyle="Comma"/>
    <tableColumn id="129" xr3:uid="{F2DB42AD-B382-4033-80B4-1484B59C3BEA}" name="65 to 74 Age Group Recipients" dataDxfId="1045" dataCellStyle="Comma"/>
    <tableColumn id="130" xr3:uid="{9EA7103E-3189-4C40-B673-D7466EB0FC95}" name="65 to 74 Age Group Hours" dataDxfId="1044" dataCellStyle="Comma"/>
    <tableColumn id="131" xr3:uid="{6B812ABB-626C-4FA4-A8D5-E6EB9D77333B}" name="75 to 84 Age Group Recipients" dataDxfId="1043" dataCellStyle="Comma"/>
    <tableColumn id="132" xr3:uid="{963CB4B7-CE5F-47D6-B501-19D3107275A8}" name="75 to 84 Age Group Hours" dataDxfId="1042" dataCellStyle="Comma"/>
    <tableColumn id="133" xr3:uid="{9B59789C-B854-4617-B115-9E1FB2D3A50D}" name="85+ Age Group Recipients" dataDxfId="1041" dataCellStyle="Comma"/>
    <tableColumn id="134" xr3:uid="{B4F6E08C-8CED-4A57-B41A-3B6F6B7591AE}" name="85+ Age Group Hours" dataDxfId="1040" dataCellStyle="Comma"/>
    <tableColumn id="135" xr3:uid="{EA09BDD1-2D21-45BF-A9FF-137150430859}" name="Domestic Services" dataDxfId="1039" dataCellStyle="Normal_Sheet2_1"/>
    <tableColumn id="136" xr3:uid="{84A353D5-F9DA-488B-8604-E5D3DD2B8FBB}" name="Domestic Services Hours" dataDxfId="1038" dataCellStyle="Normal_Sheet2_1"/>
    <tableColumn id="137" xr3:uid="{AA70628A-54E6-401A-A152-F4B710DF64BE}" name="Meal Prep" dataDxfId="1037" dataCellStyle="Comma"/>
    <tableColumn id="138" xr3:uid="{6FD6F6A3-7C00-4D78-AF95-C11B7E8AFBBB}" name="Meal Prep Hours" dataDxfId="1036" dataCellStyle="Normal_Sheet2_1"/>
    <tableColumn id="139" xr3:uid="{D839734B-2E30-41F0-BC94-B733DE156375}" name="Meal Clean" dataDxfId="1035" dataCellStyle="Comma"/>
    <tableColumn id="140" xr3:uid="{75A57D10-37B0-4F2A-A982-83C474DC74E7}" name="Meal Clean Hours" dataDxfId="1034" dataCellStyle="Normal_Sheet2_1"/>
    <tableColumn id="141" xr3:uid="{A3583C57-EF96-4EF0-8D11-97DBFDCA53A3}" name="Laundry" dataDxfId="1033" dataCellStyle="Comma"/>
    <tableColumn id="142" xr3:uid="{3FA71C28-7769-4F83-A3B8-CB28CD9DFD33}" name="Laundry Hours" dataDxfId="1032" dataCellStyle="Normal_Sheet2_1"/>
    <tableColumn id="143" xr3:uid="{4F3777D2-EB80-443A-B324-3F07BD8753C8}" name="Shop Food" dataDxfId="1031" dataCellStyle="Comma"/>
    <tableColumn id="144" xr3:uid="{2863D1E6-822F-4FAD-89DD-A735857C7242}" name="Shop Food Hours" dataDxfId="1030" dataCellStyle="Normal_Sheet2_1"/>
    <tableColumn id="145" xr3:uid="{0AD75655-8F2C-4A85-8B9E-41C114478F69}" name="Other Errands" dataDxfId="1029" dataCellStyle="Comma"/>
    <tableColumn id="146" xr3:uid="{35402438-4C29-46FD-98A5-1A56F26D8AF2}" name="Other Errands Hours" dataDxfId="1028" dataCellStyle="Normal_Sheet2_1"/>
    <tableColumn id="147" xr3:uid="{5F805839-3E4C-4AD6-B123-D385D38195F2}" name="Restaurant Meal" dataDxfId="1027" dataCellStyle="Comma"/>
    <tableColumn id="148" xr3:uid="{2D04EBF4-1BCC-4A41-BEDD-FA27282E6FD6}" name="Bowl Bladder" dataDxfId="1026" dataCellStyle="Normal_Sheet2"/>
    <tableColumn id="149" xr3:uid="{8589427B-F1C4-4DAA-8248-444B9C284BB8}" name="Bowl Bladder Hours" dataDxfId="1025" dataCellStyle="Normal_Sheet2_1"/>
    <tableColumn id="150" xr3:uid="{58811F00-A9E5-4DFC-B27C-9C9CD666063F}" name="Respiration" dataDxfId="1024" dataCellStyle="Normal_Sheet2"/>
    <tableColumn id="151" xr3:uid="{BE748CC9-CA64-4E4E-AECD-6198066D9A1F}" name="Respiration Hours" dataDxfId="1023" dataCellStyle="Normal_Sheet2_1"/>
    <tableColumn id="152" xr3:uid="{4117EEED-630B-4CA6-BA90-034588964836}" name="Feeding" dataDxfId="1022" dataCellStyle="Normal_Sheet2"/>
    <tableColumn id="153" xr3:uid="{7AD1A471-F52D-4855-9E29-0A6762062A97}" name="Feeding Hours" dataDxfId="1021" dataCellStyle="Normal_Sheet2_1"/>
    <tableColumn id="154" xr3:uid="{DB81D0AC-DAC9-4709-B144-13CADE8F4E1E}" name="Routing Bed Bath" dataDxfId="1020" dataCellStyle="Normal_Sheet2"/>
    <tableColumn id="155" xr3:uid="{6A69E97F-2F65-42F3-B881-8ACBD71AF2B4}" name="Routing Bed Bath Hours" dataDxfId="1019" dataCellStyle="Normal_Sheet2_1"/>
    <tableColumn id="156" xr3:uid="{184614BB-839D-4C3F-889C-A67572D3688F}" name="Bath Oral Hyg" dataDxfId="1018" dataCellStyle="Normal_Sheet2"/>
    <tableColumn id="157" xr3:uid="{9E1367BE-1801-40E6-96C1-81D7ACE245E0}" name="Bath Oral Hyg Hours" dataDxfId="1017" dataCellStyle="Normal_Sheet2_1"/>
    <tableColumn id="158" xr3:uid="{9A618C01-D588-4D36-8634-C7CFC20175E5}" name="Dressing" dataDxfId="1016" dataCellStyle="Normal_Sheet2"/>
    <tableColumn id="159" xr3:uid="{612E6279-CD2C-4EFD-B78C-123DA605F3E6}" name="Dressing Hours" dataDxfId="1015" dataCellStyle="Normal_Sheet2_1"/>
    <tableColumn id="160" xr3:uid="{1D1C3C45-A5AE-45F8-8CF6-2EC6C10A0BED}" name="Rub Skin" dataDxfId="1014" dataCellStyle="Normal_Sheet2"/>
    <tableColumn id="161" xr3:uid="{DCE03FDB-B744-4172-B4FE-B81DDF72C101}" name="Rub Skin Hours" dataDxfId="1013" dataCellStyle="Normal_Sheet2_1"/>
    <tableColumn id="162" xr3:uid="{E7CA774A-FB48-4C76-A634-9228D7B92975}" name="Transfer" dataDxfId="1012" dataCellStyle="Normal_Sheet2"/>
    <tableColumn id="163" xr3:uid="{C0BF4F59-8661-4EBE-952A-4CBF9E12F9C2}" name="Transfer Hours" dataDxfId="1011" dataCellStyle="Normal_Sheet2_1"/>
    <tableColumn id="164" xr3:uid="{B3E095BB-2E9C-4B11-B767-019B1C3C0EF6}" name="Care Prosthetic" dataDxfId="1010" dataCellStyle="Normal_Sheet2"/>
    <tableColumn id="165" xr3:uid="{E0DE135F-6FAC-47BF-BF65-E7F98B757DE8}" name="Care Prosthetic Hours" dataDxfId="1009" dataCellStyle="Normal_Sheet2_1"/>
    <tableColumn id="166" xr3:uid="{171B7881-99FC-4843-8208-5828EC72D074}" name="Menstrual Care" dataDxfId="1008" dataCellStyle="Normal_Sheet2"/>
    <tableColumn id="167" xr3:uid="{FD59E9D5-C224-441E-8A38-F12AD44DAAFB}" name="Menstrual Care Hours" dataDxfId="1007" dataCellStyle="Normal_Sheet2_1"/>
    <tableColumn id="168" xr3:uid="{72726F3B-50D7-4D9D-8284-EB25889241EC}" name="Ambulation" dataDxfId="1006" dataCellStyle="Normal_Sheet2"/>
    <tableColumn id="169" xr3:uid="{7BC35BDC-01DA-4352-811A-1BEFF13E30F3}" name="Ambulation Hours" dataDxfId="1005" dataCellStyle="Normal_Sheet2_1"/>
    <tableColumn id="170" xr3:uid="{50AACC1C-8FE4-4424-8255-2AFB9BB3DE21}" name="Med Accomp" dataDxfId="1004" dataCellStyle="Normal_Sheet2"/>
    <tableColumn id="171" xr3:uid="{2A530F4C-F667-4D8A-8B96-99FE5A96DDC9}" name="Medical Accomp Hours" dataDxfId="1003" dataCellStyle="Normal_Sheet2_1"/>
    <tableColumn id="172" xr3:uid="{D085B9EE-6EBD-4FC3-AD82-262806B795BE}" name="Accomp Alt Res" dataDxfId="1002" dataCellStyle="Normal_Sheet2"/>
    <tableColumn id="173" xr3:uid="{96DD7307-8ABD-4E96-8C82-8098730E44D6}" name="Accomp Alt Res Hours" dataDxfId="1001" dataCellStyle="Normal_Sheet2_1"/>
    <tableColumn id="174" xr3:uid="{FD98CBD3-378D-4C58-8A1C-BDAC7DA3F862}" name="Heavy Clean" dataDxfId="1000" dataCellStyle="Normal_Sheet2_1"/>
    <tableColumn id="175" xr3:uid="{01D31258-2A5E-40DE-97E5-2379CC338A64}" name="Heavy Clean Hours" dataDxfId="999" dataCellStyle="Normal_Sheet2_1"/>
    <tableColumn id="176" xr3:uid="{A27D9CF5-8D09-4896-A592-E7116C93313D}" name="Yard Hazard" dataDxfId="998" dataCellStyle="Normal_Sheet2_1"/>
    <tableColumn id="177" xr3:uid="{6C641548-A334-4EDD-85DC-4FDB5E7BACD1}" name="Yard Hazard Hours" dataDxfId="997" dataCellStyle="Normal_Sheet2_1"/>
    <tableColumn id="178" xr3:uid="{82990A54-61A2-46A9-89F3-4FDA3B667B87}" name="Snow Ice Remove" dataDxfId="996" dataCellStyle="Normal_Sheet2_1"/>
    <tableColumn id="179" xr3:uid="{9AB49BA8-D66F-453D-87D3-C06B54CF645E}" name="Snow Ice Remove Hours" dataDxfId="995" dataCellStyle="Normal_Sheet2_1"/>
    <tableColumn id="180" xr3:uid="{DBDC01B2-FC8F-475F-9469-8A156AD977FD}" name="Teach Demo" dataDxfId="994" dataCellStyle="Normal_Sheet2_1"/>
    <tableColumn id="181" xr3:uid="{5F070A31-5604-4BEF-82A6-A9819D427DF4}" name="Teach Demo Hours" dataDxfId="993" dataCellStyle="Normal_Sheet2_1"/>
    <tableColumn id="182" xr3:uid="{F7E7D431-47F7-4AED-BF90-0C1E194BEB7C}" name="Data Not Reported as of 1/1/2020" dataDxfId="992" dataCellStyle="Comma"/>
    <tableColumn id="183" xr3:uid="{7A17CDA1-DDBF-49A7-AEB1-84192A994ABB}" name="Telephone Timesheet System (TTS)" dataDxfId="991" dataCellStyle="Comma"/>
    <tableColumn id="184" xr3:uid="{C75CA332-44DB-4FCC-85D1-D92C76274FA4}" name="Large Font Timesheet" dataDxfId="990" dataCellStyle="Comma"/>
    <tableColumn id="185" xr3:uid="{5981A9CC-4DD8-4D56-A6DE-CBA910602271}" name="No Accommodation Needed" dataDxfId="989" dataCellStyle="Comma"/>
    <tableColumn id="186" xr3:uid="{67C51612-553F-4967-85BA-A22E23D89B08}" name="Audio CD" dataDxfId="988" dataCellStyle="Comma"/>
    <tableColumn id="187" xr3:uid="{F8342198-0FFF-4457-8AC4-1D31C506EAD8}" name="Braille Documents" dataDxfId="987" dataCellStyle="Comma"/>
    <tableColumn id="188" xr3:uid="{B9745D38-351D-4603-BDB0-2D11967B6AA8}" name="County Support " dataDxfId="986" dataCellStyle="Comma"/>
    <tableColumn id="189" xr3:uid="{F5810AEF-A83C-4C6E-B8CF-DCCD05B23B9C}" name="Data CD" dataDxfId="985" dataCellStyle="Comma"/>
    <tableColumn id="190" xr3:uid="{48AA0F5B-6C2F-4E2F-8D43-01F5D80A4A8A}" name="Large Font NOA" dataDxfId="984" dataCellStyle="Comma"/>
    <tableColumn id="191" xr3:uid="{E1062E94-4196-41A6-8086-9CB1FE065AE8}" name="No Accommodation is Needed " dataDxfId="983" dataCellStyle="Comma"/>
    <tableColumn id="192" xr3:uid="{870BD0C9-1525-48FF-BEFD-EB0BD91D0C0F}" name="Cases Self-Identifying as BVI in CMIPS" dataDxfId="982" dataCellStyle="Comma"/>
    <tableColumn id="193" xr3:uid="{2DBCF43E-5CA5-46DE-B79C-F6769D7BCBB6}" name="Reassessments - Outstanding" dataDxfId="981" dataCellStyle="Comma"/>
    <tableColumn id="194" xr3:uid="{8C35E13E-D3CE-449F-A665-DD51104ECA99}" name="New Applications  (Month)" dataDxfId="980" dataCellStyle="Comma"/>
    <tableColumn id="195" xr3:uid="{9D9F6105-7E62-422D-9EBF-0A5C178037CD}" name="Application Denials Days 0-45" dataDxfId="979" dataCellStyle="Comma"/>
    <tableColumn id="196" xr3:uid="{6F3DD203-A526-4A4D-97AF-F37842CDD86D}" name="Application Denials Days 46-91" dataDxfId="978" dataCellStyle="Comma"/>
    <tableColumn id="197" xr3:uid="{88EA1554-D5CF-413E-A7DA-973206C5DEBB}" name="Application Denials Days 90+" dataDxfId="977" dataCellStyle="Comma"/>
    <tableColumn id="198" xr3:uid="{3E47F901-6579-485F-BE2A-C1D7E819E125}" name="Application Denials Monthly Denials" dataDxfId="976" dataCellStyle="Comma"/>
    <tableColumn id="199" xr3:uid="{4BE4B04B-551E-4454-B7BB-212BB4529F14}" name="EFT (Direct Deposit)" dataDxfId="975"/>
    <tableColumn id="200" xr3:uid="{EE52F1EC-FBFA-427D-9E1D-6B0A3D6E8058}" name="Violations - With Single Recipient " dataDxfId="974" dataCellStyle="Comma"/>
    <tableColumn id="201" xr3:uid="{FDAE9C10-0BD4-42D2-BA7B-8B03AFA1B90C}" name="Violations - Travel" dataDxfId="973" dataCellStyle="Comma"/>
    <tableColumn id="202" xr3:uid="{28730BEA-89CC-4D7A-9FB8-57C40D21F907}" name="Violations - With Multiple Recipients" dataDxfId="972" dataCellStyle="Comma"/>
    <tableColumn id="203" xr3:uid="{99BB8CD1-8B03-4929-BA24-CCFFE78D93F6}" name="Total Violations" dataDxfId="971" dataCellStyle="Comma"/>
    <tableColumn id="204" xr3:uid="{B9310492-B21C-40C2-94C2-ED8BF1DA8E9D}" name="Parent Provider (Exemptions 1)" dataDxfId="970" dataCellStyle="Normal_Sheet1"/>
    <tableColumn id="205" xr3:uid="{E1DFE353-8DA9-4924-A7D7-56595DFC4C7D}" name="Extraordinary Circumstance (Exemptions 2)" dataDxfId="969" dataCellStyle="Normal_Sheet1"/>
    <tableColumn id="206" xr3:uid="{63D98EC4-C9E2-42EF-AF2A-C43B2F85C8F0}" name="Total Exemptions" dataDxfId="968" dataCellStyle="Normal_Sheet1"/>
    <tableColumn id="90" xr3:uid="{7FC56588-2A54-4F68-8A73-D23FA7D5CD07}" name="No longer in own home" dataDxfId="967" dataCellStyle="Normal_Sheet1"/>
    <tableColumn id="100" xr3:uid="{39F90808-EB6B-4F76-ABD7-AC61CDF4A446}" name="Recipient Request" dataDxfId="966" dataCellStyle="Normal_Sheet1"/>
    <tableColumn id="122" xr3:uid="{21E5C7EC-FAFF-438E-A78F-259CDED059C6}" name="Did not pay Share of Cost" dataDxfId="965" dataCellStyle="Normal_Sheet1"/>
    <tableColumn id="216" xr3:uid="{B8E1BCBC-EF0D-4B3E-8B01-2CA340C0ED4E}" name="Out of State more than 60 days" dataDxfId="964" dataCellStyle="Normal_Sheet1"/>
    <tableColumn id="238" xr3:uid="{84B90E32-9EA3-4FC6-9764-48E2D7841E00}" name="Out of country" dataDxfId="963" dataCellStyle="Normal_Sheet1"/>
    <tableColumn id="260" xr3:uid="{DF788CB0-A75A-4723-A7AC-718AF903152F}" name="Moved out of State" dataDxfId="962" dataCellStyle="Normal_Sheet1"/>
    <tableColumn id="270" xr3:uid="{B968EB44-5FB0-47D1-AF4F-7F44FC4F53FB}" name="Failure to cooperate" dataDxfId="961" dataCellStyle="Normal_Sheet1"/>
    <tableColumn id="292" xr3:uid="{1F2CEE3F-F404-4609-8237-77A1F9394AF6}" name="IHSS-R SOC exceeds need" dataDxfId="960" dataCellStyle="Normal_Sheet1"/>
    <tableColumn id="293" xr3:uid="{197D7134-AD71-415B-8E48-1A3835FC8BA9}" name="No Assessed Need" dataDxfId="959" dataCellStyle="Normal_Sheet1"/>
    <tableColumn id="294" xr3:uid="{BE1A0BA6-577C-4C42-80EB-0C7602DC5255}" name="Need met through Alternate Resources" dataDxfId="958" dataCellStyle="Normal_Sheet1"/>
    <tableColumn id="295" xr3:uid="{C1A2E0A8-9E91-4937-AD54-81BFE895D1F5}" name="Non-Compliance with Medi-Cal Eligibility" dataDxfId="957" dataCellStyle="Normal_Sheet1"/>
    <tableColumn id="296" xr3:uid="{CB6CEBCF-31A8-4A9C-A61F-65785F049233}" name="Residence - Hospital" dataDxfId="956" dataCellStyle="Normal_Sheet1"/>
    <tableColumn id="297" xr3:uid="{377C4D35-DABB-4AB5-97FD-485303512DA3}" name="Residence - Intermediate Care Facility" dataDxfId="955" dataCellStyle="Normal_Sheet1"/>
    <tableColumn id="298" xr3:uid="{2699BC98-758D-48BC-AC87-A78B6DC09896}" name="Residence - Skilled Nursing Facility" dataDxfId="954" dataCellStyle="Normal_Sheet1"/>
    <tableColumn id="299" xr3:uid="{491CB5B2-C2FE-4EF7-8E3A-BF0BD8539737}" name="Residence - Community Care Facility" dataDxfId="953" dataCellStyle="Normal_Sheet1"/>
    <tableColumn id="300" xr3:uid="{0D4E618B-F7D5-408A-8E90-D6399585194D}" name="Whereabouts unknown" dataDxfId="952" dataCellStyle="Normal_Sheet1"/>
    <tableColumn id="301" xr3:uid="{6093011F-E44D-466A-B2D1-FA0D71CD2904}" name="Recipient Death" dataDxfId="951" dataCellStyle="Normal_Sheet1"/>
    <tableColumn id="302" xr3:uid="{A720FF6E-E4F8-478C-B21D-2019AEE90DAE}" name="Erroneous" dataDxfId="950" dataCellStyle="Normal_Sheet1"/>
    <tableColumn id="303" xr3:uid="{0A9EBDBB-A9FF-40CC-A85A-C4D881D53B0D}" name="IHSS-R Excess Resource" dataDxfId="949" dataCellStyle="Normal_Sheet1"/>
    <tableColumn id="304" xr3:uid="{E3788754-C1BA-4A6F-B83F-578A2F22153B}" name="Invalid SSN" dataDxfId="948" dataCellStyle="Normal_Sheet1"/>
    <tableColumn id="305" xr3:uid="{52D03A66-8F0A-44F6-BABF-C8E81D161E5F}" name="Terminations - Duplicate SSN" dataDxfId="947" dataCellStyle="Normal_Sheet1"/>
    <tableColumn id="306" xr3:uid="{FC168C6D-5086-4840-B4B9-70D293BE0A39}" name="Health Care Certification - Not Received" dataDxfId="946" dataCellStyle="Normal_Sheet1"/>
    <tableColumn id="307" xr3:uid="{7F08E3C6-0646-4340-ADCC-2C80AB87EAAC}" name="Health Care Certification - No Need" dataDxfId="945" dataCellStyle="Normal_Sheet1"/>
    <tableColumn id="308" xr3:uid="{3DED98A4-F28C-4AEE-BC74-C49A0D913A3B}" name="Medi- Cal Restored" dataDxfId="944" dataCellStyle="Normal_Sheet1"/>
    <tableColumn id="321" xr3:uid="{0C2103D7-4FFD-4231-A678-BD3607486DBD}" name="White Apps Equity" dataDxfId="943" dataCellStyle="Normal_Sheet1"/>
    <tableColumn id="322" xr3:uid="{CF3A4548-9C28-4BD4-8794-2346AD19A4A4}" name="Hispanic Apps Equity" dataDxfId="942" dataCellStyle="Normal_Sheet1"/>
    <tableColumn id="323" xr3:uid="{6BB88A56-A986-44D1-B776-22DF62BDE54E}" name="Black Apps Equity" dataDxfId="941" dataCellStyle="Normal_Sheet1"/>
    <tableColumn id="324" xr3:uid="{EB485E1F-84CA-4CB3-BD98-C5EBCDD720BE}" name="Asian Pacific Apps Equity" dataDxfId="940" dataCellStyle="Normal_Sheet1"/>
    <tableColumn id="325" xr3:uid="{5613E2C4-1FC9-46A8-9C64-62D60D91A0AA}" name="Alaskan Native Apps Equity" dataDxfId="939" dataCellStyle="Normal_Sheet1"/>
    <tableColumn id="326" xr3:uid="{B9BE55F8-205B-4C9E-AB0E-DFCB07BB7A9A}" name="Filipino Apps Equity" dataDxfId="938" dataCellStyle="Normal_Sheet1"/>
    <tableColumn id="327" xr3:uid="{E3967D41-5724-46B9-A32D-707D2E9D4D5C}" name="No Valid Data Apps Equity" dataDxfId="937" dataCellStyle="Normal_Sheet1"/>
    <tableColumn id="328" xr3:uid="{B0DF4F18-46FD-42AB-8B22-4B85348E4777}" name="Amerasion Apps Equity" dataDxfId="936" dataCellStyle="Normal_Sheet1"/>
    <tableColumn id="329" xr3:uid="{6F2B7E17-F376-47BA-A5BD-E4AC76DBC9C0}" name="Chinese Apps Equity" dataDxfId="935" dataCellStyle="Normal_Sheet1"/>
    <tableColumn id="330" xr3:uid="{8B95C9D3-7E48-40AA-A066-900268F9F45C}" name="Cambodian Apps Equity" dataDxfId="934" dataCellStyle="Normal_Sheet1"/>
    <tableColumn id="331" xr3:uid="{CCBF2654-05D3-4A43-94D7-44154D8E3BA2}" name="Japanese Apps Equity" dataDxfId="933" dataCellStyle="Normal_Sheet1"/>
    <tableColumn id="332" xr3:uid="{27EF3A34-FCBE-421B-8DF0-E37A271F3AD2}" name="Korean Apps Equity" dataDxfId="932" dataCellStyle="Normal_Sheet1"/>
    <tableColumn id="333" xr3:uid="{ED173485-58C2-4F87-B391-76EEB62DA745}" name="Samoan Apps Equity" dataDxfId="931" dataCellStyle="Normal_Sheet1"/>
    <tableColumn id="334" xr3:uid="{8B2A880F-4451-41B4-B148-AA75CAEFEE33}" name="Asian Indian Apps Equity" dataDxfId="930" dataCellStyle="Normal_Sheet1"/>
    <tableColumn id="335" xr3:uid="{73DB89C0-DE92-4285-AB70-36436E922CA3}" name="Hawaiian Apps Equity" dataDxfId="929" dataCellStyle="Normal_Sheet1"/>
    <tableColumn id="336" xr3:uid="{119DB0D7-7D34-4320-B134-0D263BB5CACC}" name="Guamanian Apps Equity" dataDxfId="928" dataCellStyle="Normal_Sheet1"/>
    <tableColumn id="337" xr3:uid="{A9DD1108-6E09-49BF-9CE7-177899130AE4}" name="Laotian Apps Equity" dataDxfId="927" dataCellStyle="Normal_Sheet1"/>
    <tableColumn id="338" xr3:uid="{D283D564-B291-4CCD-AEB7-CCEF0942AC3F}" name="Vietnamese Apps Equity" dataDxfId="926" dataCellStyle="Normal_Sheet1"/>
    <tableColumn id="339" xr3:uid="{D00AABCF-03DF-4BDF-87EB-E19DCB01D85C}" name="Other Apps Equity" dataDxfId="925" dataCellStyle="Normal_Sheet1"/>
    <tableColumn id="340" xr3:uid="{F71A30DF-7DD2-4D93-8BE2-87463A062360}" name="White Denials Equity" dataDxfId="924" dataCellStyle="Normal_Sheet1"/>
    <tableColumn id="341" xr3:uid="{602C0E72-83E5-42E6-8F1D-62E070E84C66}" name="Hispanic Denials Equity" dataDxfId="923" dataCellStyle="Normal_Sheet1"/>
    <tableColumn id="342" xr3:uid="{C2D69664-616C-4600-AA8D-4A4C63AD2039}" name="Black Denials Equity" dataDxfId="922" dataCellStyle="Normal_Sheet1"/>
    <tableColumn id="343" xr3:uid="{DA36D461-5D9A-49B6-8BCD-AFE02B56B2E6}" name="Asian Pacific Denials Equity" dataDxfId="921" dataCellStyle="Normal_Sheet1"/>
    <tableColumn id="344" xr3:uid="{0E35BB5C-D42A-4F78-84D8-0B1AA4B1D560}" name="Alaskan Native Denials Equity" dataDxfId="920" dataCellStyle="Normal_Sheet1"/>
    <tableColumn id="345" xr3:uid="{0870CB24-000A-412F-B5F8-0DB95A7E840A}" name="Filipino Denials Equity" dataDxfId="919" dataCellStyle="Normal_Sheet1"/>
    <tableColumn id="346" xr3:uid="{E60ED7F4-309C-4552-99D5-52BB904AB570}" name="No Valid Data Denials Equity" dataDxfId="918" dataCellStyle="Normal_Sheet1"/>
    <tableColumn id="347" xr3:uid="{54640E7A-E454-446D-9E6D-A68B3550BF98}" name="Amerasion Denials Equity" dataDxfId="917" dataCellStyle="Normal_Sheet1"/>
    <tableColumn id="348" xr3:uid="{B483FD14-AA71-472F-B3F8-29854187F6E5}" name="Chinese Denials Equity" dataDxfId="916" dataCellStyle="Normal_Sheet1"/>
    <tableColumn id="349" xr3:uid="{9AA78CF9-E0B2-4DA1-9352-75C73A449DA7}" name="Cambodian Denials Equity" dataDxfId="915" dataCellStyle="Normal_Sheet1"/>
    <tableColumn id="350" xr3:uid="{5FDE198B-A738-48BD-A47E-9F2BCCEE1CF3}" name="Japanese Denials Equity" dataDxfId="914" dataCellStyle="Normal_Sheet1"/>
    <tableColumn id="351" xr3:uid="{7CB412F0-608C-4A8D-93B8-8F565A395756}" name="Korean Denials Equity" dataDxfId="913" dataCellStyle="Normal_Sheet1"/>
    <tableColumn id="352" xr3:uid="{3910FC28-8FBF-441F-8933-C285BB03A149}" name="Samoan Denials Equity" dataDxfId="912" dataCellStyle="Normal_Sheet1"/>
    <tableColumn id="353" xr3:uid="{EACE581B-F4D7-4AD5-9AA6-F704345EA7E5}" name="Asian Indian Denials Equity" dataDxfId="911" dataCellStyle="Normal_Sheet1"/>
    <tableColumn id="354" xr3:uid="{2F4D9866-212E-4ED6-9548-F6BFA37F9ADB}" name="Hawaiian Denials Equity" dataDxfId="910" dataCellStyle="Normal_Sheet1"/>
    <tableColumn id="355" xr3:uid="{64C906A2-8114-4020-BB4D-468CAF8A60BE}" name="Guamanian Denials Equity" dataDxfId="909" dataCellStyle="Normal_Sheet1"/>
    <tableColumn id="356" xr3:uid="{9EB67945-0045-4CCC-AD53-A3548D2C8304}" name="Laotian Denials Equity" dataDxfId="908" dataCellStyle="Normal_Sheet1"/>
    <tableColumn id="357" xr3:uid="{420A92B1-E35C-4603-B97B-A39667E8FAB5}" name="Vietnamese Denials Equity" dataDxfId="907" dataCellStyle="Normal_Sheet1"/>
    <tableColumn id="358" xr3:uid="{AC4EFB03-CB89-4ADF-ACE3-9E2B0CB95688}" name="Other Denials Equity" dataDxfId="906" dataCellStyle="Normal_Sheet1"/>
    <tableColumn id="359" xr3:uid="{B5B013DA-BD9B-408E-8705-F4B15DA57C50}" name="White Auth Hours Equity" dataDxfId="905" dataCellStyle="Normal_Sheet1"/>
    <tableColumn id="360" xr3:uid="{AAC916D1-BFDD-4F0A-BFE3-1B4152700BC2}" name="Hispanic Auth Hours Equity" dataDxfId="904" dataCellStyle="Normal_Sheet1"/>
    <tableColumn id="361" xr3:uid="{65A66A0A-0627-400D-B329-74A7742AFBEA}" name="Black Auth Hours Equity" dataDxfId="903" dataCellStyle="Normal_Sheet1"/>
    <tableColumn id="362" xr3:uid="{7A8D87DD-2783-46C2-86FA-72FA8B78BFF3}" name="Asian Pacific Auth Hours Equity" dataDxfId="902" dataCellStyle="Normal_Sheet1"/>
    <tableColumn id="363" xr3:uid="{870BE75E-B88B-410C-AD42-F65D28544840}" name="Alaskan Native Auth Hours Equity" dataDxfId="901" dataCellStyle="Normal_Sheet1"/>
    <tableColumn id="364" xr3:uid="{D66395A2-0D07-443B-8D87-F35C78A6BE39}" name="Filipino Auth Hours Equity" dataDxfId="900" dataCellStyle="Normal_Sheet1"/>
    <tableColumn id="365" xr3:uid="{0C263221-4D45-4FD5-9B8F-32BF74D1037E}" name="No Valid Data Auth Hours Equity" dataDxfId="899" dataCellStyle="Normal_Sheet1"/>
    <tableColumn id="366" xr3:uid="{81EC2668-A10F-4B14-AB36-CFFB224DFBF9}" name="Amerasion Auth Hours Equity" dataDxfId="898" dataCellStyle="Normal_Sheet1"/>
    <tableColumn id="367" xr3:uid="{3A303B25-CFCA-45F8-B17B-0769B4191C17}" name="Chinese Auth Hours Equity" dataDxfId="897" dataCellStyle="Normal_Sheet1"/>
    <tableColumn id="368" xr3:uid="{C0566442-346B-4709-B8BC-231B836CD09C}" name="Cambodian Auth Hours Equity" dataDxfId="896" dataCellStyle="Normal_Sheet1"/>
    <tableColumn id="369" xr3:uid="{E045DB27-0B61-4E09-842A-0ACACEB41964}" name="Japanese Auth Hours Equity" dataDxfId="895" dataCellStyle="Normal_Sheet1"/>
    <tableColumn id="370" xr3:uid="{0BAC7D44-8534-44F8-9B78-30B00FF55F00}" name="Korean Auth Hours Equity" dataDxfId="894" dataCellStyle="Normal_Sheet1"/>
    <tableColumn id="371" xr3:uid="{8E4647BE-C0A6-4B19-9444-74F73027607A}" name="Samoan Auth Hours Equity" dataDxfId="893" dataCellStyle="Normal_Sheet1"/>
    <tableColumn id="372" xr3:uid="{A6170E16-1ECD-485B-A318-8421DC86EA35}" name="Asian Indian Auth Hours Equity" dataDxfId="892" dataCellStyle="Normal_Sheet1"/>
    <tableColumn id="373" xr3:uid="{C9F3554D-3F35-49A6-A0DF-99B3ECD91FD7}" name="Hawaiian Auth Hours Equity" dataDxfId="891" dataCellStyle="Normal_Sheet1"/>
    <tableColumn id="374" xr3:uid="{068418FB-BE9E-4BDA-938C-5DD37EB41378}" name="Guamanian Auth Hours Equity" dataDxfId="890" dataCellStyle="Normal_Sheet1"/>
    <tableColumn id="375" xr3:uid="{9A6EBDCA-8360-44B5-832C-A6D08B7A23FF}" name="Laotian Auth Hours Equity" dataDxfId="889" dataCellStyle="Normal_Sheet1"/>
    <tableColumn id="376" xr3:uid="{EEE440C8-2C97-430C-B2F3-92D723AF8D8A}" name="Vietnamese Auth Hours Equity" dataDxfId="888" dataCellStyle="Normal_Sheet1"/>
    <tableColumn id="377" xr3:uid="{E036F765-20E5-4894-9886-A3254CF92153}" name="Other Auth Hours Equity" dataDxfId="887" dataCellStyle="Normal_Sheet1"/>
    <tableColumn id="378" xr3:uid="{A761D50D-2557-4759-A06C-F3F6CCD7A3FE}" name="White PS Equity" dataDxfId="886" dataCellStyle="Normal_Sheet1"/>
    <tableColumn id="379" xr3:uid="{494B01ED-0C98-4997-BBC8-6DCCFD1C02C4}" name="Hispanic PS Equity" dataDxfId="885" dataCellStyle="Normal_Sheet1"/>
    <tableColumn id="380" xr3:uid="{E3586EF8-B3E7-481C-85DE-1782BB3BC330}" name="Black PS Equity" dataDxfId="884" dataCellStyle="Normal_Sheet1"/>
    <tableColumn id="381" xr3:uid="{5B139B43-A855-4EFF-948F-D7BE237828DF}" name="Asian Pacific PS Equity" dataDxfId="883" dataCellStyle="Normal_Sheet1"/>
    <tableColumn id="382" xr3:uid="{EFF9DC7E-61F1-40C1-9FC4-242D3630CE4B}" name="Alaskan Native PS Equity" dataDxfId="882" dataCellStyle="Normal_Sheet1"/>
    <tableColumn id="383" xr3:uid="{A734322E-E887-4CB9-AF9F-2189823E386F}" name="Filipino PS Equity" dataDxfId="881" dataCellStyle="Normal_Sheet1"/>
    <tableColumn id="384" xr3:uid="{21B6EE81-1A43-4836-A795-D49030353513}" name="No Valid Data PS Equity" dataDxfId="880" dataCellStyle="Normal_Sheet1"/>
    <tableColumn id="385" xr3:uid="{F1DADE43-024D-4BEA-9A23-CCBBF44732F0}" name="Amerasion PS Equity" dataDxfId="879" dataCellStyle="Normal_Sheet1"/>
    <tableColumn id="386" xr3:uid="{FA8325E1-8E51-4277-8A42-2F1E7BCD942A}" name="Chinese PS Equity" dataDxfId="878" dataCellStyle="Normal_Sheet1"/>
    <tableColumn id="387" xr3:uid="{D6FE880E-1098-499C-A604-A720A15FCE6E}" name="Cambodian PS Equity" dataDxfId="877" dataCellStyle="Normal_Sheet1"/>
    <tableColumn id="388" xr3:uid="{7A67173A-196E-45D3-AF5B-94842F56193E}" name="Japanese PS Equity" dataDxfId="876" dataCellStyle="Normal_Sheet1"/>
    <tableColumn id="389" xr3:uid="{68665EFB-C437-4FA2-9236-8F32EF704FD5}" name="Korean PS Equity" dataDxfId="875" dataCellStyle="Normal_Sheet1"/>
    <tableColumn id="390" xr3:uid="{E808918E-0016-4426-AB5A-C72CE6721CBA}" name="Samoan PS Equity" dataDxfId="874" dataCellStyle="Normal_Sheet1"/>
    <tableColumn id="391" xr3:uid="{BC2B3EB5-3B3E-45FB-BFD0-B49D553F74CD}" name="Asian Indian PS Equity" dataDxfId="873" dataCellStyle="Normal_Sheet1"/>
    <tableColumn id="392" xr3:uid="{B035F24F-4DB2-427D-A056-E6BF8AB77BDC}" name="Hawaiian PS Equity" dataDxfId="872" dataCellStyle="Normal_Sheet1"/>
    <tableColumn id="393" xr3:uid="{5BD7AC95-37F7-4F2F-9C3E-80ED77AA942F}" name="Guamanian PS Equity" dataDxfId="871" dataCellStyle="Normal_Sheet1"/>
    <tableColumn id="394" xr3:uid="{EFB5F6E6-DD89-42E8-974E-078EA07F0D87}" name="Laotian PS Equity" dataDxfId="870" dataCellStyle="Normal_Sheet1"/>
    <tableColumn id="395" xr3:uid="{D8A8AF6C-A512-40EC-8481-840A78368C29}" name="Vietnamese PS Equity" dataDxfId="869" dataCellStyle="Normal_Sheet1"/>
    <tableColumn id="396" xr3:uid="{62722A81-867C-4A18-9023-95FBCD92D12A}" name="Other PS Equity" dataDxfId="868" dataCellStyle="Normal_Sheet1"/>
    <tableColumn id="397" xr3:uid="{B38BF7F6-ADB6-4488-B3DA-84208CF2432E}" name="White PM Equity" dataDxfId="867" dataCellStyle="Normal_Sheet1"/>
    <tableColumn id="398" xr3:uid="{4746F9D2-5571-43C5-9141-ACF831343941}" name="Hispanic PM Equity" dataDxfId="866" dataCellStyle="Normal_Sheet1"/>
    <tableColumn id="399" xr3:uid="{3793ED45-E3FD-44C9-B03F-769A31D2C392}" name="Black PM Equity" dataDxfId="865" dataCellStyle="Normal_Sheet1"/>
    <tableColumn id="400" xr3:uid="{B7473079-CEE1-4453-9421-6B0386E7C3D7}" name="Asian Pacific PM Equity" dataDxfId="864" dataCellStyle="Normal_Sheet1"/>
    <tableColumn id="401" xr3:uid="{702A6F98-2FFC-4E93-A9A5-D79D6F60D7BB}" name="Alaskan Native PM Equity" dataDxfId="863" dataCellStyle="Normal_Sheet1"/>
    <tableColumn id="402" xr3:uid="{2E89510F-8A00-40EB-B2C7-9245A7EB4AFE}" name="Filipino PM Equity" dataDxfId="862" dataCellStyle="Normal_Sheet1"/>
    <tableColumn id="403" xr3:uid="{746934CD-ABCF-4BD6-9C9F-13080003A9AD}" name="No Valid Data PM Equity" dataDxfId="861" dataCellStyle="Normal_Sheet1"/>
    <tableColumn id="404" xr3:uid="{778D9E06-93D8-42FE-B775-DBEADB072FE4}" name="Amerasion PM Equity" dataDxfId="860" dataCellStyle="Normal_Sheet1"/>
    <tableColumn id="405" xr3:uid="{474FC8D3-86F8-4415-A89B-4AFAEFD203A2}" name="Chinese PM Equity" dataDxfId="859" dataCellStyle="Normal_Sheet1"/>
    <tableColumn id="406" xr3:uid="{A7651563-070C-4524-8E7A-F1C3FA1C22B3}" name="Cambodian PM Equity" dataDxfId="858" dataCellStyle="Normal_Sheet1"/>
    <tableColumn id="407" xr3:uid="{4ADCA1F3-B02F-4E0A-AD75-F18E18F491C5}" name="Japanese PM Equity" dataDxfId="857" dataCellStyle="Normal_Sheet1"/>
    <tableColumn id="408" xr3:uid="{70B5353F-9849-46EF-B91D-C2574AE4E66A}" name="Korean PM Equity" dataDxfId="856" dataCellStyle="Normal_Sheet1"/>
    <tableColumn id="409" xr3:uid="{9D591A5C-A663-4C1F-A942-8BF35044B087}" name="Samoan PM Equity" dataDxfId="855" dataCellStyle="Normal_Sheet1"/>
    <tableColumn id="410" xr3:uid="{416F8E87-BFE8-425F-95AB-D2D5A8F2BBA0}" name="Asian Indian PM Equity" dataDxfId="854" dataCellStyle="Normal_Sheet1"/>
    <tableColumn id="411" xr3:uid="{0D84557D-8883-4998-A545-CB4446AF53AF}" name="Hawaiian PM Equity" dataDxfId="853" dataCellStyle="Normal_Sheet1"/>
    <tableColumn id="412" xr3:uid="{77FAAA98-D19E-439B-8C43-3CC38AB834C2}" name="Guamanian PM Equity" dataDxfId="852" dataCellStyle="Normal_Sheet1"/>
    <tableColumn id="413" xr3:uid="{9C47F3CC-BC43-400A-9DDC-2AE259065670}" name="Laotian PM Equity" dataDxfId="851" dataCellStyle="Normal_Sheet1"/>
    <tableColumn id="414" xr3:uid="{42BE495B-CDA6-4151-B2DD-15767685FF04}" name="Vietnamese PM Equity" dataDxfId="850" dataCellStyle="Normal_Sheet1"/>
    <tableColumn id="415" xr3:uid="{4A980EA3-4439-4E2F-BC6B-D521E68B3187}" name="Other PM Equity" dataDxfId="849" dataCellStyle="Normal_Sheet1"/>
    <tableColumn id="416" xr3:uid="{6A8CF719-F0F6-425E-AEEF-ADB6BDDFB7A4}" name="White NSI Equity" dataDxfId="848" dataCellStyle="Normal_Sheet1"/>
    <tableColumn id="417" xr3:uid="{EDBDE24A-6558-4A09-AA6C-687E9D5FF5C4}" name="Hispanic NSI Equity" dataDxfId="847" dataCellStyle="Normal_Sheet1"/>
    <tableColumn id="418" xr3:uid="{E1440539-7BBF-439E-A086-1ADD3430A973}" name="Black NSI Equity" dataDxfId="846" dataCellStyle="Normal_Sheet1"/>
    <tableColumn id="419" xr3:uid="{7CAE16BE-395C-41B0-9F32-35DD494FF34E}" name="Asian Pacific NSI Equity" dataDxfId="845" dataCellStyle="Normal_Sheet1"/>
    <tableColumn id="420" xr3:uid="{0FD347E2-146B-4D1B-A318-8F59FBA7D280}" name="Alaskan Native NSI Equity" dataDxfId="844" dataCellStyle="Normal_Sheet1"/>
    <tableColumn id="421" xr3:uid="{C56DDAD1-7ACC-47C4-91F0-7BD7DDFC851D}" name="Filipino NSI Equity" dataDxfId="843" dataCellStyle="Normal_Sheet1"/>
    <tableColumn id="422" xr3:uid="{34BBA455-D060-4ACD-BD1F-B9F1FA383D4A}" name="No Valid Data NSI Equity" dataDxfId="842" dataCellStyle="Normal_Sheet1"/>
    <tableColumn id="423" xr3:uid="{7F0E77B6-BCCB-4FC9-AA0F-3B79A177B47F}" name="Amerasion NSI Equity" dataDxfId="841" dataCellStyle="Normal_Sheet1"/>
    <tableColumn id="424" xr3:uid="{AE70C9B6-AF16-4B7F-8880-4816FED05BD7}" name="Chinese NSI Equity" dataDxfId="840" dataCellStyle="Normal_Sheet1"/>
    <tableColumn id="425" xr3:uid="{73B95CBE-4D89-404B-9623-AD2CF352B1F8}" name="Cambodian NSI Equity" dataDxfId="839" dataCellStyle="Normal_Sheet1"/>
    <tableColumn id="426" xr3:uid="{DAEBB3EC-DEC1-4D5A-9257-E983BA6900E7}" name="Japanese NSI Equity" dataDxfId="838" dataCellStyle="Normal_Sheet1"/>
    <tableColumn id="427" xr3:uid="{2C1D5692-3CB3-4B90-AA47-997A11C07DF6}" name="Korean NSI Equity" dataDxfId="837" dataCellStyle="Normal_Sheet1"/>
    <tableColumn id="428" xr3:uid="{BF08AACC-93FE-4F77-93FA-00FA809E8664}" name="Samoan NSI Equity" dataDxfId="836" dataCellStyle="Normal_Sheet1"/>
    <tableColumn id="429" xr3:uid="{84173019-0B93-4648-91B1-FF938E601257}" name="Asian Indian NSI Equity" dataDxfId="835" dataCellStyle="Normal_Sheet1"/>
    <tableColumn id="430" xr3:uid="{1BC8953D-733B-47ED-9499-539149AC22F3}" name="Hawaiian NSI Equity" dataDxfId="834" dataCellStyle="Normal_Sheet1"/>
    <tableColumn id="431" xr3:uid="{64EB1B7C-69C4-4933-B486-E64A6AC6D695}" name="Guamanian NSI Equity" dataDxfId="833" dataCellStyle="Normal_Sheet1"/>
    <tableColumn id="432" xr3:uid="{A6F5E291-1FEC-48D7-B010-D52163BB827E}" name="Laotian NSI Equity" dataDxfId="832" dataCellStyle="Normal_Sheet1"/>
    <tableColumn id="433" xr3:uid="{94AC1B22-40FD-4537-8E34-1335E799993F}" name="Vietnamese NSI Equity" dataDxfId="831" dataCellStyle="Normal_Sheet1"/>
    <tableColumn id="434" xr3:uid="{24E05101-B261-4AEE-A641-73F0070E5CE9}" name="Other NSI Equity" dataDxfId="830" dataCellStyle="Normal_Sheet1"/>
    <tableColumn id="435" xr3:uid="{D801BFC1-3CD2-4A18-A2FE-EA976407D11B}" name="White SI Equity" dataDxfId="829" dataCellStyle="Normal_Sheet1"/>
    <tableColumn id="436" xr3:uid="{DA07712B-4E59-4CFB-844D-2299CE6D10DA}" name="Hispanic SI Equity" dataDxfId="828" dataCellStyle="Normal_Sheet1"/>
    <tableColumn id="437" xr3:uid="{0788AC3A-8818-4620-95C9-00BD7CFF0101}" name="Black SI Equity" dataDxfId="827" dataCellStyle="Normal_Sheet1"/>
    <tableColumn id="438" xr3:uid="{5B8DEDE1-FC34-48D0-AF62-F4C956C0C50C}" name="Asian Pacific SI Equity" dataDxfId="826" dataCellStyle="Normal_Sheet1"/>
    <tableColumn id="439" xr3:uid="{A254D63C-2513-49F5-B60E-2DDA37F66EFA}" name="Alaskan Native SI Equity" dataDxfId="825" dataCellStyle="Normal_Sheet1"/>
    <tableColumn id="440" xr3:uid="{9C636127-9C21-47EC-A04C-4632B7A4CE10}" name="Filipino SI Equity" dataDxfId="824" dataCellStyle="Normal_Sheet1"/>
    <tableColumn id="441" xr3:uid="{F06783E3-0398-4203-8743-27973AAA8A56}" name="No Valid Data SI Equity" dataDxfId="823" dataCellStyle="Normal_Sheet1"/>
    <tableColumn id="442" xr3:uid="{C35D71D5-3DA9-4FB4-B82E-7FE4A6A4506A}" name="Amerasion SI Equity" dataDxfId="822" dataCellStyle="Normal_Sheet1"/>
    <tableColumn id="443" xr3:uid="{2485B101-8B7A-4A51-AA04-989759032464}" name="Chinese SI Equity" dataDxfId="821" dataCellStyle="Normal_Sheet1"/>
    <tableColumn id="444" xr3:uid="{BB72135E-B154-45BB-BD84-8A8DFCCB389F}" name="Cambodian SI Equity" dataDxfId="820" dataCellStyle="Normal_Sheet1"/>
    <tableColumn id="445" xr3:uid="{CB7B6654-639F-4AB7-8488-239844A1AF11}" name="Japanese SI Equity" dataDxfId="819" dataCellStyle="Normal_Sheet1"/>
    <tableColumn id="446" xr3:uid="{EE031ED4-4436-4322-B605-2E0700051B4A}" name="Korean SI Equity" dataDxfId="818" dataCellStyle="Normal_Sheet1"/>
    <tableColumn id="447" xr3:uid="{4FA4102E-4975-45FB-93E4-4914DCE54C10}" name="Samoan SI Equity" dataDxfId="817" dataCellStyle="Normal_Sheet1"/>
    <tableColumn id="448" xr3:uid="{3571B990-933A-4C27-8EEA-77874E0902DC}" name="Asian Indian SI Equity" dataDxfId="816" dataCellStyle="Normal_Sheet1"/>
    <tableColumn id="449" xr3:uid="{457B1DE3-932A-4F1D-BCF6-87B2B94C1AB9}" name="Hawaiian SI Equity" dataDxfId="815" dataCellStyle="Normal_Sheet1"/>
    <tableColumn id="450" xr3:uid="{C0EFD5A0-EA08-45A1-AC69-FD4FCFB071A9}" name="Guamanian SI Equity" dataDxfId="814" dataCellStyle="Normal_Sheet1"/>
    <tableColumn id="451" xr3:uid="{CB2F5209-88E0-4DAF-95D0-C8592CF7961F}" name="Laotian SI Equity" dataDxfId="813" dataCellStyle="Normal_Sheet1"/>
    <tableColumn id="452" xr3:uid="{0B037480-92E7-4B44-8E63-15D18AD3CC2D}" name="Vietnamese SI Equity" dataDxfId="812" dataCellStyle="Normal_Sheet1"/>
    <tableColumn id="453" xr3:uid="{8E2D1BE7-91B9-44BF-9B45-8F25EAF896DF}" name="Other SI Equity" dataDxfId="811" dataCellStyle="Normal_Sheet1"/>
    <tableColumn id="207" xr3:uid="{BAE91810-8841-4183-B4B2-E96B1FD8B5A5}" name="Female " dataDxfId="810" dataCellStyle="Percent"/>
    <tableColumn id="208" xr3:uid="{796CE111-50B0-433F-B51A-8524373AA595}" name="Male " dataDxfId="809" dataCellStyle="Percent"/>
    <tableColumn id="209" xr3:uid="{342A1953-0929-4CB2-9461-B62E99805683}" name="White " dataDxfId="808" dataCellStyle="Percent"/>
    <tableColumn id="210" xr3:uid="{DCA9193B-AC4E-4A91-92D3-2694E832F4DF}" name="Hispanic " dataDxfId="807" dataCellStyle="Percent"/>
    <tableColumn id="211" xr3:uid="{B27BD422-A2C1-4585-8C5A-F6A8A81180AF}" name="Black " dataDxfId="806" dataCellStyle="Percent"/>
    <tableColumn id="212" xr3:uid="{7F2B4149-01AB-49AF-BD36-0BC68080FA22}" name="Asian or Pacific Islander " dataDxfId="805" dataCellStyle="Percent"/>
    <tableColumn id="213" xr3:uid="{E427162B-D9A8-425C-9825-83E66970D1D5}" name="Alaskan Native or American Indian " dataDxfId="804" dataCellStyle="Percent"/>
    <tableColumn id="214" xr3:uid="{36C29628-DB08-40A0-A2D9-98166EFDFF6E}" name="Filipino " dataDxfId="803" dataCellStyle="Percent"/>
    <tableColumn id="215" xr3:uid="{A0992BC7-F672-4D6D-87F3-B7DECCD879DF}" name="No Valid Data Reported " dataDxfId="802" dataCellStyle="Percent"/>
    <tableColumn id="217" xr3:uid="{AD1A1C36-FA86-4AB0-A84D-90D933A938C3}" name="Amerasian " dataDxfId="801" dataCellStyle="Percent"/>
    <tableColumn id="218" xr3:uid="{648F9309-F887-4CAA-91C7-22D19D1B2FBF}" name="Chinese " dataDxfId="800" dataCellStyle="Percent"/>
    <tableColumn id="219" xr3:uid="{AC17CA18-A1AF-4830-94B5-5A3397C560A5}" name="Cambodian " dataDxfId="799" dataCellStyle="Percent"/>
    <tableColumn id="220" xr3:uid="{41C2EE84-B5BF-4E64-9951-2CFA62C81FBF}" name="Japanese " dataDxfId="798" dataCellStyle="Percent"/>
    <tableColumn id="221" xr3:uid="{4C163AEE-51C6-49F2-A6DC-8ADC565C14D7}" name="Korean " dataDxfId="797" dataCellStyle="Percent"/>
    <tableColumn id="222" xr3:uid="{A4C45971-4FA4-4674-A933-DFC8CB2716D2}" name="Samoan " dataDxfId="796" dataCellStyle="Percent"/>
    <tableColumn id="223" xr3:uid="{0ABD9CB1-5603-45FA-A3A9-2B14F6A21FE3}" name="Asian Indian " dataDxfId="795" dataCellStyle="Percent"/>
    <tableColumn id="224" xr3:uid="{F604E1E3-AD20-4AC4-8AB0-27E382242E1A}" name="Hawaiian " dataDxfId="794" dataCellStyle="Percent"/>
    <tableColumn id="225" xr3:uid="{CD67D24F-B263-4C95-B8EF-2B928CDD02F5}" name="Guamanian " dataDxfId="793" dataCellStyle="Percent"/>
    <tableColumn id="226" xr3:uid="{027DCE29-6B37-4EA4-876C-501964B543C4}" name="Laotian " dataDxfId="792" dataCellStyle="Percent"/>
    <tableColumn id="227" xr3:uid="{B1EF04A3-2060-435A-97A9-91E9930CE16C}" name="Vietnamese " dataDxfId="791" dataCellStyle="Percent"/>
    <tableColumn id="228" xr3:uid="{B04A8A51-D0D6-41D3-8203-DE82F805C353}" name="Other " dataDxfId="790" dataCellStyle="Percent"/>
    <tableColumn id="229" xr3:uid="{22168EF9-8537-4376-A4A9-20B3FA59FA78}" name="Spoken Language - American Sign Language " dataDxfId="789" dataCellStyle="Percent"/>
    <tableColumn id="230" xr3:uid="{D531AD98-C89F-4453-AC24-A603EEE89399}" name="Spoken Language - Spanish " dataDxfId="788" dataCellStyle="Percent"/>
    <tableColumn id="231" xr3:uid="{D53E1A85-C35E-441A-8E25-A55A57DD7CBB}" name="Spoken Language - Cantonese " dataDxfId="787" dataCellStyle="Percent"/>
    <tableColumn id="232" xr3:uid="{CBFFB30A-08CA-456A-A17C-D5264211C6EB}" name="Spoken Language - Japanese " dataDxfId="786" dataCellStyle="Percent"/>
    <tableColumn id="233" xr3:uid="{29F95C41-A1E9-471D-9B0A-335BC68FFFCB}" name="Spoken Language - Korean " dataDxfId="785" dataCellStyle="Percent"/>
    <tableColumn id="234" xr3:uid="{456AE226-467C-4CBC-82C4-05AFEED173F2}" name="Spoken Language - Tagalog " dataDxfId="784" dataCellStyle="Percent"/>
    <tableColumn id="235" xr3:uid="{ECC3F303-637B-4FA6-AEBC-D562B4480916}" name="Spoken Language - Other Non-English " dataDxfId="783" dataCellStyle="Percent"/>
    <tableColumn id="236" xr3:uid="{A0012F6E-32C9-46ED-B1B9-4A641604D1ED}" name="Spoken Language - English " dataDxfId="782" dataCellStyle="Percent"/>
    <tableColumn id="237" xr3:uid="{6FBB5039-EE58-43FA-ADD6-CBB8414E3443}" name="Spoken Language - No Valid Data Reported " dataDxfId="781" dataCellStyle="Percent"/>
    <tableColumn id="239" xr3:uid="{00582ADF-DDF0-4322-BABE-2C1BD7C4CB23}" name="Spoken Language - Other Sign Language " dataDxfId="780" dataCellStyle="Percent"/>
    <tableColumn id="240" xr3:uid="{2CDEEEF6-CC55-46C3-B698-249B91BAC00F}" name="Spoken Language - Mandarin " dataDxfId="779" dataCellStyle="Percent"/>
    <tableColumn id="241" xr3:uid="{133AFF5E-6894-40C1-B742-BC4042DF914B}" name="Spoken Language - Other Chinese Languages " dataDxfId="778" dataCellStyle="Percent"/>
    <tableColumn id="242" xr3:uid="{AB807BE8-36AC-46C6-AE3C-C3502BA055FB}" name="Spoken Language - Cambodian " dataDxfId="777" dataCellStyle="Percent"/>
    <tableColumn id="243" xr3:uid="{90D0E1CC-7463-4A82-8DD6-5B1328FED2F6}" name="Spoken Language - Armenian " dataDxfId="776" dataCellStyle="Percent"/>
    <tableColumn id="244" xr3:uid="{43409452-5FB4-46C0-98F9-1759B60F55AD}" name="Spoken Language - Ilocano " dataDxfId="775" dataCellStyle="Percent"/>
    <tableColumn id="245" xr3:uid="{1FB9E924-FD12-47BA-894D-3F5C3BBE2F89}" name="Spoken Language - Mien " dataDxfId="774" dataCellStyle="Percent"/>
    <tableColumn id="246" xr3:uid="{4ABB2D69-069F-407C-8101-8CE3537A3C72}" name="Spoken Language - Hmong " dataDxfId="773" dataCellStyle="Percent"/>
    <tableColumn id="247" xr3:uid="{1D7853AE-2D85-4029-8E86-421CF82CAABF}" name="Spoken Language - Lao " dataDxfId="772" dataCellStyle="Percent"/>
    <tableColumn id="248" xr3:uid="{0D95132C-08BB-4031-93CA-8D22F290DE42}" name="Spoken Language - Turkish " dataDxfId="771" dataCellStyle="Percent"/>
    <tableColumn id="249" xr3:uid="{10AFC037-8C48-4CED-91EB-4DC4CF6582D6}" name="Spoken Language - Hebrew " dataDxfId="770" dataCellStyle="Percent"/>
    <tableColumn id="250" xr3:uid="{1632A818-7366-4513-9F23-C0EBF4011FF0}" name="Spoken Language - French " dataDxfId="769" dataCellStyle="Percent"/>
    <tableColumn id="251" xr3:uid="{35DEBD89-05E4-4A8A-905E-2291478230B9}" name="Spoken Language - Polish " dataDxfId="768" dataCellStyle="Percent"/>
    <tableColumn id="252" xr3:uid="{A3D8D71B-D00D-4BEA-826C-3934B56BE42C}" name="Spoken Language - Russian " dataDxfId="767" dataCellStyle="Percent"/>
    <tableColumn id="253" xr3:uid="{04A1B724-044B-42F4-953C-E6BC73D2ADAB}" name="Spoken Language - Portuguese " dataDxfId="766" dataCellStyle="Percent"/>
    <tableColumn id="254" xr3:uid="{F1211E68-0559-4EA7-B5FA-0B922DD568BE}" name="Spoken Language - Italian " dataDxfId="765" dataCellStyle="Percent"/>
    <tableColumn id="255" xr3:uid="{97709052-B37B-49B8-B6C0-01303DF0049F}" name="Spoken Language - Arabic " dataDxfId="764" dataCellStyle="Percent"/>
    <tableColumn id="256" xr3:uid="{63CAA45F-C3C1-4E5A-931E-B88D1407F95B}" name="Spoken Language - Samoan " dataDxfId="763" dataCellStyle="Percent"/>
    <tableColumn id="257" xr3:uid="{3AB8FC76-2DB5-4B43-9A19-9E97F8CF6765}" name="Spoken Language - Thai " dataDxfId="762" dataCellStyle="Percent"/>
    <tableColumn id="258" xr3:uid="{97BAEC37-6D13-433E-9DF9-D860CA2CE78C}" name="Spoken Language - Farsi " dataDxfId="761" dataCellStyle="Percent"/>
    <tableColumn id="259" xr3:uid="{88FE5D35-7C41-4BB3-A481-078C3F64E907}" name="Spoken Language - Vietnamese " dataDxfId="760" dataCellStyle="Percent"/>
    <tableColumn id="314" xr3:uid="{34D28A89-CBEF-47A2-815F-041C61D5FD70}" name="Spoken Language - Hindi" dataDxfId="759" dataCellStyle="Percent"/>
    <tableColumn id="313" xr3:uid="{786E1E60-9E0F-4B6B-A39B-794829653941}" name="Spoken Language - Punjabi" dataDxfId="758" dataCellStyle="Percent"/>
    <tableColumn id="312" xr3:uid="{4748BB02-C97A-4308-9B5A-F4EC3B0B7160}" name="Spoken Language - Ukrainian" dataDxfId="757" dataCellStyle="Percent"/>
    <tableColumn id="261" xr3:uid="{99043527-2033-4CD6-BE8D-B9CBD85A7B26}" name="Provider Spoken - American Sign Language " dataDxfId="756" dataCellStyle="Percent"/>
    <tableColumn id="262" xr3:uid="{FE7B2AA5-79DA-4E50-8A51-056713A947FB}" name="Provider Spoken - Spanish " dataDxfId="755" dataCellStyle="Percent"/>
    <tableColumn id="263" xr3:uid="{1BE61550-8736-4A9B-92C7-1F3F8C356E52}" name="Provider Spoken - Cantonese " dataDxfId="754" dataCellStyle="Percent"/>
    <tableColumn id="264" xr3:uid="{1B015C9C-A7EF-488D-9E04-1A52E4358335}" name="Provider Spoken - Japanese " dataDxfId="753" dataCellStyle="Percent"/>
    <tableColumn id="265" xr3:uid="{BC08FB4A-764C-4A2C-8CFE-6F119D70CA7E}" name="Provider Spoken - Korean " dataDxfId="752" dataCellStyle="Percent"/>
    <tableColumn id="266" xr3:uid="{CCE37515-E635-4753-8DF9-FE6F65610AC0}" name="Provider Spoken - Tagalog " dataDxfId="751" dataCellStyle="Percent"/>
    <tableColumn id="267" xr3:uid="{12146684-6AEC-4660-9334-DF78221AA3C1}" name="Provider Spoken - Other Non-English " dataDxfId="750" dataCellStyle="Percent"/>
    <tableColumn id="268" xr3:uid="{598A9E4F-D14D-4A09-A146-4BBAB3BC5E72}" name="Provider Spoken - English " dataDxfId="749" dataCellStyle="Percent"/>
    <tableColumn id="269" xr3:uid="{635A470A-5577-4D08-8B8B-416345F7FAFA}" name="Provider Spoken - No Valid Data Reported " dataDxfId="748" dataCellStyle="Percent"/>
    <tableColumn id="271" xr3:uid="{1B103E96-F982-48FA-BC48-6545AA410D97}" name="Provider Spoken - Other Sign Language " dataDxfId="747" dataCellStyle="Percent"/>
    <tableColumn id="272" xr3:uid="{137C94E2-93D6-410D-B9B0-49840919BE09}" name="Provider Spoken - Mandarin " dataDxfId="746" dataCellStyle="Percent"/>
    <tableColumn id="273" xr3:uid="{D6FD3FCF-41FC-4F31-AAB5-EA72ECAEF375}" name="Provider Spoken - Other Chinese Languages " dataDxfId="745" dataCellStyle="Percent"/>
    <tableColumn id="274" xr3:uid="{71AE4A48-3719-432A-81E0-959BB38BDE52}" name="Provider Spoken - Cambodian " dataDxfId="744" dataCellStyle="Percent"/>
    <tableColumn id="275" xr3:uid="{83A2B8B8-371E-4997-B564-BB81637275D6}" name="Provider Spoken - Armenian " dataDxfId="743" dataCellStyle="Percent"/>
    <tableColumn id="276" xr3:uid="{BE90CF72-D51B-4236-A706-19C8018AC84B}" name="Provider Spoken - Ilocano " dataDxfId="742" dataCellStyle="Percent"/>
    <tableColumn id="277" xr3:uid="{99EA9924-FA04-49F0-8698-33A297E1BA62}" name="Provider Spoken - Mien " dataDxfId="741" dataCellStyle="Percent"/>
    <tableColumn id="278" xr3:uid="{435DD216-83D1-46FD-AAC8-F610C99DF007}" name="Provider Spoken - Hmong " dataDxfId="740" dataCellStyle="Percent"/>
    <tableColumn id="279" xr3:uid="{BE221C67-1F5E-4676-B8CD-CD6255361404}" name="Provider Spoken - Lao " dataDxfId="739" dataCellStyle="Percent"/>
    <tableColumn id="280" xr3:uid="{9FB76E47-41BC-45B4-B24C-765973ABA2AC}" name="Provider Spoken - Turkish " dataDxfId="738" dataCellStyle="Percent"/>
    <tableColumn id="281" xr3:uid="{7505E549-84D2-49DC-B2F5-5754D315DD62}" name="Provider Spoken - Hebrew " dataDxfId="737" dataCellStyle="Percent"/>
    <tableColumn id="282" xr3:uid="{73749543-D5E7-4721-8FDB-1033EDF3A8C2}" name="Provider Spoken - French " dataDxfId="736" dataCellStyle="Percent"/>
    <tableColumn id="283" xr3:uid="{13866D7F-78D2-4586-8A20-9E4CC07AEA87}" name="Provider Spoken - Polish " dataDxfId="735" dataCellStyle="Percent"/>
    <tableColumn id="284" xr3:uid="{34DA4EB5-E498-4B48-B915-541668AE9F79}" name="Provider Spoken - Russian " dataDxfId="734" dataCellStyle="Percent"/>
    <tableColumn id="285" xr3:uid="{95AE623A-F797-4BF0-9378-3276776A4D55}" name="Provider Spoken - Portuguese " dataDxfId="733" dataCellStyle="Percent"/>
    <tableColumn id="286" xr3:uid="{EDB26540-01F3-441B-80F7-B443E2B587D6}" name="Provider Spoken - Italian " dataDxfId="732" dataCellStyle="Percent"/>
    <tableColumn id="287" xr3:uid="{2EEB055A-A02B-47B4-AD8B-94445C573806}" name="Provider Spoken - Arabic " dataDxfId="731" dataCellStyle="Percent"/>
    <tableColumn id="288" xr3:uid="{1940B5F1-33BC-4B7C-8848-381C7B2AF3B9}" name="Provider Spoken - Samoan " dataDxfId="730" dataCellStyle="Percent"/>
    <tableColumn id="289" xr3:uid="{A58045A5-345B-4A56-8FE7-3F174AF4D76B}" name="Provider Spoken - Thai " dataDxfId="729" dataCellStyle="Percent"/>
    <tableColumn id="290" xr3:uid="{43849BA8-EB19-4F6A-B918-D55BBC13310F}" name="Provider Spoken - Farsi " dataDxfId="728" dataCellStyle="Percent"/>
    <tableColumn id="291" xr3:uid="{08B817B3-78C8-454F-A356-02F8A96F9F75}" name="Provider Spoken - Vietnamese " dataDxfId="727" dataCellStyle="Percent"/>
    <tableColumn id="318" xr3:uid="{4A9781E1-87D7-45BA-931A-BF0B1585D9A7}" name="Provider Spoken Language - Hindi  " dataDxfId="726" dataCellStyle="Percent"/>
    <tableColumn id="319" xr3:uid="{EF4D685F-C673-413E-89D3-2BF84A2C2515}" name="Provider Spoken Language - Punjabi  " dataDxfId="725" dataCellStyle="Percent"/>
    <tableColumn id="320" xr3:uid="{837D153A-F128-4A4C-9F87-580E74751BAF}" name="Provider Spoken Language - Ukrainian  " dataDxfId="724" dataCellStyle="Percent"/>
    <tableColumn id="454" xr3:uid="{A9B9EE64-4DB0-4102-8C5A-E9509D5D20A8}" name="White Apps Equity " dataDxfId="723" dataCellStyle="Percent"/>
    <tableColumn id="455" xr3:uid="{DDE066C2-5859-4E06-B38A-415211BF87F7}" name="Hispanic Apps Equity " dataDxfId="722" dataCellStyle="Percent"/>
    <tableColumn id="456" xr3:uid="{AA9D8C4D-B013-417F-A246-773B3DD8256C}" name="Black Apps Equity " dataDxfId="721" dataCellStyle="Percent"/>
    <tableColumn id="457" xr3:uid="{D944FF5C-AB88-4C67-8D8E-C88F71BCAB77}" name="Asian Pacific Apps Equity " dataDxfId="720" dataCellStyle="Percent"/>
    <tableColumn id="458" xr3:uid="{26333391-F977-414D-8ADB-18BE5929BD8E}" name="Alaskan Native Apps Equity " dataDxfId="719" dataCellStyle="Percent"/>
    <tableColumn id="459" xr3:uid="{89A6F9EB-A406-4C0B-97FD-74680193330B}" name="Filipino Apps Equity " dataDxfId="718" dataCellStyle="Percent"/>
    <tableColumn id="460" xr3:uid="{6CEA066C-DFEA-4B5C-AABA-9A9D7B3EC724}" name="No Valid Data Apps Equity " dataDxfId="717" dataCellStyle="Percent"/>
    <tableColumn id="461" xr3:uid="{DED44D4A-3FB6-4B27-8F03-7261E2EF7AFD}" name="Amerasion Apps Equity " dataDxfId="716" dataCellStyle="Percent"/>
    <tableColumn id="462" xr3:uid="{0EF57690-ED13-44F7-A9E8-D0DFFB23404A}" name="Chinese Apps Equity " dataDxfId="715" dataCellStyle="Percent"/>
    <tableColumn id="463" xr3:uid="{CF6C91C8-E24F-438E-91BE-DE11D0ADD36E}" name="Cambodian Apps Equity " dataDxfId="714" dataCellStyle="Percent"/>
    <tableColumn id="464" xr3:uid="{1CBE005F-837A-4DF3-A5BD-9FAB2A572AC1}" name="Japanese Apps Equity " dataDxfId="713" dataCellStyle="Percent"/>
    <tableColumn id="465" xr3:uid="{7C156C54-20F4-43CD-BC25-2CE1191696BC}" name="Korean Apps Equity " dataDxfId="712" dataCellStyle="Percent"/>
    <tableColumn id="466" xr3:uid="{94C18E9A-1EAD-49F4-9FE6-8BE6C04D8DB5}" name="Samoan Apps Equity " dataDxfId="711" dataCellStyle="Percent"/>
    <tableColumn id="467" xr3:uid="{40281164-75A2-4931-B5F6-B332029F01B7}" name="Asian Indian Apps Equity " dataDxfId="710" dataCellStyle="Percent"/>
    <tableColumn id="468" xr3:uid="{76E9AD64-2CA0-4DBE-A4E2-979114030467}" name="Hawaiian Apps Equity " dataDxfId="709" dataCellStyle="Percent"/>
    <tableColumn id="469" xr3:uid="{7AD825FF-1587-4E4D-81EB-E824510DED7F}" name="Guamanian Apps Equity " dataDxfId="708" dataCellStyle="Percent"/>
    <tableColumn id="470" xr3:uid="{12037D39-6A2D-4E46-B833-4F0BEC8ABDDC}" name="Laotian Apps Equity " dataDxfId="707" dataCellStyle="Percent"/>
    <tableColumn id="471" xr3:uid="{58D40FD0-126F-4086-B5DE-A4FD1F259E86}" name="Vietnamese Apps Equity " dataDxfId="706" dataCellStyle="Percent"/>
    <tableColumn id="472" xr3:uid="{D6641ECF-1331-4A90-8213-DFA31EAD09CB}" name="Other Apps Equity " dataDxfId="705" dataCellStyle="Percent"/>
    <tableColumn id="473" xr3:uid="{3BBD2197-E00C-45FB-A5BA-9BEAEC99A0EB}" name="White Denials Equity " dataDxfId="704" dataCellStyle="Percent"/>
    <tableColumn id="474" xr3:uid="{855796F6-9DBC-4245-B8B4-90DB387A55AF}" name="Hispanic Denials Equity " dataDxfId="703" dataCellStyle="Percent"/>
    <tableColumn id="475" xr3:uid="{515AD303-C407-444D-A95C-6E5E4317EA83}" name="Black Denials Equity " dataDxfId="702" dataCellStyle="Percent"/>
    <tableColumn id="476" xr3:uid="{9E407FAF-D7FA-4A26-8C8C-DE73A4B2B9FD}" name="Asian Pacific Denials Equity " dataDxfId="701" dataCellStyle="Percent"/>
    <tableColumn id="477" xr3:uid="{0D36C0E8-E468-4033-8F70-BE8A52AFF156}" name="Alaskan Native Denials Equity " dataDxfId="700" dataCellStyle="Percent"/>
    <tableColumn id="478" xr3:uid="{BB2EFAA8-600A-43EC-8494-7DBB5D314D7F}" name="Filipino Denials Equity " dataDxfId="699" dataCellStyle="Percent"/>
    <tableColumn id="479" xr3:uid="{2D90B91D-B123-426A-A234-DFBC9E150297}" name="No Valid Data Denials Equity " dataDxfId="698" dataCellStyle="Percent"/>
    <tableColumn id="480" xr3:uid="{3918ADC5-0F83-4499-AFFB-56EDA6F3CD28}" name="Amerasion Denials Equity " dataDxfId="697" dataCellStyle="Percent"/>
    <tableColumn id="481" xr3:uid="{477AC462-E11E-4906-A673-F5E8666E82E0}" name="Chinese Denials Equity " dataDxfId="696" dataCellStyle="Percent"/>
    <tableColumn id="482" xr3:uid="{E5042231-BE4E-4A07-9322-3BBA46B4F607}" name="Cambodian Denials Equity " dataDxfId="695" dataCellStyle="Percent"/>
    <tableColumn id="483" xr3:uid="{BB08C9EB-7049-42B5-9007-C54A6AFEA601}" name="Japanese Denials Equity " dataDxfId="694" dataCellStyle="Percent"/>
    <tableColumn id="484" xr3:uid="{C1A500DB-3071-4E2B-BF0D-E86B2AAA43DD}" name="Korean Denials Equity " dataDxfId="693" dataCellStyle="Percent"/>
    <tableColumn id="485" xr3:uid="{0BA5748A-CB43-47A7-8C4A-7AC83EC448B0}" name="Samoan Denials Equity " dataDxfId="692" dataCellStyle="Percent"/>
    <tableColumn id="486" xr3:uid="{62B807B8-8BE2-408C-AE61-986C25F35965}" name="Asian Indian Denials Equity " dataDxfId="691" dataCellStyle="Percent"/>
    <tableColumn id="487" xr3:uid="{1A9EF552-0A7E-452B-8C0A-706C63A814AC}" name="Hawaiian Denials Equity " dataDxfId="690" dataCellStyle="Percent"/>
    <tableColumn id="488" xr3:uid="{7A9537A1-AFDA-4631-88E8-F09AE4F95DAE}" name="Guamanian Denials Equity " dataDxfId="689" dataCellStyle="Percent"/>
    <tableColumn id="489" xr3:uid="{F39CE9D4-8AFE-4DE2-B74D-D87EC2C040D4}" name="Laotian Denials Equity " dataDxfId="688" dataCellStyle="Percent"/>
    <tableColumn id="490" xr3:uid="{21E3F427-1B4E-4DBF-8027-ABE6AC03A68D}" name="Vietnamese Denials Equity " dataDxfId="687" dataCellStyle="Percent"/>
    <tableColumn id="491" xr3:uid="{A7611B59-5087-468C-B758-7735F4A965AE}" name="Other Denials Equity " dataDxfId="686" dataCellStyle="Percent"/>
    <tableColumn id="492" xr3:uid="{8DABFD7D-00D2-46B4-A087-3C34FE950286}" name="White Auth Hours Equity " dataDxfId="685" dataCellStyle="Percent"/>
    <tableColumn id="493" xr3:uid="{FB3A38C4-AC62-4F95-B48F-1725E4CCA8D8}" name="Hispanic Auth Hours Equity " dataDxfId="684" dataCellStyle="Percent"/>
    <tableColumn id="494" xr3:uid="{DEA48371-51DB-4B91-8835-078CF04DE9B5}" name="Black Auth Hours Equity " dataDxfId="683" dataCellStyle="Percent"/>
    <tableColumn id="495" xr3:uid="{7B35792E-0758-41EB-974B-DA6108E5A755}" name="Asian Pacific Auth Hours Equity " dataDxfId="682" dataCellStyle="Percent"/>
    <tableColumn id="496" xr3:uid="{829C7498-5C04-4A30-93A4-6B6CF8CC6631}" name="Alaskan Native Auth Hours Equity " dataDxfId="681" dataCellStyle="Percent"/>
    <tableColumn id="497" xr3:uid="{F212BA42-FEEF-4465-ABFE-663F7A90626A}" name="Filipino Auth Hours Equity " dataDxfId="680" dataCellStyle="Percent"/>
    <tableColumn id="498" xr3:uid="{9A415B0C-FCA7-44ED-9252-28F327A6EB92}" name="No Valid Data Auth Hours Equity " dataDxfId="679" dataCellStyle="Percent"/>
    <tableColumn id="499" xr3:uid="{F83091F3-A595-45CA-B7B3-32E0BBA5D378}" name="Amerasion Auth Hours Equity " dataDxfId="678" dataCellStyle="Percent"/>
    <tableColumn id="500" xr3:uid="{CA316A4D-D07F-45DC-89ED-446CFDD28C71}" name="Chinese Auth Hours Equity " dataDxfId="677" dataCellStyle="Percent"/>
    <tableColumn id="501" xr3:uid="{72C266E5-FF48-41F2-81A7-79A119C9251F}" name="Cambodian Auth Hours Equity " dataDxfId="676" dataCellStyle="Percent"/>
    <tableColumn id="502" xr3:uid="{5248B611-AAE9-4E0E-A46D-9B810EBB6ECE}" name="Japanese Auth Hours Equity " dataDxfId="675" dataCellStyle="Percent"/>
    <tableColumn id="503" xr3:uid="{E766CF6B-0954-4FA0-BDC4-DBA48328B718}" name="Korean Auth Hours Equity " dataDxfId="674" dataCellStyle="Percent"/>
    <tableColumn id="504" xr3:uid="{23C29EFF-F686-4D55-A271-71C9FA28EBA0}" name="Samoan Auth Hours Equity " dataDxfId="673" dataCellStyle="Percent"/>
    <tableColumn id="505" xr3:uid="{08AA398F-133E-42F7-A3EF-6158385C89B7}" name="Asian Indian Auth Hours Equity " dataDxfId="672" dataCellStyle="Percent"/>
    <tableColumn id="506" xr3:uid="{C8E74226-739E-43C0-8013-941AE333810F}" name="Hawaiian Auth Hours Equity " dataDxfId="671" dataCellStyle="Percent"/>
    <tableColumn id="507" xr3:uid="{2A510D1B-BC31-4D62-827D-F11CD0B66025}" name="Guamanian Auth Hours Equity " dataDxfId="670" dataCellStyle="Percent"/>
    <tableColumn id="508" xr3:uid="{F7704B17-3AE5-43E2-BF59-E35ABD28F2DD}" name="Laotian Auth Hours Equity " dataDxfId="669" dataCellStyle="Percent"/>
    <tableColumn id="509" xr3:uid="{A18BF0A4-EE23-471F-9883-482CF5C237D6}" name="Vietnamese Auth Hours Equity " dataDxfId="668" dataCellStyle="Percent"/>
    <tableColumn id="510" xr3:uid="{64BC255D-6F99-471E-AFA2-6A95419776F2}" name="Other Auth Hours Equity " dataDxfId="667" dataCellStyle="Percent"/>
    <tableColumn id="511" xr3:uid="{35EFAE50-021A-41D5-82A5-683609D4CE89}" name="White PS Equity " dataDxfId="666" dataCellStyle="Percent"/>
    <tableColumn id="512" xr3:uid="{422251F5-949C-48AB-A207-4FD611CA44C0}" name="Hispanic PS Equity " dataDxfId="665" dataCellStyle="Percent"/>
    <tableColumn id="513" xr3:uid="{57565C53-7E95-42CE-96D9-97BFB2F59B31}" name="Black PS Equity " dataDxfId="664" dataCellStyle="Percent"/>
    <tableColumn id="514" xr3:uid="{FAE0D9DB-C227-4733-9206-6B7D18D4C713}" name="Asian Pacific PS Equity " dataDxfId="663" dataCellStyle="Percent"/>
    <tableColumn id="515" xr3:uid="{0553058C-03DE-4E82-AE6E-7BF68255AB82}" name="Alaskan Native PS Equity " dataDxfId="662" dataCellStyle="Percent"/>
    <tableColumn id="516" xr3:uid="{581C2EE5-B3FF-44F5-B12D-1EB2E64BB68F}" name="Filipino PS Equity " dataDxfId="661" dataCellStyle="Percent"/>
    <tableColumn id="517" xr3:uid="{76AFA88F-0B56-4E60-AB8D-B0AA6D214798}" name="No Valid Data PS Equity " dataDxfId="660" dataCellStyle="Percent"/>
    <tableColumn id="518" xr3:uid="{EC40A5CD-30AD-415B-9D03-F085BF088302}" name="Amerasion PS Equity " dataDxfId="659" dataCellStyle="Percent"/>
    <tableColumn id="519" xr3:uid="{CB1D564D-C4ED-48A2-8057-77EDBA696FE6}" name="Chinese PS Equity " dataDxfId="658" dataCellStyle="Percent"/>
    <tableColumn id="520" xr3:uid="{81BB0F5F-5992-4544-B00D-D8E89C80002D}" name="Cambodian PS Equity " dataDxfId="657" dataCellStyle="Percent"/>
    <tableColumn id="521" xr3:uid="{BC74EC46-4687-4495-9D70-2FBE536B4325}" name="Japanese PS Equity " dataDxfId="656" dataCellStyle="Percent"/>
    <tableColumn id="522" xr3:uid="{FA19989F-E030-4091-9EAB-2C8D9E385228}" name="Korean PS Equity " dataDxfId="655" dataCellStyle="Percent"/>
    <tableColumn id="523" xr3:uid="{DDE199E3-0F6A-41DF-B9D3-DFA51239ECDB}" name="Samoan PS Equity " dataDxfId="654" dataCellStyle="Percent"/>
    <tableColumn id="524" xr3:uid="{0231BCE1-FF86-4780-8332-666EB053137D}" name="Asian Indian PS Equity " dataDxfId="653" dataCellStyle="Percent"/>
    <tableColumn id="525" xr3:uid="{7E719F9C-912A-402B-BB04-0B080C49AC5B}" name="Hawaiian PS Equity " dataDxfId="652" dataCellStyle="Percent"/>
    <tableColumn id="526" xr3:uid="{BE0BFCA5-E59A-4632-88D7-57AB4F0A3F3F}" name="Guamanian PS Equity " dataDxfId="651" dataCellStyle="Percent"/>
    <tableColumn id="527" xr3:uid="{DF2E72BA-C830-4F4F-A2BC-FFBB371718A4}" name="Laotian PS Equity " dataDxfId="650" dataCellStyle="Percent"/>
    <tableColumn id="528" xr3:uid="{75F19D0C-A2E6-4BC7-B027-04EB37D94C55}" name="Vietnamese PS Equity " dataDxfId="649" dataCellStyle="Percent"/>
    <tableColumn id="529" xr3:uid="{5F2B5C11-A38C-4521-BC85-33DBDB111AC8}" name="Other PS Equity " dataDxfId="648" dataCellStyle="Percent"/>
    <tableColumn id="530" xr3:uid="{85F88683-D463-4660-88A4-829DCCB9A908}" name="White PM Equity " dataDxfId="647" dataCellStyle="Percent"/>
    <tableColumn id="531" xr3:uid="{77C9BB58-BB47-49CA-9F5F-26927712A05F}" name="Hispanic PM Equity " dataDxfId="646" dataCellStyle="Percent"/>
    <tableColumn id="532" xr3:uid="{E8BB9793-6437-486C-87B1-9B225A05544B}" name="Black PM Equity " dataDxfId="645" dataCellStyle="Percent"/>
    <tableColumn id="533" xr3:uid="{85BD4C8D-482E-496C-943F-770C64571979}" name="Asian Pacific PM Equity " dataDxfId="644" dataCellStyle="Percent"/>
    <tableColumn id="534" xr3:uid="{935BEA18-5603-4F10-A8FF-84C2355829E8}" name="Alaskan Native PM Equity " dataDxfId="643" dataCellStyle="Percent"/>
    <tableColumn id="535" xr3:uid="{A65917B3-A05A-47F5-A5C8-C966C9E4C778}" name="Filipino PM Equity " dataDxfId="642" dataCellStyle="Percent"/>
    <tableColumn id="536" xr3:uid="{7AE31762-A1B4-41DC-A153-3451537A6536}" name="No Valid Data PM Equity " dataDxfId="641" dataCellStyle="Percent"/>
    <tableColumn id="537" xr3:uid="{58F764F5-3F46-4C5A-BF51-7E4770B39C6B}" name="Amerasion PM Equity " dataDxfId="640" dataCellStyle="Percent"/>
    <tableColumn id="538" xr3:uid="{5A2126CF-777E-490E-9862-294227A05674}" name="Chinese PM Equity " dataDxfId="639" dataCellStyle="Percent"/>
    <tableColumn id="539" xr3:uid="{FA6D54BE-78ED-47B8-A91B-EAAB496D4A2F}" name="Cambodian PM Equity " dataDxfId="638" dataCellStyle="Percent"/>
    <tableColumn id="540" xr3:uid="{96C1DE83-B78D-42CF-A402-D72D35EAB99C}" name="Japanese PM Equity " dataDxfId="637" dataCellStyle="Percent"/>
    <tableColumn id="541" xr3:uid="{B94ED806-F16B-4861-A3B6-DDE0F6D43F7F}" name="Korean PM Equity " dataDxfId="636" dataCellStyle="Percent"/>
    <tableColumn id="542" xr3:uid="{FE9CBC29-0FA1-42BF-A0C1-53055B0361C6}" name="Samoan PM Equity " dataDxfId="635" dataCellStyle="Percent"/>
    <tableColumn id="543" xr3:uid="{DC5C5904-45A5-47B4-A2D8-4BA5239452A7}" name="Asian Indian PM Equity " dataDxfId="634" dataCellStyle="Percent"/>
    <tableColumn id="544" xr3:uid="{6637CDF9-772B-4013-BF1D-328E2932498E}" name="Hawaiian PM Equity " dataDxfId="633" dataCellStyle="Percent"/>
    <tableColumn id="545" xr3:uid="{7C5F086B-C808-48E9-9043-0F028A79D771}" name="Guamanian PM Equity " dataDxfId="632" dataCellStyle="Percent"/>
    <tableColumn id="546" xr3:uid="{7B6FF7FB-B968-4EBA-AD7F-115A61AABC1F}" name="Laotian PM Equity " dataDxfId="631" dataCellStyle="Percent"/>
    <tableColumn id="547" xr3:uid="{F1D4E133-4BB6-4A2B-A91E-6510F38FAC26}" name="Vietnamese PM Equity " dataDxfId="630" dataCellStyle="Percent"/>
    <tableColumn id="548" xr3:uid="{F7DCA824-01BD-427E-B47A-3015043F0F31}" name="Other PM Equity " dataDxfId="629" dataCellStyle="Percent"/>
    <tableColumn id="549" xr3:uid="{A35AC0F1-EAB6-4841-96D1-CD2373A9083A}" name="White NSI Equity " dataDxfId="628" dataCellStyle="Percent"/>
    <tableColumn id="550" xr3:uid="{004C3AA0-552C-4DD1-B627-32F566B60557}" name="Hispanic NSI Equity " dataDxfId="627" dataCellStyle="Percent"/>
    <tableColumn id="551" xr3:uid="{4B731321-C42F-456D-9EB1-27C2BE56305E}" name="Black NSI Equity " dataDxfId="626" dataCellStyle="Percent"/>
    <tableColumn id="552" xr3:uid="{A237493D-8ABD-48D8-944B-2307203AB6CC}" name="Asian Pacific NSI Equity " dataDxfId="625" dataCellStyle="Percent"/>
    <tableColumn id="553" xr3:uid="{2B252BE4-B9B6-46C9-A82E-5CB457AD57D1}" name="Alaskan Native NSI Equity " dataDxfId="624" dataCellStyle="Percent"/>
    <tableColumn id="554" xr3:uid="{0B888E80-B318-45DE-8BB9-4BDBA1652843}" name="Filipino NSI Equity " dataDxfId="623" dataCellStyle="Percent"/>
    <tableColumn id="555" xr3:uid="{AD306A2B-169A-4C3C-8A2D-5FE3EAC99CE6}" name="No Valid Data NSI Equity " dataDxfId="622" dataCellStyle="Percent"/>
    <tableColumn id="556" xr3:uid="{188BA0A4-CD53-4227-951F-82D70A528B89}" name="Amerasion NSI Equity " dataDxfId="621" dataCellStyle="Percent"/>
    <tableColumn id="557" xr3:uid="{EAADEC76-13FA-482F-8186-C21F90519175}" name="Chinese NSI Equity " dataDxfId="620" dataCellStyle="Percent"/>
    <tableColumn id="558" xr3:uid="{651F314C-1E24-4220-ADD3-AC8EC3FB0B42}" name="Cambodian NSI Equity " dataDxfId="619" dataCellStyle="Percent"/>
    <tableColumn id="559" xr3:uid="{321693AF-349E-423F-A079-4E665318304C}" name="Japanese NSI Equity " dataDxfId="618" dataCellStyle="Percent"/>
    <tableColumn id="560" xr3:uid="{D8F21501-EA29-43A8-BA0D-F89D099DD231}" name="Korean NSI Equity " dataDxfId="617" dataCellStyle="Percent"/>
    <tableColumn id="561" xr3:uid="{ECB40627-27BD-4297-A42D-EA7FE2616E1F}" name="Samoan NSI Equity " dataDxfId="616" dataCellStyle="Percent"/>
    <tableColumn id="562" xr3:uid="{F6337171-87B3-418D-9E58-D587ED652C7F}" name="Asian Indian NSI Equity " dataDxfId="615" dataCellStyle="Percent"/>
    <tableColumn id="563" xr3:uid="{02D69A51-2E9F-45DC-AB16-DD7B884BF21D}" name="Hawaiian NSI Equity " dataDxfId="614" dataCellStyle="Percent"/>
    <tableColumn id="564" xr3:uid="{C18AD719-1E87-4F84-B756-E3A83BA16BC6}" name="Guamanian NSI Equity " dataDxfId="613" dataCellStyle="Percent"/>
    <tableColumn id="565" xr3:uid="{92C9EF5C-8994-45B1-BFC6-4DF7DDFA0EBE}" name="Laotian NSI Equity " dataDxfId="612" dataCellStyle="Percent"/>
    <tableColumn id="566" xr3:uid="{F7A530A7-8178-4C0F-A10A-35F6B1D7CBA0}" name="Vietnamese NSI Equity " dataDxfId="611" dataCellStyle="Percent"/>
    <tableColumn id="567" xr3:uid="{32DAF665-8F14-436A-B075-C5631ECDF528}" name="Other NSI Equity " dataDxfId="610" dataCellStyle="Percent"/>
    <tableColumn id="568" xr3:uid="{9F02D071-5351-40FA-850F-07C64603F2E0}" name="White SI Equity " dataDxfId="609" dataCellStyle="Percent"/>
    <tableColumn id="569" xr3:uid="{8B675AE7-3B46-46A1-B12B-BB6567125889}" name="Hispanic SI Equity " dataDxfId="608" dataCellStyle="Percent"/>
    <tableColumn id="570" xr3:uid="{F8C3E3E1-910A-4AFB-9638-AC76DFAD66E6}" name="Black SI Equity " dataDxfId="607" dataCellStyle="Percent"/>
    <tableColumn id="571" xr3:uid="{EE29E024-2583-49C5-9EFE-9699E84D4DDF}" name="Asian Pacific SI Equity " dataDxfId="606" dataCellStyle="Percent"/>
    <tableColumn id="572" xr3:uid="{8C5B09C1-E989-4739-985C-A2F943B9B691}" name="Alaskan Native SI Equity " dataDxfId="605" dataCellStyle="Percent"/>
    <tableColumn id="573" xr3:uid="{92933402-C83A-4C2B-B9E4-18222FCD3284}" name="Filipino SI Equity " dataDxfId="604" dataCellStyle="Percent"/>
    <tableColumn id="574" xr3:uid="{AE827D67-C6DA-4904-B089-5BECB745C905}" name="No Valid Data SI Equity " dataDxfId="603" dataCellStyle="Percent"/>
    <tableColumn id="575" xr3:uid="{ADBF0D62-835F-454C-9B4B-1635A046843B}" name="Amerasion SI Equity " dataDxfId="602" dataCellStyle="Percent"/>
    <tableColumn id="576" xr3:uid="{280A3A46-09B6-4C51-AC98-D5EE7A0619A2}" name="Chinese SI Equity " dataDxfId="601" dataCellStyle="Percent"/>
    <tableColumn id="577" xr3:uid="{4D28B773-1937-4C7D-8606-AF8EA62317A3}" name="Cambodian SI Equity " dataDxfId="600" dataCellStyle="Percent"/>
    <tableColumn id="578" xr3:uid="{F4023432-FD16-406B-9B42-2DA34D1A781B}" name="Japanese SI Equity " dataDxfId="599" dataCellStyle="Percent"/>
    <tableColumn id="579" xr3:uid="{92B4D1B3-CCFC-4C1A-A66A-83866CB6A5C2}" name="Korean SI Equity " dataDxfId="598" dataCellStyle="Percent"/>
    <tableColumn id="580" xr3:uid="{0A3ED465-746C-40CF-B181-D2D382549AE2}" name="Samoan SI Equity " dataDxfId="597" dataCellStyle="Percent"/>
    <tableColumn id="581" xr3:uid="{4A8E6D94-ED1A-44DA-A055-F29109DFDAE5}" name="Asian Indian SI Equity " dataDxfId="596" dataCellStyle="Percent"/>
    <tableColumn id="582" xr3:uid="{228DB123-32D3-49F0-AEB8-241CDFF17F9E}" name="Hawaiian SI Equity " dataDxfId="595" dataCellStyle="Percent"/>
    <tableColumn id="583" xr3:uid="{C1CC37DA-0CF5-49BB-9572-7AFF84A4B3A9}" name="Guamanian SI Equity " dataDxfId="594" dataCellStyle="Percent"/>
    <tableColumn id="584" xr3:uid="{2058AE6E-7307-4D94-9CDF-EA2E2A659912}" name="Laotian SI Equity " dataDxfId="593" dataCellStyle="Percent"/>
    <tableColumn id="585" xr3:uid="{E3FF2A4E-8688-4715-87AB-C0A6C22EE5F7}" name="Vietnamese SI Equity " dataDxfId="592" dataCellStyle="Percent"/>
    <tableColumn id="586" xr3:uid="{56D37EEB-2BF3-4EA3-803A-B576AB8101BF}" name="Other SI Equity " dataDxfId="591" dataCellStyle="Percent"/>
  </tableColumns>
  <tableStyleInfo name="Table Style 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F5D93FA-C6FD-40C7-BE96-25736BA0D4BC}" name="Selected_County" displayName="Selected_County" ref="A70:VN72" totalsRowShown="0" headerRowDxfId="590" dataDxfId="588" headerRowBorderDxfId="589" tableBorderDxfId="587" totalsRowBorderDxfId="586" headerRowCellStyle="Normal_Sheet1" dataCellStyle="Percent">
  <autoFilter ref="A70:VN72" xr:uid="{54F2702E-40B4-4343-882A-46D2DB4021A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autoFilter>
  <tableColumns count="586">
    <tableColumn id="1" xr3:uid="{45D034AB-D4F8-438B-9736-8A5FB36C462E}" name=" County Name " dataDxfId="585" dataCellStyle="Normal_Sheet1"/>
    <tableColumn id="2" xr3:uid="{8B9DCF6A-706E-456E-BA33-4B2FF85E3B68}" name="County Size" dataDxfId="584" dataCellStyle="Comma">
      <calculatedColumnFormula>IF(INDEX($B$3:$B$61,MATCH(COUNTY_SELECT,COUNTY_NAME,0))=Selected_County[[#Headers],[County Size]],"",IFERROR(INDEX($B$3:$B$61,MATCH(COUNTY_SELECT,COUNTY_NAME,0)),"0"))</calculatedColumnFormula>
    </tableColumn>
    <tableColumn id="3" xr3:uid="{3F3BCCC9-5A60-4E51-81F1-BE2177DF5BF6}" name="Wage Rate" dataDxfId="583" dataCellStyle="Comma"/>
    <tableColumn id="4" xr3:uid="{C116C059-11A4-4F8B-8AD7-449ABCD54363}" name="Authorized Recipients" dataDxfId="582" dataCellStyle="Comma"/>
    <tableColumn id="5" xr3:uid="{9D4174B1-F9F8-40CD-B537-B165F9FD2E56}" name="Authorized Hours" dataDxfId="581" dataCellStyle="Comma"/>
    <tableColumn id="6" xr3:uid="{442608B1-4A20-4954-9800-2D3496721ABE}" name="Authorized Hours per Recipient" dataDxfId="580" dataCellStyle="Comma"/>
    <tableColumn id="7" xr3:uid="{BD117554-DE24-4272-BEFE-56D4D853E794}" name="Electronic Timesheets - Enrolled: Authorized Recipients" dataDxfId="579" dataCellStyle="Comma"/>
    <tableColumn id="8" xr3:uid="{078637BF-F5F0-4E2F-9B2A-C8C481403E9E}" name="Electronic Timesheets - Enrolled: Active or Leave Ind. Providers" dataDxfId="578" dataCellStyle="Comma"/>
    <tableColumn id="46" xr3:uid="{345388AE-99C8-41E8-8DD6-627898D4762C}" name="Electronic Visit Verification (EVV): Authorized Recipients " dataDxfId="577" dataCellStyle="Comma"/>
    <tableColumn id="68" xr3:uid="{9C368B51-4C39-48B1-9F3E-FC5A0CE18F1C}" name=" Electronic Visit _x000a_Verification (EVV):_x000a_Active or Leave_x000a_Ind. Providers " dataDxfId="576" dataCellStyle="Comma"/>
    <tableColumn id="9" xr3:uid="{41401207-94DF-46D3-B82F-28CA5C66F14D}" name="Severely Impaired (SI) Recipients" dataDxfId="575" dataCellStyle="Comma"/>
    <tableColumn id="10" xr3:uid="{5D2677CB-9D7B-4FA8-8F17-EFAFB870A0A2}" name="SI Authorized Hours" dataDxfId="574" dataCellStyle="Comma"/>
    <tableColumn id="11" xr3:uid="{393FDB4F-A868-409E-8E6D-4503AB300FD5}" name="Non-Severely Impaired (NSI) Recipients" dataDxfId="573" dataCellStyle="Comma"/>
    <tableColumn id="12" xr3:uid="{2D48906B-04AD-4BCD-B215-E165F7ACF98E}" name="NSI Authorized Hours" dataDxfId="572" dataCellStyle="Comma"/>
    <tableColumn id="13" xr3:uid="{05CC616F-17BC-4DA0-98B2-5967E8526D3B}" name="Protective Sup. (PS) Recipients" dataDxfId="571" dataCellStyle="Comma"/>
    <tableColumn id="14" xr3:uid="{222D4DF0-7DBC-4974-A009-FEFD96B09BE5}" name="Protective Sup. (PS) Auth. Hours" dataDxfId="570" dataCellStyle="Comma"/>
    <tableColumn id="15" xr3:uid="{A534B24B-6406-4479-A5DF-FCAA6741BB9A}" name="Paramedical (PM) Recipients" dataDxfId="569" dataCellStyle="Comma"/>
    <tableColumn id="16" xr3:uid="{195626C9-DD62-48A4-B120-5AFDBB235B72}" name="Paramedical (PM) Auth. Hours" dataDxfId="568" dataCellStyle="Comma"/>
    <tableColumn id="17" xr3:uid="{4841E0A5-CDB7-47F7-8926-9ACF17855EB9}" name="Recipients that Entered IHSS as &quot;Aged&quot;" dataDxfId="567" dataCellStyle="Comma"/>
    <tableColumn id="18" xr3:uid="{DE4E37FB-0343-40DE-ABCF-1219DACB0424}" name="Hours for Recipients that Entered IHSS as &quot;Aged&quot;" dataDxfId="566" dataCellStyle="Comma"/>
    <tableColumn id="19" xr3:uid="{A8F76936-1A85-497B-8658-5C16D2DCB3CA}" name="Recipients that Entered IHSS as &quot;Blind&quot;" dataDxfId="565" dataCellStyle="Comma"/>
    <tableColumn id="20" xr3:uid="{EC985BD6-06E1-4182-86E6-954B48995AF7}" name="Hours for Recipients that Entered IHSS as &quot;Blind&quot;" dataDxfId="564" dataCellStyle="Comma"/>
    <tableColumn id="21" xr3:uid="{278D8B54-ADCC-41EA-9A43-31A898D738E7}" name="Recipients that Entered IHSS as &quot;Disabled&quot;" dataDxfId="563" dataCellStyle="Comma"/>
    <tableColumn id="22" xr3:uid="{E5F08106-8DDC-4305-AAD0-E6BE3BF5879A}" name="Hours for Recipients that Entered IHSS as &quot;Disabled&quot;" dataDxfId="562" dataCellStyle="Comma"/>
    <tableColumn id="23" xr3:uid="{5BC22742-6202-4D65-9A14-5AF60D00E49F}" name="Active or Leave Ind. Providers" dataDxfId="561" dataCellStyle="Comma"/>
    <tableColumn id="24" xr3:uid="{D06A61D5-7868-4B16-A216-93DC30FA562E}" name="Active/Leave Live-In Providers" dataDxfId="560" dataCellStyle="Comma"/>
    <tableColumn id="25" xr3:uid="{B9E7F3B6-6C58-40D6-98EE-6E6587214F9F}" name="Active/Leave Relatives Providers " dataDxfId="559" dataCellStyle="Comma"/>
    <tableColumn id="26" xr3:uid="{3BC7492B-B557-4553-A6A8-3D42A5A679C8}" name="Active/Leave Live-In Relative Prov" dataDxfId="558" dataCellStyle="Comma"/>
    <tableColumn id="27" xr3:uid="{0AF5001B-6620-4A18-94F4-B1FB9806E852}" name="Active/Leave Spouse Providers" dataDxfId="557" dataCellStyle="Comma"/>
    <tableColumn id="28" xr3:uid="{2E729525-0683-44F5-8A41-8DC41B2A49B6}" name="Active/Leave Parent Providers" dataDxfId="556" dataCellStyle="Comma"/>
    <tableColumn id="29" xr3:uid="{59322CFB-9F6D-44D9-BFCD-5EB17892F9D1}" name="Recipients in PCSP" dataDxfId="555" dataCellStyle="Comma"/>
    <tableColumn id="30" xr3:uid="{C7FDBF7E-9EEF-406F-82A2-35042EC70E1C}" name="Hours in PCSP" dataDxfId="554" dataCellStyle="Comma"/>
    <tableColumn id="31" xr3:uid="{537B1AFF-73A4-4D42-BC52-F285FBC10060}" name="Recipients in CFCO" dataDxfId="553" dataCellStyle="Comma"/>
    <tableColumn id="32" xr3:uid="{EA8C9DB0-4EE8-4C27-B1E1-3F4D82634286}" name="Hours in CFCO" dataDxfId="552" dataCellStyle="Comma"/>
    <tableColumn id="33" xr3:uid="{509FA595-DFD1-4C98-B5E9-DDF1357B6993}" name="Recipients in IPO" dataDxfId="551" dataCellStyle="Comma"/>
    <tableColumn id="34" xr3:uid="{48AA374F-A11A-4804-B856-244265B2F59F}" name="Hours in IPO" dataDxfId="550" dataCellStyle="Comma"/>
    <tableColumn id="35" xr3:uid="{73B7AD3A-8C0C-45BC-BFA4-82853DC2EE8F}" name="Recipients in     IHSS-R" dataDxfId="549" dataCellStyle="Comma"/>
    <tableColumn id="36" xr3:uid="{1730F74C-CC60-4B67-B2AF-5A65381838FF}" name="Hours in     IHSS-R" dataDxfId="548" dataCellStyle="Comma"/>
    <tableColumn id="37" xr3:uid="{0465DC31-0FDD-4E6E-B9A8-FD83B7A1C1BF}" name="Female" dataDxfId="547" dataCellStyle="Comma"/>
    <tableColumn id="38" xr3:uid="{BD0D7075-AC33-4CE2-8AD4-87441F250B51}" name="Male" dataDxfId="546" dataCellStyle="Comma"/>
    <tableColumn id="39" xr3:uid="{3FB0E7F1-935F-42EE-8646-02E3A0D127AD}" name="White" dataDxfId="545" dataCellStyle="Comma"/>
    <tableColumn id="40" xr3:uid="{38C8B06D-52D7-493C-B7C1-9B92DB6ED14D}" name="Hispanic" dataDxfId="544" dataCellStyle="Comma"/>
    <tableColumn id="41" xr3:uid="{3B0E4F9A-4B8B-40F9-9FC5-F16EC09A6960}" name="Black" dataDxfId="543" dataCellStyle="Comma"/>
    <tableColumn id="42" xr3:uid="{1CE72EB2-F46B-4303-AC2C-C770BE6DEA34}" name="Asian or Pacific Islander" dataDxfId="542" dataCellStyle="Comma"/>
    <tableColumn id="43" xr3:uid="{0ECFF224-A4E3-412D-9B13-925018DC40A9}" name="Alaskan Native or American Indian" dataDxfId="541" dataCellStyle="Comma"/>
    <tableColumn id="44" xr3:uid="{E53562B9-7D14-46F8-AC66-513568444645}" name="Filipino" dataDxfId="540" dataCellStyle="Comma"/>
    <tableColumn id="45" xr3:uid="{78CBF1C7-F241-4344-8265-F88B692E9417}" name="No Valid Data Reported" dataDxfId="539" dataCellStyle="Comma"/>
    <tableColumn id="47" xr3:uid="{E9350425-3653-4D4D-890A-6F7981010EBA}" name="Amerasian" dataDxfId="538" dataCellStyle="Comma"/>
    <tableColumn id="48" xr3:uid="{7FB04D3D-5FCD-4CCE-960D-561A82D04640}" name="Chinese" dataDxfId="537" dataCellStyle="Comma"/>
    <tableColumn id="49" xr3:uid="{A9FD6F0E-0D50-48BC-B190-307E8873EEE8}" name="Cambodian" dataDxfId="536" dataCellStyle="Comma"/>
    <tableColumn id="50" xr3:uid="{44326AE8-532A-47DC-8CA0-764175FD541E}" name="Japanese" dataDxfId="535" dataCellStyle="Comma"/>
    <tableColumn id="51" xr3:uid="{A1D726BA-A29B-4095-90E6-42231E5FD788}" name="Korean" dataDxfId="534" dataCellStyle="Comma"/>
    <tableColumn id="52" xr3:uid="{EB14CFBE-EFC3-46CB-AB87-AEBD968C62F4}" name="Samoan" dataDxfId="533" dataCellStyle="Comma"/>
    <tableColumn id="53" xr3:uid="{6A4269E9-8E18-444C-BC88-DCDBD7BBFC93}" name="Asian Indian" dataDxfId="532" dataCellStyle="Comma"/>
    <tableColumn id="54" xr3:uid="{7ACE92E4-3584-4793-B706-A67309571DA8}" name="Hawaiian" dataDxfId="531" dataCellStyle="Comma"/>
    <tableColumn id="55" xr3:uid="{5F829F15-305C-45EF-A90E-88ABEC8E48BE}" name="Guamanian" dataDxfId="530" dataCellStyle="Comma"/>
    <tableColumn id="56" xr3:uid="{65D7C150-300C-4EA6-9774-F64BE6C97526}" name="Laotian" dataDxfId="529" dataCellStyle="Comma"/>
    <tableColumn id="57" xr3:uid="{305109D8-6821-461C-B13C-37C6E24149F2}" name="Vietnamese" dataDxfId="528" dataCellStyle="Comma"/>
    <tableColumn id="58" xr3:uid="{B4162266-4AA8-4845-ACC6-DB7CA508AE84}" name="Other" dataDxfId="527" dataCellStyle="Comma"/>
    <tableColumn id="59" xr3:uid="{327A8770-D5B8-4713-AE37-5396B8480842}" name="Recipient Spoken Language - American Sign Language" dataDxfId="526" dataCellStyle="Comma"/>
    <tableColumn id="60" xr3:uid="{D62874BB-C76B-41E2-B9F9-90EB580816FF}" name="Recipient Spoken Language - Spanish" dataDxfId="525" dataCellStyle="Comma"/>
    <tableColumn id="61" xr3:uid="{10F85358-D83A-4FAB-A3CA-87FD2ED3AE77}" name="Recipient Spoken Language - Cantonese" dataDxfId="524" dataCellStyle="Comma"/>
    <tableColumn id="62" xr3:uid="{089A479D-6F9C-4986-A86E-A78DB4DD8862}" name="Recipient Spoken Language - Japanese" dataDxfId="523" dataCellStyle="Comma"/>
    <tableColumn id="63" xr3:uid="{A86879AF-7C9C-469F-8FFE-E8B727784526}" name="Recipient Spoken Language - Korean" dataDxfId="522" dataCellStyle="Comma"/>
    <tableColumn id="64" xr3:uid="{D64C86B9-CAB8-4EE9-8200-0E77C5A77672}" name="Recipient Spoken Language - Tagalog" dataDxfId="521" dataCellStyle="Comma"/>
    <tableColumn id="65" xr3:uid="{B1E56FD9-B6F9-4940-87C9-C8D8C89DE7D1}" name="Recipient Spoken Language - Other Non-English" dataDxfId="520" dataCellStyle="Comma"/>
    <tableColumn id="66" xr3:uid="{35DA738E-407E-45FE-9CE2-1FF25E51D006}" name="Recipient Spoken Language - English" dataDxfId="519" dataCellStyle="Comma"/>
    <tableColumn id="67" xr3:uid="{C5245FBD-C0AC-42B8-B130-C521DD63530A}" name="Recipient Spoken Language - No Valid Data Reported" dataDxfId="518" dataCellStyle="Comma"/>
    <tableColumn id="69" xr3:uid="{B1D591BC-27C3-4DD4-B4F5-1AD625D239E3}" name="Recipient Spoken Language - Other Sign Language" dataDxfId="517" dataCellStyle="Comma"/>
    <tableColumn id="70" xr3:uid="{15843AE6-6EEA-4C8C-B3A5-E4609F0461EA}" name="Recipient Spoken Language - Mandarin" dataDxfId="516" dataCellStyle="Comma"/>
    <tableColumn id="71" xr3:uid="{D59F1845-4DB5-4BE1-A146-50E6776BE680}" name="Recipient Spoken Language - Other Chinese Languages" dataDxfId="515" dataCellStyle="Comma"/>
    <tableColumn id="72" xr3:uid="{966C9272-944A-4473-9062-23044EC2CF90}" name="Recipient Spoken Language - Cambodian" dataDxfId="514" dataCellStyle="Comma"/>
    <tableColumn id="73" xr3:uid="{450C1F3C-45A0-4499-9258-D52290617DB1}" name="Recipient Spoken Language - Armenian" dataDxfId="513" dataCellStyle="Comma"/>
    <tableColumn id="74" xr3:uid="{FA7E6F82-04E3-48FA-8B8A-69126B6B4032}" name="Recipient Spoken Language - Ilocano" dataDxfId="512" dataCellStyle="Comma"/>
    <tableColumn id="75" xr3:uid="{648E353B-4AE6-4420-AFFA-9CC5A70E9A10}" name="Recipient Spoken Language - Mien" dataDxfId="511" dataCellStyle="Comma"/>
    <tableColumn id="76" xr3:uid="{B759A302-9C81-43F9-A8B3-12F5548A6FCE}" name="Recipient Spoken Language - Hmong" dataDxfId="510" dataCellStyle="Comma"/>
    <tableColumn id="77" xr3:uid="{1EB4A8E9-B1A8-4207-9562-E5A2F0B91485}" name="Recipient Spoken Language - Lao" dataDxfId="509" dataCellStyle="Comma"/>
    <tableColumn id="78" xr3:uid="{7B65A94A-9457-4C69-A6D3-106FE2930281}" name="Recipient Spoken Language - Turkish" dataDxfId="508" dataCellStyle="Comma"/>
    <tableColumn id="79" xr3:uid="{72A65965-E0D4-47EA-B40C-298A05248FEA}" name="Recipient Spoken Language - Hebrew" dataDxfId="507" dataCellStyle="Comma"/>
    <tableColumn id="80" xr3:uid="{E1CA21C7-DF26-46BA-BA69-F3151FDB3A94}" name="Recipient Spoken Language - French" dataDxfId="506" dataCellStyle="Comma"/>
    <tableColumn id="81" xr3:uid="{811BC156-409F-417B-B573-F13F6EAA0978}" name="Recipient Spoken Language - Polish" dataDxfId="505" dataCellStyle="Comma"/>
    <tableColumn id="82" xr3:uid="{AE6AA8BF-4E96-479D-BE1E-106D5BBD10D0}" name="Recipient Spoken Language - Russian" dataDxfId="504" dataCellStyle="Comma"/>
    <tableColumn id="83" xr3:uid="{9281BB57-D503-41FD-A20D-1B4C1C03A404}" name="Recipient Spoken Language - Portuguese" dataDxfId="503" dataCellStyle="Comma"/>
    <tableColumn id="84" xr3:uid="{D67E1277-47B1-4165-B2FF-A809D6218F49}" name="Recipient Spoken Language - Italian" dataDxfId="502" dataCellStyle="Comma"/>
    <tableColumn id="85" xr3:uid="{3D0E3A64-4D4D-404E-A99B-0D2A03D8429F}" name="Recipient Spoken Language - Arabic" dataDxfId="501" dataCellStyle="Comma"/>
    <tableColumn id="86" xr3:uid="{DAC1B269-F6F2-4EB5-A4B7-5359828F0223}" name="Recipient Spoken Language - Samoan" dataDxfId="500" dataCellStyle="Comma"/>
    <tableColumn id="87" xr3:uid="{AB808F61-9793-43A3-96BB-0AA2B2CE7627}" name="Recipient Spoken Language - Thai" dataDxfId="499" dataCellStyle="Comma"/>
    <tableColumn id="88" xr3:uid="{6B02B96A-3501-4290-A335-FC5F773352AC}" name="Recipient Spoken Language - Farsi" dataDxfId="498" dataCellStyle="Comma"/>
    <tableColumn id="89" xr3:uid="{CC4EF071-827A-4F98-9253-3AA243471F08}" name="Recipient Spoken Language - Vietnamese" dataDxfId="497" dataCellStyle="Comma"/>
    <tableColumn id="310" xr3:uid="{0CE9880A-1019-4608-9A2B-F052F0C11CF8}" name="Recipient Spoken Language - Hindi" dataDxfId="496" dataCellStyle="Comma"/>
    <tableColumn id="309" xr3:uid="{6845EBB9-85F2-4A23-A69C-87B707CC4A54}" name="Recipient Spoken Language - Punjabi" dataDxfId="495" dataCellStyle="Comma"/>
    <tableColumn id="308" xr3:uid="{E7C89EFA-3687-4F32-8DC1-3FAC4536A6D9}" name="Recipient Spoken Language - Ukrainian" dataDxfId="494" dataCellStyle="Comma"/>
    <tableColumn id="91" xr3:uid="{10ADF6EC-8B6E-40D9-8C50-C51CE3F138D9}" name="Provider Spoken - American Sign Language" dataDxfId="493" dataCellStyle="Comma"/>
    <tableColumn id="92" xr3:uid="{D2413EB0-C2FF-40F7-BAE8-FFE460DDD45E}" name="Provider Spoken - Spanish" dataDxfId="492" dataCellStyle="Comma"/>
    <tableColumn id="93" xr3:uid="{4C1AF63F-F936-4F5F-AFEC-D1DB7675F28F}" name="Provider Spoken - Cantonese" dataDxfId="491" dataCellStyle="Comma"/>
    <tableColumn id="94" xr3:uid="{C4244FEE-EBEA-4509-85FC-21C43560EE92}" name="Provider Spoken - Japanese" dataDxfId="490" dataCellStyle="Comma"/>
    <tableColumn id="95" xr3:uid="{3AD570FE-6C89-4195-A19D-1EF7E80D5D2B}" name="Provider Spoken - Korean" dataDxfId="489" dataCellStyle="Comma"/>
    <tableColumn id="96" xr3:uid="{DFDA45D2-ECA2-4BE9-8EEB-366409069EEF}" name="Provider Spoken - Tagalog" dataDxfId="488" dataCellStyle="Comma"/>
    <tableColumn id="97" xr3:uid="{D2CB16B7-A459-4643-8713-83366F3B47E2}" name="Provider Spoken - Other Non-English" dataDxfId="487" dataCellStyle="Comma"/>
    <tableColumn id="98" xr3:uid="{6A533288-0C65-48AE-AE4E-6E4F4F461A4C}" name="Provider Spoken - English" dataDxfId="486" dataCellStyle="Comma"/>
    <tableColumn id="99" xr3:uid="{761F7BFA-1D2C-4C57-BAFC-933CE1D64E0C}" name="Provider Spoken - No Valid Data Reported" dataDxfId="485" dataCellStyle="Comma"/>
    <tableColumn id="101" xr3:uid="{B96ECAA4-97F3-4455-8E5A-A6D5D436BC14}" name="Provider Spoken - Other Sign Language" dataDxfId="484" dataCellStyle="Comma"/>
    <tableColumn id="102" xr3:uid="{0D4C6F64-298C-4079-AC12-2ED589A34B43}" name="Provider Spoken - Mandarin" dataDxfId="483" dataCellStyle="Comma"/>
    <tableColumn id="103" xr3:uid="{7F1ECC84-5FBE-4A04-8A36-62899B4C82C0}" name="Provider Spoken - Other Chinese Languages" dataDxfId="482" dataCellStyle="Comma"/>
    <tableColumn id="104" xr3:uid="{0F059E96-6850-4701-ABC3-E7E18327580E}" name="Provider Spoken - Cambodian" dataDxfId="481" dataCellStyle="Comma"/>
    <tableColumn id="105" xr3:uid="{1E56147A-0D32-471C-BE04-21C29CC40865}" name="Provider Spoken - Armenian" dataDxfId="480" dataCellStyle="Comma"/>
    <tableColumn id="106" xr3:uid="{C4EB6C44-F2D6-4B32-A4D6-54CE83AFA0FA}" name="Provider Spoken - Ilocano" dataDxfId="479" dataCellStyle="Comma"/>
    <tableColumn id="107" xr3:uid="{91F427E6-9E65-4751-BE6E-CD8E40C3DAB9}" name="Provider Spoken - Mien" dataDxfId="478" dataCellStyle="Comma"/>
    <tableColumn id="108" xr3:uid="{C226C672-5F03-4322-BAC9-E776B168E186}" name="Provider Spoken - Hmong" dataDxfId="477" dataCellStyle="Comma"/>
    <tableColumn id="109" xr3:uid="{B437B737-F990-4B45-95C7-1BFD7D4FE0DB}" name="Provider Spoken - Lao" dataDxfId="476" dataCellStyle="Comma"/>
    <tableColumn id="110" xr3:uid="{30715A0B-F6FE-41D4-8489-4457D318403F}" name="Provider Spoken - Turkish" dataDxfId="475" dataCellStyle="Comma"/>
    <tableColumn id="111" xr3:uid="{57141BDC-4FBF-4F7F-AC7E-23E5DA510E7A}" name="Provider Spoken - Hebrew" dataDxfId="474" dataCellStyle="Comma"/>
    <tableColumn id="112" xr3:uid="{4F6122F3-6699-4030-9D75-9B0A568B6026}" name="Provider Spoken - French" dataDxfId="473" dataCellStyle="Comma"/>
    <tableColumn id="113" xr3:uid="{34EA346C-61E2-4F0F-B1F5-DF723E100218}" name="Provider Spoken - Polish" dataDxfId="472" dataCellStyle="Comma"/>
    <tableColumn id="114" xr3:uid="{BFCB144F-382C-4BA4-9AA3-7BBE1241E874}" name="Provider Spoken - Russian" dataDxfId="471" dataCellStyle="Comma"/>
    <tableColumn id="115" xr3:uid="{1494492D-6BCB-47F2-A85A-36711DA42178}" name="Provider Spoken - Portuguese" dataDxfId="470" dataCellStyle="Comma"/>
    <tableColumn id="116" xr3:uid="{9FD8671A-7546-4FAE-9B7F-B3115CBE494A}" name="Provider Spoken - Italian" dataDxfId="469" dataCellStyle="Comma"/>
    <tableColumn id="117" xr3:uid="{B1FE6405-0C1C-4964-9A39-9A5B13F06E75}" name="Provider Spoken - Arabic" dataDxfId="468" dataCellStyle="Comma"/>
    <tableColumn id="118" xr3:uid="{B6421368-25BD-4ED7-A2A4-C575F4D0CC54}" name="Provider Spoken - Samoan" dataDxfId="467" dataCellStyle="Comma"/>
    <tableColumn id="119" xr3:uid="{5A230D65-5A6B-4DEB-9402-C5EC2EF02290}" name="Provider Spoken - Thai" dataDxfId="466" dataCellStyle="Comma"/>
    <tableColumn id="120" xr3:uid="{13BAB223-46B6-46E1-8141-EB273AB79CB2}" name="Provider Spoken - Farsi" dataDxfId="465" dataCellStyle="Comma"/>
    <tableColumn id="121" xr3:uid="{40C84881-E1C9-4609-BE12-874B87A30575}" name="Provider Spoken - Vietnamese" dataDxfId="464" dataCellStyle="Comma"/>
    <tableColumn id="314" xr3:uid="{C00F78F5-F81E-4CB6-A49E-94AC597CD5DF}" name="Provider Spoken - Hindi " dataDxfId="463" dataCellStyle="Comma"/>
    <tableColumn id="315" xr3:uid="{D851F407-A936-46EA-85C9-D721086135BD}" name="Provider Spoken - Punjabi " dataDxfId="462" dataCellStyle="Comma"/>
    <tableColumn id="316" xr3:uid="{6C7AA231-CB7D-4217-B956-BD1980C749DE}" name="Provider Spoken - Ukrainian " dataDxfId="461" dataCellStyle="Comma"/>
    <tableColumn id="123" xr3:uid="{A13924D5-7C4E-4169-9266-8DDF4480E1AF}" name="0-17 Age Group (Minors) Recipients" dataDxfId="460" dataCellStyle="Comma"/>
    <tableColumn id="124" xr3:uid="{0FE88EFE-B8EE-492C-900A-4B199E00A60A}" name="0-17 Age Group (Minors) Hours" dataDxfId="459" dataCellStyle="Comma"/>
    <tableColumn id="125" xr3:uid="{0CEB4BAD-5FD9-4594-925B-735EDC95C017}" name="18-44 Age Group Recipients" dataDxfId="458" dataCellStyle="Comma"/>
    <tableColumn id="126" xr3:uid="{FC89CA5E-4B0A-4E0A-8081-F77F22778FA9}" name="18-44 Age Group Hours" dataDxfId="457" dataCellStyle="Comma"/>
    <tableColumn id="127" xr3:uid="{5A5769F1-9818-4C65-A81A-973E03809118}" name="45 to 64 Age Group Recipients" dataDxfId="456" dataCellStyle="Comma"/>
    <tableColumn id="128" xr3:uid="{D8961EF3-7F0A-47B4-BB5C-F41DE764A9BC}" name="45 to 64 Age Group Hours" dataDxfId="455" dataCellStyle="Comma"/>
    <tableColumn id="129" xr3:uid="{F4960869-9684-45CE-954F-6AB2F9B02C01}" name="65 to 74 Age Group Recipients" dataDxfId="454" dataCellStyle="Comma"/>
    <tableColumn id="130" xr3:uid="{C524C389-9C28-4269-8FED-B98C6A04E44A}" name="65 to 74 Age Group Hours" dataDxfId="453" dataCellStyle="Comma"/>
    <tableColumn id="131" xr3:uid="{2E43F11B-350B-47E0-8A68-06A31B97B99C}" name="75 to 84 Age Group Recipients" dataDxfId="452" dataCellStyle="Comma"/>
    <tableColumn id="132" xr3:uid="{737ACB2F-DF6B-4633-8CE8-965FE5E1807D}" name="75 to 84 Age Group Hours" dataDxfId="451" dataCellStyle="Comma"/>
    <tableColumn id="133" xr3:uid="{27F4B10E-9102-43A7-B6FA-88FBA02FD7F6}" name="85+ Age Group Recipients" dataDxfId="450" dataCellStyle="Comma"/>
    <tableColumn id="134" xr3:uid="{49AE4615-A0E8-4EC4-9D37-A15A4FAE7C6D}" name="85+ Age Group Hours" dataDxfId="449" dataCellStyle="Comma"/>
    <tableColumn id="135" xr3:uid="{0C1DC170-91AB-4DA1-9B72-2A3EBA7E2B36}" name="Domestic Services" dataDxfId="448" dataCellStyle="Comma"/>
    <tableColumn id="136" xr3:uid="{7CA7E03B-FD67-4A0E-BAE9-0BDB7B06DAA9}" name="Domestic Services Hours" dataDxfId="447" dataCellStyle="Comma"/>
    <tableColumn id="137" xr3:uid="{BF14D0E0-2939-4041-99BF-460F3F8FDABA}" name="Meal Prep" dataDxfId="446" dataCellStyle="Comma"/>
    <tableColumn id="138" xr3:uid="{F7F5B725-9FB6-4D41-B0AD-407D986D3091}" name="Meal Prep Hours" dataDxfId="445" dataCellStyle="Comma"/>
    <tableColumn id="139" xr3:uid="{28F5086C-F789-4C5A-ABC3-2A1D39921416}" name="Meal Clean" dataDxfId="444" dataCellStyle="Comma"/>
    <tableColumn id="140" xr3:uid="{C80E4611-EE05-46FC-BFCF-F7F40CF38EDD}" name="Meal Clean Hours" dataDxfId="443" dataCellStyle="Comma"/>
    <tableColumn id="141" xr3:uid="{C560C2D5-9CFC-43E6-ACA5-9FEE8B92DFF6}" name="Laundry" dataDxfId="442" dataCellStyle="Comma"/>
    <tableColumn id="142" xr3:uid="{D0E85C22-63A9-4674-A0E3-C45EF4BD73C2}" name="Laundry Hours" dataDxfId="441" dataCellStyle="Comma"/>
    <tableColumn id="143" xr3:uid="{18166B02-F79E-4C3F-802B-494E6867F7EC}" name="Shop Food" dataDxfId="440" dataCellStyle="Comma"/>
    <tableColumn id="144" xr3:uid="{B954CD51-B4C9-41C9-A5CB-47BB0796DC38}" name="Shop Food Hours" dataDxfId="439" dataCellStyle="Comma"/>
    <tableColumn id="145" xr3:uid="{35E4D8BE-54B4-44A4-A90B-9BA06295D27A}" name="Other Errands" dataDxfId="438" dataCellStyle="Comma"/>
    <tableColumn id="146" xr3:uid="{AC89D84F-40E7-4188-9504-627EF0E2D509}" name="Other Errands Hours" dataDxfId="437" dataCellStyle="Comma"/>
    <tableColumn id="147" xr3:uid="{4D901196-C4DB-41CB-867C-CD6F5C2E16C8}" name="Restaurant Meal" dataDxfId="436" dataCellStyle="Comma"/>
    <tableColumn id="148" xr3:uid="{7B0E465E-BF74-419D-B104-65C8C83ABC8B}" name="Bowl Bladder" dataDxfId="435" dataCellStyle="Comma"/>
    <tableColumn id="149" xr3:uid="{9FB770A0-4155-4EF9-A394-71BC38055420}" name="Bowl Bladder Hours" dataDxfId="434" dataCellStyle="Comma"/>
    <tableColumn id="150" xr3:uid="{EFCA484A-FB20-4FE5-A30A-34903F07E0D0}" name="Respiration" dataDxfId="433" dataCellStyle="Comma"/>
    <tableColumn id="151" xr3:uid="{54768254-4598-49B0-8316-D04EC5D44A1F}" name="Respiration Hours" dataDxfId="432" dataCellStyle="Comma"/>
    <tableColumn id="152" xr3:uid="{02B6EC25-7477-4B95-9D29-0B1C5CC1D269}" name="Feeding" dataDxfId="431" dataCellStyle="Comma"/>
    <tableColumn id="153" xr3:uid="{D86CEB59-453C-46A0-AADC-0774C1BBC562}" name="Feeding Hours" dataDxfId="430" dataCellStyle="Comma"/>
    <tableColumn id="154" xr3:uid="{176137C1-1262-4FFC-8856-7EFB36020089}" name="Routing Bed Bath" dataDxfId="429" dataCellStyle="Comma"/>
    <tableColumn id="155" xr3:uid="{DE7B625D-23A3-48E0-8D85-2049598F210B}" name="Routing Bed Bath Hours" dataDxfId="428" dataCellStyle="Comma"/>
    <tableColumn id="156" xr3:uid="{F8195FC5-14B8-4F05-8C94-CB69C3CBF76C}" name="Bath Oral Hyg" dataDxfId="427" dataCellStyle="Comma"/>
    <tableColumn id="157" xr3:uid="{56C4BEFF-A766-426C-94D1-92186081F734}" name="Bath Oral Hyg Hours" dataDxfId="426" dataCellStyle="Comma"/>
    <tableColumn id="158" xr3:uid="{8DEF5A91-4220-4F3F-B801-57F4FF13E1E7}" name="Dressing" dataDxfId="425" dataCellStyle="Comma"/>
    <tableColumn id="159" xr3:uid="{12D5086E-DA88-47C6-8B35-10C0CCC6042F}" name="Dressing Hours" dataDxfId="424" dataCellStyle="Comma"/>
    <tableColumn id="160" xr3:uid="{DF7350F5-A4CE-40E2-8D71-520147F1AD8B}" name="Rub Skin" dataDxfId="423" dataCellStyle="Comma"/>
    <tableColumn id="161" xr3:uid="{31DA9BD5-655A-4FDB-8385-C4CD0D178809}" name="Rub Skin Hours" dataDxfId="422" dataCellStyle="Comma"/>
    <tableColumn id="162" xr3:uid="{05E489CC-55E0-4F57-A84A-428B7F7CD0A4}" name="Transfer" dataDxfId="421" dataCellStyle="Comma"/>
    <tableColumn id="163" xr3:uid="{D478096E-C7C3-4294-9697-30F538F16D93}" name="Transfer Hours" dataDxfId="420" dataCellStyle="Comma"/>
    <tableColumn id="164" xr3:uid="{C1B8923E-F8F1-4F77-A9AC-D33CC540CF57}" name="Care Prosthetic" dataDxfId="419" dataCellStyle="Comma"/>
    <tableColumn id="165" xr3:uid="{677EDE5E-9E51-49B1-911E-26AE76DEFB39}" name="Care Prosthetic Hours" dataDxfId="418" dataCellStyle="Comma"/>
    <tableColumn id="166" xr3:uid="{69434D8D-8235-428B-BE75-23B8DFAF0DBF}" name="Menstrual Care" dataDxfId="417" dataCellStyle="Comma"/>
    <tableColumn id="167" xr3:uid="{C65A7BBF-2847-43D4-B65C-B37733BCD02E}" name="Menstrual Care Hours" dataDxfId="416" dataCellStyle="Comma"/>
    <tableColumn id="168" xr3:uid="{51DC72F1-7600-44F5-902C-3A678BDA29D2}" name="Ambulation" dataDxfId="415" dataCellStyle="Comma"/>
    <tableColumn id="169" xr3:uid="{91D34369-599D-4E46-A59A-524C4E118C9E}" name="Ambulation Hours" dataDxfId="414" dataCellStyle="Comma"/>
    <tableColumn id="170" xr3:uid="{84E4F8A7-9D8F-48D6-AB90-354B4665B85A}" name="Med Accomp" dataDxfId="413" dataCellStyle="Comma"/>
    <tableColumn id="171" xr3:uid="{148A00B0-BAFC-4679-8587-B3D0E251262C}" name="Medical Accomp Hours" dataDxfId="412" dataCellStyle="Comma"/>
    <tableColumn id="172" xr3:uid="{E19234C9-DEA8-4EC9-98CC-E511BB8F93EF}" name="Accomp Alt Res" dataDxfId="411" dataCellStyle="Comma"/>
    <tableColumn id="173" xr3:uid="{6F4741E2-13F7-4001-9F15-9FAE8638AD4C}" name="Accomp Alt Res Hours" dataDxfId="410" dataCellStyle="Comma"/>
    <tableColumn id="174" xr3:uid="{A3B41E9F-C234-488B-A0FE-B301B4DEA646}" name="Heavy Clean" dataDxfId="409" dataCellStyle="Comma"/>
    <tableColumn id="175" xr3:uid="{9A52684F-76D5-4632-9096-07EF60C7924A}" name="Heavy Clean Hours" dataDxfId="408" dataCellStyle="Comma"/>
    <tableColumn id="176" xr3:uid="{49E9FE32-14D8-4B71-8BBE-49E96EB2DEE5}" name="Yard Hazard" dataDxfId="407" dataCellStyle="Comma"/>
    <tableColumn id="177" xr3:uid="{8F703F04-2D61-4376-819E-A8EB443B0DF9}" name="Yard Hazard Hours" dataDxfId="406" dataCellStyle="Comma"/>
    <tableColumn id="178" xr3:uid="{A50B153D-1ACA-4CA2-BA58-40782508C66E}" name="Snow Ice Remove" dataDxfId="405" dataCellStyle="Comma"/>
    <tableColumn id="179" xr3:uid="{FBBCB5FD-D9D0-445B-A36A-F078BED7B262}" name="Snow Ice Remove Hours" dataDxfId="404" dataCellStyle="Comma"/>
    <tableColumn id="180" xr3:uid="{D953F197-D175-4AB7-A73F-F74868959EED}" name="Teach Demo" dataDxfId="403" dataCellStyle="Comma"/>
    <tableColumn id="181" xr3:uid="{4C6C7832-9EC7-4349-8688-F2B1EBFA7E8E}" name="Teach Demo Hours" dataDxfId="402" dataCellStyle="Comma"/>
    <tableColumn id="182" xr3:uid="{A952DDF7-7BE3-4240-B309-0A871C40E79E}" name="Data Not Reported as of 1/1/2020" dataDxfId="401" dataCellStyle="Comma"/>
    <tableColumn id="183" xr3:uid="{345FACB8-7936-4FEE-B587-9F6261201E5B}" name="Telephone Timesheet System (TTS)" dataDxfId="400" dataCellStyle="Comma"/>
    <tableColumn id="184" xr3:uid="{A0D07F5F-1144-4B1B-AC4C-7F184E14D65D}" name="Large Font Timesheet" dataDxfId="399" dataCellStyle="Comma"/>
    <tableColumn id="185" xr3:uid="{151145BA-E1D0-4160-A1D4-FDCEB8B45BB7}" name="No Accommodation Needed" dataDxfId="398" dataCellStyle="Comma"/>
    <tableColumn id="186" xr3:uid="{FFEDED01-DBF2-4702-A901-A9AFD919C182}" name="Audio CD" dataDxfId="397" dataCellStyle="Comma"/>
    <tableColumn id="187" xr3:uid="{62A0986E-9CAB-4073-93EF-53CF078375F8}" name="Braille Documents" dataDxfId="396" dataCellStyle="Comma"/>
    <tableColumn id="188" xr3:uid="{F53AE64E-7E65-466B-AE97-E8EE5B266949}" name="County Support " dataDxfId="395" dataCellStyle="Comma"/>
    <tableColumn id="189" xr3:uid="{C38E711D-BC8D-4D94-AF03-C6601521B600}" name="Data CD" dataDxfId="394" dataCellStyle="Comma"/>
    <tableColumn id="190" xr3:uid="{F9B64D18-5F98-4998-80FF-F195C84D70AA}" name="Large Font NOA" dataDxfId="393" dataCellStyle="Comma"/>
    <tableColumn id="191" xr3:uid="{A517F553-4058-4EE5-A433-398662FA5343}" name="No Accommodation is Needed " dataDxfId="392" dataCellStyle="Comma"/>
    <tableColumn id="192" xr3:uid="{B69247E0-C48E-454E-911D-F410C04BAF16}" name="Cases Self-Identifying as BVI in CMIPS" dataDxfId="391" dataCellStyle="Comma"/>
    <tableColumn id="193" xr3:uid="{C2E4F9C6-A025-4F40-A6D4-9E1443D25534}" name="Reassessments - Outstanding" dataDxfId="390" dataCellStyle="Comma"/>
    <tableColumn id="194" xr3:uid="{DFC550FD-6119-44DF-BF14-230FE24BAAA9}" name="New Applications  (Month)" dataDxfId="389" dataCellStyle="Comma"/>
    <tableColumn id="195" xr3:uid="{926CE04A-649D-4B20-8441-0AF66847D9CD}" name="Application Denials Days 0-45" dataDxfId="388" dataCellStyle="Comma"/>
    <tableColumn id="196" xr3:uid="{4DDD3227-F062-48EE-92FD-D0B82C9212BE}" name="Application Denials Days 46-91" dataDxfId="387" dataCellStyle="Comma"/>
    <tableColumn id="197" xr3:uid="{2AFE2042-65F5-4093-8F1D-53E68F055C49}" name="Application Denials Days 90+" dataDxfId="386" dataCellStyle="Comma"/>
    <tableColumn id="198" xr3:uid="{3AC7D7AE-8A04-4A48-BB0B-E8E76B67E905}" name="Application Denials Monthly Denials" dataDxfId="385" dataCellStyle="Comma"/>
    <tableColumn id="199" xr3:uid="{4B1F6774-EB76-4165-BC72-E49012C69D02}" name="EFT (Direct Deposit)" dataDxfId="384" dataCellStyle="Comma"/>
    <tableColumn id="200" xr3:uid="{33022815-050F-4852-8F9D-48230672EDCC}" name="Violations - With Single Recipient " dataDxfId="383" dataCellStyle="Comma"/>
    <tableColumn id="201" xr3:uid="{7341EE1E-ACAF-4C0F-9AB6-5BA0EE892496}" name="Violations - Travel" dataDxfId="382" dataCellStyle="Comma"/>
    <tableColumn id="202" xr3:uid="{019FEF69-00AE-4ED1-8332-32F2AE503854}" name="Violations - With Multiple Recipients" dataDxfId="381" dataCellStyle="Comma"/>
    <tableColumn id="203" xr3:uid="{C5A2E5AC-EA31-4D30-9CF0-BD1B12A1BE00}" name="Total Violations" dataDxfId="380" dataCellStyle="Comma"/>
    <tableColumn id="204" xr3:uid="{FC50A7EA-9DF2-4872-B119-B84A69D38FA9}" name="Parent Provider (Exemptions 1)" dataDxfId="379" dataCellStyle="Comma"/>
    <tableColumn id="205" xr3:uid="{0E6850DD-BABF-4926-98A1-63A5FE3422F3}" name="Extraordinary Circumstance (Exemptions 2)" dataDxfId="378" dataCellStyle="Comma"/>
    <tableColumn id="206" xr3:uid="{D1978F6D-8962-4A75-9D19-94AB418FCC14}" name="Total Exemptions" dataDxfId="377" dataCellStyle="Comma"/>
    <tableColumn id="90" xr3:uid="{19730BD8-2351-4AEE-A792-B396CDF727A6}" name="No longer in own home" dataDxfId="376" dataCellStyle="Comma"/>
    <tableColumn id="100" xr3:uid="{7663C436-9B48-450F-8225-44D0D97841EE}" name="Recipient Request" dataDxfId="375" dataCellStyle="Comma"/>
    <tableColumn id="122" xr3:uid="{B358A7E6-F68F-4508-B785-29D2EA344FE4}" name="Did not pay Share of Cost" dataDxfId="374" dataCellStyle="Comma"/>
    <tableColumn id="215" xr3:uid="{24E032BB-3336-4B71-A804-6AF6F473F508}" name="Out of State more than 60 days" dataDxfId="373" dataCellStyle="Comma"/>
    <tableColumn id="237" xr3:uid="{7AEB6088-5035-4F4E-BD9A-A63F75CB8683}" name="Out of country" dataDxfId="372" dataCellStyle="Comma"/>
    <tableColumn id="259" xr3:uid="{7A434060-E60D-460E-991D-0625EB42580F}" name="Moved out of State" dataDxfId="371" dataCellStyle="Comma"/>
    <tableColumn id="269" xr3:uid="{06A5D7F5-EF87-4234-937E-585753F65026}" name="Failure to cooperate" dataDxfId="370" dataCellStyle="Comma"/>
    <tableColumn id="291" xr3:uid="{3B8A170C-D22A-4FD5-BDB6-7B2155CF8F09}" name="IHSS-R SOC exceeds need" dataDxfId="369" dataCellStyle="Comma"/>
    <tableColumn id="292" xr3:uid="{36A8DBDC-8613-43E5-BF54-48BD8EDD17E1}" name="No Assessed Need" dataDxfId="368" dataCellStyle="Comma"/>
    <tableColumn id="293" xr3:uid="{43A068FF-1006-452C-B06E-2D2DDDCB9238}" name="Need met through Alternate Resources" dataDxfId="367" dataCellStyle="Comma"/>
    <tableColumn id="294" xr3:uid="{B6F147FD-C41A-41AA-85E1-FB2A2CFB2381}" name="Non-Compliance with Medi-Cal Eligibility" dataDxfId="366" dataCellStyle="Comma"/>
    <tableColumn id="295" xr3:uid="{53777052-1513-4E99-B47F-2CE1C04EAA73}" name="Residence - Hospital" dataDxfId="365" dataCellStyle="Comma"/>
    <tableColumn id="296" xr3:uid="{3227EEBA-AD10-4DC7-8317-1DD2DC4FD246}" name="Residence - Intermediate Care Facility" dataDxfId="364" dataCellStyle="Comma"/>
    <tableColumn id="297" xr3:uid="{AB24E113-F624-472C-A600-5E9169173403}" name="Residence - Skilled Nursing Facility" dataDxfId="363" dataCellStyle="Comma"/>
    <tableColumn id="298" xr3:uid="{97E4B659-C60A-4721-96DF-0041C7E6AEBC}" name="Residence - Community Care Facility" dataDxfId="362" dataCellStyle="Comma"/>
    <tableColumn id="299" xr3:uid="{BB0FFA9B-EA78-4B77-851F-EFDFCAF4062A}" name="Whereabouts unknown" dataDxfId="361" dataCellStyle="Comma"/>
    <tableColumn id="300" xr3:uid="{A93EC2F0-F160-420B-B17D-B8B9EC338215}" name="Recipient Death" dataDxfId="360" dataCellStyle="Comma"/>
    <tableColumn id="301" xr3:uid="{901FEF56-4223-44C1-9854-CDA294B2A931}" name="Erroneous" dataDxfId="359" dataCellStyle="Comma"/>
    <tableColumn id="302" xr3:uid="{63E8E8DC-F248-4602-9473-795F9D094B23}" name="IHSS-R Excess Resource" dataDxfId="358" dataCellStyle="Comma"/>
    <tableColumn id="303" xr3:uid="{F92727B5-BA72-49C2-8908-8A83D7974B92}" name="Invalid SSN" dataDxfId="357" dataCellStyle="Comma"/>
    <tableColumn id="304" xr3:uid="{33D16D03-4FCA-4EEC-B089-641212895A64}" name="Terminations - Duplicate SSN" dataDxfId="356" dataCellStyle="Comma"/>
    <tableColumn id="305" xr3:uid="{E1C2D677-BFA4-49A3-82F7-5CCC8D3FDC1C}" name="Health Care Certification - Not Received" dataDxfId="355" dataCellStyle="Comma"/>
    <tableColumn id="306" xr3:uid="{AACF426B-3694-43EB-9504-4C471F661320}" name="Health Care Certification - No Need" dataDxfId="354" dataCellStyle="Comma"/>
    <tableColumn id="307" xr3:uid="{5B6C20C4-805F-41F5-9287-E8BC55916332}" name="Medi- Cal Restored" dataDxfId="353" dataCellStyle="Comma"/>
    <tableColumn id="320" xr3:uid="{7DDFFD8B-CFDA-4099-B0CB-25366C8DF088}" name="White Apps Equity" dataDxfId="352" dataCellStyle="Comma"/>
    <tableColumn id="321" xr3:uid="{48B2C6C0-C132-4F7B-B627-88C62E0BC974}" name="Hispanic Apps Equity" dataDxfId="351" dataCellStyle="Comma"/>
    <tableColumn id="322" xr3:uid="{FBAA86EB-5D10-4BA7-9D48-D0491D3E573F}" name="Black Apps Equity" dataDxfId="350" dataCellStyle="Comma"/>
    <tableColumn id="323" xr3:uid="{9D5D157F-0589-4241-969B-3669D650C7A4}" name="Asian Pacific Apps Equity" dataDxfId="349" dataCellStyle="Comma"/>
    <tableColumn id="324" xr3:uid="{B451194E-F9D0-47E5-9201-14D5BBFC37A7}" name="Alaskan Native Apps Equity" dataDxfId="348" dataCellStyle="Comma"/>
    <tableColumn id="325" xr3:uid="{645D0BD6-FDDC-48E1-BC14-74103B3049E5}" name="Filipino Apps Equity" dataDxfId="347" dataCellStyle="Comma"/>
    <tableColumn id="326" xr3:uid="{708F3A55-59E4-4091-B62B-151A8FD503E1}" name="No Valid Data Apps Equity" dataDxfId="346" dataCellStyle="Comma"/>
    <tableColumn id="327" xr3:uid="{653103A0-D6F1-4F5C-8E64-4E2272486F6B}" name="Amerasion Apps Equity" dataDxfId="345" dataCellStyle="Comma"/>
    <tableColumn id="328" xr3:uid="{A04BC693-1A2A-4626-9779-9CB2B5AB0535}" name="Chinese Apps Equity" dataDxfId="344" dataCellStyle="Comma"/>
    <tableColumn id="329" xr3:uid="{B62DCD94-9E04-47B2-8BBE-D1B72DA3C3B1}" name="Cambodian Apps Equity" dataDxfId="343" dataCellStyle="Comma"/>
    <tableColumn id="330" xr3:uid="{D4237D28-4AC7-4B46-BA18-1A7DB9EFAF6E}" name="Japanese Apps Equity" dataDxfId="342" dataCellStyle="Comma"/>
    <tableColumn id="331" xr3:uid="{02EAEE47-E9EB-4478-A57C-1B45E7F5927A}" name="Korean Apps Equity" dataDxfId="341" dataCellStyle="Comma"/>
    <tableColumn id="332" xr3:uid="{E4B67200-7524-4538-86B6-DB5DBAA2920F}" name="Samoan Apps Equity" dataDxfId="340" dataCellStyle="Comma"/>
    <tableColumn id="333" xr3:uid="{243BBF7B-B52E-4D01-BD5D-A08C21891ECE}" name="Asian Indian Apps Equity" dataDxfId="339" dataCellStyle="Comma"/>
    <tableColumn id="334" xr3:uid="{F1F38449-FE2D-4B35-B645-709B59E158B9}" name="Hawaiian Apps Equity" dataDxfId="338" dataCellStyle="Comma"/>
    <tableColumn id="335" xr3:uid="{B6220B4C-8372-4268-8C28-32FDE9DF537F}" name="Guamanian Apps Equity" dataDxfId="337" dataCellStyle="Comma"/>
    <tableColumn id="336" xr3:uid="{366C184D-2989-4C95-A2CE-8F01C8338FFA}" name="Laotian Apps Equity" dataDxfId="336" dataCellStyle="Comma"/>
    <tableColumn id="337" xr3:uid="{B155FC8F-EBD5-495A-8CCB-FD10D2733BEB}" name="Vietnamese Apps Equity" dataDxfId="335" dataCellStyle="Comma"/>
    <tableColumn id="338" xr3:uid="{3BD57158-AB56-422F-91BA-7B19F2EBA3F6}" name="Other Apps Equity" dataDxfId="334" dataCellStyle="Comma"/>
    <tableColumn id="339" xr3:uid="{7DAED33B-4959-4B66-B795-C8C9A62272B4}" name="White Denials Equity" dataDxfId="333" dataCellStyle="Comma"/>
    <tableColumn id="340" xr3:uid="{C4E96699-5309-417E-B8E0-C5FA78E75342}" name="Hispanic Denials Equity" dataDxfId="332" dataCellStyle="Comma"/>
    <tableColumn id="341" xr3:uid="{0F317655-B0A8-4261-9C19-1545668EC1A9}" name="Black Denials Equity" dataDxfId="331" dataCellStyle="Comma"/>
    <tableColumn id="342" xr3:uid="{690731C0-0D48-4FB3-92CE-1B2E9FB49112}" name="Asian Pacific Denials Equity" dataDxfId="330" dataCellStyle="Comma"/>
    <tableColumn id="343" xr3:uid="{F4CFD68B-4C68-44DB-96FE-C8C49AD06DDD}" name="Alaskan Native Denials Equity" dataDxfId="329" dataCellStyle="Comma"/>
    <tableColumn id="344" xr3:uid="{700EC1C8-18C2-4062-BD34-7403214312E1}" name="Filipino Denials Equity" dataDxfId="328" dataCellStyle="Comma"/>
    <tableColumn id="345" xr3:uid="{54C2B2BE-84E2-4960-972A-72A29AF0CB70}" name="No Valid Data Denials Equity" dataDxfId="327" dataCellStyle="Comma"/>
    <tableColumn id="346" xr3:uid="{2EDAE125-6D49-4955-8E54-5333FA29487F}" name="Amerasion Denials Equity" dataDxfId="326" dataCellStyle="Comma"/>
    <tableColumn id="347" xr3:uid="{B94DB54A-1E24-4A1F-B339-AE0ECCAF3168}" name="Chinese Denials Equity" dataDxfId="325" dataCellStyle="Comma"/>
    <tableColumn id="348" xr3:uid="{99D3ABA8-C6CE-415B-923C-170E53DD7A13}" name="Cambodian Denials Equity" dataDxfId="324" dataCellStyle="Comma"/>
    <tableColumn id="349" xr3:uid="{77F9DE2E-DAC8-4672-B2B7-6678B3B313E1}" name="Japanese Denials Equity" dataDxfId="323" dataCellStyle="Comma"/>
    <tableColumn id="350" xr3:uid="{E98752B2-3BEB-42EA-8951-8B55C7090B66}" name="Korean Denials Equity" dataDxfId="322" dataCellStyle="Comma"/>
    <tableColumn id="351" xr3:uid="{9D9EE5A5-57F7-48C0-BF04-162B5520B548}" name="Samoan Denials Equity" dataDxfId="321" dataCellStyle="Comma"/>
    <tableColumn id="352" xr3:uid="{9C1E6B30-C696-4C1F-A0E6-2BC0A2A69C81}" name="Asian Indian Denials Equity" dataDxfId="320" dataCellStyle="Comma"/>
    <tableColumn id="353" xr3:uid="{50369241-C8FE-4D7D-9517-F6E5416C82A7}" name="Hawaiian Denials Equity" dataDxfId="319" dataCellStyle="Comma"/>
    <tableColumn id="354" xr3:uid="{98F15194-A46A-46F3-A2F0-D2B2B620CEBD}" name="Guamanian Denials Equity" dataDxfId="318" dataCellStyle="Comma"/>
    <tableColumn id="355" xr3:uid="{8FBE9253-456B-49C0-BABD-36329DDF63B4}" name="Laotian Denials Equity" dataDxfId="317" dataCellStyle="Comma"/>
    <tableColumn id="356" xr3:uid="{AD17A8E6-1565-41A8-A75A-43742C3BD040}" name="Vietnamese Denials Equity" dataDxfId="316" dataCellStyle="Comma"/>
    <tableColumn id="357" xr3:uid="{421DF773-1518-4079-B497-7C6735291FC0}" name="Other Denials Equity" dataDxfId="315" dataCellStyle="Comma"/>
    <tableColumn id="358" xr3:uid="{A0D6037F-F668-41A8-939A-DA5E37C4E31F}" name="White Auth Hours Equity" dataDxfId="314" dataCellStyle="Comma"/>
    <tableColumn id="359" xr3:uid="{7DF55272-BEC3-402C-A351-B854A8E8383A}" name="Hispanic Auth Hours Equity" dataDxfId="313" dataCellStyle="Comma"/>
    <tableColumn id="360" xr3:uid="{66363F3C-8064-4C67-A995-7BA5F6BA3311}" name="Black Auth Hours Equity" dataDxfId="312" dataCellStyle="Comma"/>
    <tableColumn id="361" xr3:uid="{35640D45-1395-41CC-9B46-A12AE885C656}" name="Asian Pacific Auth Hours Equity" dataDxfId="311" dataCellStyle="Comma"/>
    <tableColumn id="362" xr3:uid="{2B576AE8-25E7-4380-B739-1882FDC888E1}" name="Alaskan Native Auth Hours Equity" dataDxfId="310" dataCellStyle="Comma"/>
    <tableColumn id="363" xr3:uid="{83E75853-2E64-4C87-BAFF-105DA70B31E3}" name="Filipino Auth Hours Equity" dataDxfId="309" dataCellStyle="Comma"/>
    <tableColumn id="364" xr3:uid="{DBCDE696-5A07-4C13-B441-950118635910}" name="No Valid Data Auth Hours Equity" dataDxfId="308" dataCellStyle="Comma"/>
    <tableColumn id="365" xr3:uid="{4233A7B3-1A68-47A3-BD4A-7F5003B372D3}" name="Amerasion Auth Hours Equity" dataDxfId="307" dataCellStyle="Comma"/>
    <tableColumn id="366" xr3:uid="{FB500DBB-8496-45C5-A4D7-981DF1DC3500}" name="Chinese Auth Hours Equity" dataDxfId="306" dataCellStyle="Comma"/>
    <tableColumn id="367" xr3:uid="{C864DCD2-4C4F-4E47-8AB7-43349A3F3AAD}" name="Cambodian Auth Hours Equity" dataDxfId="305" dataCellStyle="Comma"/>
    <tableColumn id="368" xr3:uid="{23F8879F-3940-4A30-A4ED-1232A0E671FE}" name="Japanese Auth Hours Equity" dataDxfId="304" dataCellStyle="Comma"/>
    <tableColumn id="369" xr3:uid="{072195B6-95CB-4DE6-AA06-5D9EF2B1B4E6}" name="Korean Auth Hours Equity" dataDxfId="303" dataCellStyle="Comma"/>
    <tableColumn id="370" xr3:uid="{AD835F77-7AF2-4417-965B-E817AF63ED9D}" name="Samoan Auth Hours Equity" dataDxfId="302" dataCellStyle="Comma"/>
    <tableColumn id="371" xr3:uid="{166C86D9-4A47-48D2-AE33-87CD47966261}" name="Asian Indian Auth Hours Equity" dataDxfId="301" dataCellStyle="Comma"/>
    <tableColumn id="372" xr3:uid="{C1E91472-DE56-4356-B31D-92040428037E}" name="Hawaiian Auth Hours Equity" dataDxfId="300" dataCellStyle="Comma"/>
    <tableColumn id="373" xr3:uid="{BF555125-0B66-4ED8-8CB8-8CF97E9B19ED}" name="Guamanian Auth Hours Equity" dataDxfId="299" dataCellStyle="Comma"/>
    <tableColumn id="374" xr3:uid="{055F1A44-107F-4D08-9B86-82FCC36531BE}" name="Laotian Auth Hours Equity" dataDxfId="298" dataCellStyle="Comma"/>
    <tableColumn id="375" xr3:uid="{7172A6B4-6DE3-4B7C-8E90-71E020753870}" name="Vietnamese Auth Hours Equity" dataDxfId="297" dataCellStyle="Comma"/>
    <tableColumn id="376" xr3:uid="{C92E9304-3915-4473-BCB4-6253A6FDA1EC}" name="Other Auth Hours Equity" dataDxfId="296" dataCellStyle="Comma"/>
    <tableColumn id="377" xr3:uid="{B6EBF5E3-1FA6-415C-9403-A42D1FBD2218}" name="White PS Equity" dataDxfId="295" dataCellStyle="Comma"/>
    <tableColumn id="378" xr3:uid="{99AE65C3-CBF3-4A1C-89AE-1C80961E23EB}" name="Hispanic PS Equity" dataDxfId="294" dataCellStyle="Comma"/>
    <tableColumn id="379" xr3:uid="{E3B16CAA-58FA-4057-8B26-A52031EEF47E}" name="Black PS Equity" dataDxfId="293" dataCellStyle="Comma"/>
    <tableColumn id="380" xr3:uid="{75E11911-F1CA-4148-848F-3B480B0407F1}" name="Asian Pacific PS Equity" dataDxfId="292" dataCellStyle="Comma"/>
    <tableColumn id="381" xr3:uid="{5DC64D62-3E34-4FC7-8B84-B074174F1FD5}" name="Alaskan Native PS Equity" dataDxfId="291" dataCellStyle="Comma"/>
    <tableColumn id="382" xr3:uid="{8F39050D-32D0-4089-8993-81BCB56AB4CD}" name="Filipino PS Equity" dataDxfId="290" dataCellStyle="Comma"/>
    <tableColumn id="383" xr3:uid="{3AC564C8-1BCC-4939-B7A2-BB09B3EF728E}" name="No Valid Data PS Equity" dataDxfId="289" dataCellStyle="Comma"/>
    <tableColumn id="384" xr3:uid="{1BFEFEED-39F2-4A6E-A002-980312257BD5}" name="Amerasion PS Equity" dataDxfId="288" dataCellStyle="Comma"/>
    <tableColumn id="385" xr3:uid="{05D659BC-18BA-42E0-B6AE-96B813E10569}" name="Chinese PS Equity" dataDxfId="287" dataCellStyle="Comma"/>
    <tableColumn id="386" xr3:uid="{B559264D-F980-4124-94BC-54CF915A1482}" name="Cambodian PS Equity" dataDxfId="286" dataCellStyle="Comma"/>
    <tableColumn id="387" xr3:uid="{F33A2E8F-7E33-47B6-B4F5-69CCB844302A}" name="Japanese PS Equity" dataDxfId="285" dataCellStyle="Comma"/>
    <tableColumn id="388" xr3:uid="{0B495616-D4CB-46C3-8E35-05F2DEFB1D20}" name="Korean PS Equity" dataDxfId="284" dataCellStyle="Comma"/>
    <tableColumn id="389" xr3:uid="{1E34E5CC-F3DD-4CB3-9DBE-1C343C3D488B}" name="Samoan PS Equity" dataDxfId="283" dataCellStyle="Comma"/>
    <tableColumn id="390" xr3:uid="{502230C8-B6E0-486C-B324-B9BE09F28F53}" name="Asian Indian PS Equity" dataDxfId="282" dataCellStyle="Comma"/>
    <tableColumn id="391" xr3:uid="{56581D1A-6A99-4747-A553-12DB58D65C43}" name="Hawaiian PS Equity" dataDxfId="281" dataCellStyle="Comma"/>
    <tableColumn id="392" xr3:uid="{0D87A9D0-DF9F-4E82-9B20-31C2514B32BF}" name="Guamanian PS Equity" dataDxfId="280" dataCellStyle="Comma"/>
    <tableColumn id="393" xr3:uid="{FEE21A08-E827-458B-AFED-C48A37C36B7C}" name="Laotian PS Equity" dataDxfId="279" dataCellStyle="Comma"/>
    <tableColumn id="394" xr3:uid="{0175327B-454A-4210-8DF5-8983BE57B455}" name="Vietnamese PS Equity" dataDxfId="278" dataCellStyle="Comma"/>
    <tableColumn id="395" xr3:uid="{F58ECD7A-637D-431E-A72F-141C704DC49C}" name="Other PS Equity" dataDxfId="277" dataCellStyle="Comma"/>
    <tableColumn id="396" xr3:uid="{98D58C41-17E1-4504-B611-6755DA145166}" name="White PM Equity" dataDxfId="276" dataCellStyle="Comma"/>
    <tableColumn id="397" xr3:uid="{85A40099-FF9A-4C7D-A7C9-1B85DA943EF8}" name="Hispanic PM Equity" dataDxfId="275" dataCellStyle="Comma"/>
    <tableColumn id="398" xr3:uid="{ED180034-5B0F-416D-972B-65230D5ED9EC}" name="Black PM Equity" dataDxfId="274" dataCellStyle="Comma"/>
    <tableColumn id="399" xr3:uid="{053484E4-F2D1-4F4D-8BD8-FE32D70DA8BC}" name="Asian Pacific PM Equity" dataDxfId="273" dataCellStyle="Comma"/>
    <tableColumn id="400" xr3:uid="{6E74AADC-2ED2-4BE2-8A96-0E4EBD5105E8}" name="Alaskan Native PM Equity" dataDxfId="272" dataCellStyle="Comma"/>
    <tableColumn id="401" xr3:uid="{3FD286CB-DC6F-435B-9131-DB43E064472F}" name="Filipino PM Equity" dataDxfId="271" dataCellStyle="Comma"/>
    <tableColumn id="402" xr3:uid="{02AB4C3F-B2EF-4AD6-B82B-672DFC53C534}" name="No Valid Data PM Equity" dataDxfId="270" dataCellStyle="Comma"/>
    <tableColumn id="403" xr3:uid="{0053967B-4867-426A-9845-B1DF0CFE8AF9}" name="Amerasion PM Equity" dataDxfId="269" dataCellStyle="Comma"/>
    <tableColumn id="404" xr3:uid="{C72F0CB0-6DEA-4958-BA10-A4683C9CF44F}" name="Chinese PM Equity" dataDxfId="268" dataCellStyle="Comma"/>
    <tableColumn id="405" xr3:uid="{6AD2B242-E69A-43AE-AC57-99715C389E74}" name="Cambodian PM Equity" dataDxfId="267" dataCellStyle="Comma"/>
    <tableColumn id="406" xr3:uid="{54D41634-E589-4370-9332-2B2E6B23D0D8}" name="Japanese PM Equity" dataDxfId="266" dataCellStyle="Comma"/>
    <tableColumn id="407" xr3:uid="{81E60469-7135-4168-91B8-7454AAF71F65}" name="Korean PM Equity" dataDxfId="265" dataCellStyle="Comma"/>
    <tableColumn id="408" xr3:uid="{66DF02EC-6F45-435A-9F8E-9516BA1F5888}" name="Samoan PM Equity" dataDxfId="264" dataCellStyle="Comma"/>
    <tableColumn id="409" xr3:uid="{80939A6E-EBDA-4ACD-9AA7-ACF502EAA464}" name="Asian Indian PM Equity" dataDxfId="263" dataCellStyle="Comma"/>
    <tableColumn id="410" xr3:uid="{F33DCA39-73F5-435D-936C-8F0448F1BC74}" name="Hawaiian PM Equity" dataDxfId="262" dataCellStyle="Comma"/>
    <tableColumn id="411" xr3:uid="{ADC866DA-5829-4089-9635-8BB13F19E5F4}" name="Guamanian PM Equity" dataDxfId="261" dataCellStyle="Comma"/>
    <tableColumn id="412" xr3:uid="{DC34A5BB-367B-4153-A926-B35A245712ED}" name="Laotian PM Equity" dataDxfId="260" dataCellStyle="Comma"/>
    <tableColumn id="413" xr3:uid="{E97FB1DB-0047-4D0D-A91C-F0869AF089FA}" name="Vietnamese PM Equity" dataDxfId="259" dataCellStyle="Comma"/>
    <tableColumn id="414" xr3:uid="{7A0628CC-2AAE-4F44-8120-D691723948AF}" name="Other PM Equity" dataDxfId="258" dataCellStyle="Comma"/>
    <tableColumn id="415" xr3:uid="{05ADEFCE-00BE-4538-BADA-9E6AB7BCF058}" name="White NSI Equity" dataDxfId="257" dataCellStyle="Comma"/>
    <tableColumn id="416" xr3:uid="{45F6BCA9-B9E3-4991-8FD2-884302D96CC1}" name="Hispanic NSI Equity" dataDxfId="256" dataCellStyle="Comma"/>
    <tableColumn id="417" xr3:uid="{E9BB53CB-C478-4BB4-AE97-B990893E8ADD}" name="Black NSI Equity" dataDxfId="255" dataCellStyle="Comma"/>
    <tableColumn id="418" xr3:uid="{5ABE26F5-D399-4476-8BD0-D100FA764CAF}" name="Asian Pacific NSI Equity" dataDxfId="254" dataCellStyle="Comma"/>
    <tableColumn id="419" xr3:uid="{3AC724F2-E0B3-4E9D-AB8E-0B8431C39083}" name="Alaskan Native NSI Equity" dataDxfId="253" dataCellStyle="Comma"/>
    <tableColumn id="420" xr3:uid="{DF6CC0C0-1067-4011-BC22-55D74D3DE132}" name="Filipino NSI Equity" dataDxfId="252" dataCellStyle="Comma"/>
    <tableColumn id="421" xr3:uid="{26030849-A21D-40DD-9B4D-924C13EB922B}" name="No Valid Data NSI Equity" dataDxfId="251" dataCellStyle="Comma"/>
    <tableColumn id="422" xr3:uid="{0B47376F-8F2B-49A1-B451-71E9EF1504B4}" name="Amerasion NSI Equity" dataDxfId="250" dataCellStyle="Comma"/>
    <tableColumn id="423" xr3:uid="{710AECDD-D9C9-4F5A-A83D-236A6E2B0782}" name="Chinese NSI Equity" dataDxfId="249" dataCellStyle="Comma"/>
    <tableColumn id="424" xr3:uid="{7A7EBB93-7665-4377-9F35-6D8F5CB5CEE7}" name="Cambodian NSI Equity" dataDxfId="248" dataCellStyle="Comma"/>
    <tableColumn id="425" xr3:uid="{0C8D3E45-7A35-4304-AD16-DC00E2FC542F}" name="Japanese NSI Equity" dataDxfId="247" dataCellStyle="Comma"/>
    <tableColumn id="426" xr3:uid="{2E89602F-1215-4D75-905F-C7B0F9EFE138}" name="Korean NSI Equity" dataDxfId="246" dataCellStyle="Comma"/>
    <tableColumn id="427" xr3:uid="{960F0915-2DB0-4B11-A191-D7DB3614C277}" name="Samoan NSI Equity" dataDxfId="245" dataCellStyle="Comma"/>
    <tableColumn id="428" xr3:uid="{BEA5F347-5FBE-4228-B682-E76698D915A9}" name="Asian Indian NSI Equity" dataDxfId="244" dataCellStyle="Comma"/>
    <tableColumn id="429" xr3:uid="{39252865-460F-4CCE-82C7-F7F75B6C3FD6}" name="Hawaiian NSI Equity" dataDxfId="243" dataCellStyle="Comma"/>
    <tableColumn id="430" xr3:uid="{FD9CCBE6-23C3-44CF-91B4-9C7BD36139F4}" name="Guamanian NSI Equity" dataDxfId="242" dataCellStyle="Comma"/>
    <tableColumn id="431" xr3:uid="{8ACB8BAC-65E7-4BEC-982A-919D8EC3C4C2}" name="Laotian NSI Equity" dataDxfId="241" dataCellStyle="Comma"/>
    <tableColumn id="432" xr3:uid="{D619710B-316C-4120-A9DB-6DFEAA4CFBA6}" name="Vietnamese NSI Equity" dataDxfId="240" dataCellStyle="Comma"/>
    <tableColumn id="433" xr3:uid="{F12D9A7B-664C-46ED-BAB0-30C5BDFDA9DA}" name="Other NSI Equity" dataDxfId="239" dataCellStyle="Comma"/>
    <tableColumn id="434" xr3:uid="{69B613B7-C300-48F8-ADA3-EF68910A84A8}" name="White SI Equity" dataDxfId="238" dataCellStyle="Comma"/>
    <tableColumn id="435" xr3:uid="{578A4DE3-2B89-43C3-ADB9-DC26E7C129D1}" name="Hispanic SI Equity" dataDxfId="237" dataCellStyle="Comma"/>
    <tableColumn id="436" xr3:uid="{05A50170-91AD-4C17-B16E-53B4FD2B07DA}" name="Black SI Equity" dataDxfId="236" dataCellStyle="Comma"/>
    <tableColumn id="437" xr3:uid="{DCB41F91-2440-4105-8B19-2D1A1DA88029}" name="Asian Pacific SI Equity" dataDxfId="235" dataCellStyle="Comma"/>
    <tableColumn id="438" xr3:uid="{6352E603-4212-49ED-8015-EC7D68B66B11}" name="Alaskan Native SI Equity" dataDxfId="234" dataCellStyle="Comma"/>
    <tableColumn id="439" xr3:uid="{D9A1D4B3-F684-43E9-9BD4-297E4265C702}" name="Filipino SI Equity" dataDxfId="233" dataCellStyle="Comma"/>
    <tableColumn id="440" xr3:uid="{2FBF4661-93E6-42B8-8001-6464568C28F8}" name="No Valid Data SI Equity" dataDxfId="232" dataCellStyle="Comma"/>
    <tableColumn id="441" xr3:uid="{4D57684E-3C0F-4414-87B3-0E6644A4BAE1}" name="Amerasion SI Equity" dataDxfId="231" dataCellStyle="Comma"/>
    <tableColumn id="442" xr3:uid="{FA28A77C-1920-4D5F-974A-0201ECB6B3BB}" name="Chinese SI Equity" dataDxfId="230" dataCellStyle="Comma"/>
    <tableColumn id="443" xr3:uid="{2D02F484-2F01-4DAE-84B3-F5777AEF20B0}" name="Cambodian SI Equity" dataDxfId="229" dataCellStyle="Comma"/>
    <tableColumn id="444" xr3:uid="{AA60F36F-3FB5-42B5-9498-DDDB9B777E0D}" name="Japanese SI Equity" dataDxfId="228" dataCellStyle="Comma"/>
    <tableColumn id="445" xr3:uid="{D2BCD25D-2FF7-455B-9718-0DD9C296EDD3}" name="Korean SI Equity" dataDxfId="227" dataCellStyle="Comma"/>
    <tableColumn id="446" xr3:uid="{5DD93646-2D55-456B-8DE2-542B198BDCEB}" name="Samoan SI Equity" dataDxfId="226" dataCellStyle="Comma"/>
    <tableColumn id="447" xr3:uid="{4618F7E9-DAF1-466C-95F8-0047A174C000}" name="Asian Indian SI Equity" dataDxfId="225" dataCellStyle="Comma"/>
    <tableColumn id="448" xr3:uid="{08B778F6-8283-49B2-9923-460197BA5F50}" name="Hawaiian SI Equity" dataDxfId="224" dataCellStyle="Comma"/>
    <tableColumn id="449" xr3:uid="{17012C67-C42E-4E77-93A0-5B02A5E02D9B}" name="Guamanian SI Equity" dataDxfId="223" dataCellStyle="Comma"/>
    <tableColumn id="450" xr3:uid="{EAD99ADD-E5D2-4562-A265-65F042C2F514}" name="Laotian SI Equity" dataDxfId="222" dataCellStyle="Comma"/>
    <tableColumn id="451" xr3:uid="{B93B6C75-1716-4284-9E4E-8C70FC2AA35C}" name="Vietnamese SI Equity" dataDxfId="221" dataCellStyle="Comma"/>
    <tableColumn id="452" xr3:uid="{6E5DC52F-6590-473A-9E3F-1D10E817F641}" name="Other SI Equity" dataDxfId="220" dataCellStyle="Comma"/>
    <tableColumn id="463" xr3:uid="{B61F9553-986C-4EE1-B40C-1548636B3940}" name="Female " dataDxfId="219" dataCellStyle="Comma"/>
    <tableColumn id="207" xr3:uid="{2C70FE0C-62A5-48B9-8961-31039891B71B}" name="Male " dataDxfId="218" dataCellStyle="Comma"/>
    <tableColumn id="208" xr3:uid="{EA7070B0-77A6-473B-AAB1-3116450FF5AB}" name="White " dataDxfId="217" dataCellStyle="Comma"/>
    <tableColumn id="209" xr3:uid="{586192AF-8FA6-4846-A657-C395005CA101}" name="Hispanic " dataDxfId="216" dataCellStyle="Comma"/>
    <tableColumn id="210" xr3:uid="{E252CBA9-CCE7-4505-A1E4-10938B0C4134}" name="Black " dataDxfId="215" dataCellStyle="Comma"/>
    <tableColumn id="211" xr3:uid="{93A82FFC-210C-4ADA-8034-9E5959CCB092}" name="Asian or Pacific Islander " dataDxfId="214" dataCellStyle="Comma"/>
    <tableColumn id="212" xr3:uid="{DBC00745-498C-48E5-AC22-4C9B6795A2DE}" name="Alaskan Native or American Indian " dataDxfId="213" dataCellStyle="Comma"/>
    <tableColumn id="213" xr3:uid="{3B14FC68-1949-43E2-95A1-04CD64217886}" name="Filipino " dataDxfId="212" dataCellStyle="Comma"/>
    <tableColumn id="214" xr3:uid="{5964A7A8-BFE4-41B9-93D4-8BDA4BEB90BF}" name="No Valid Data Reported " dataDxfId="211" dataCellStyle="Comma"/>
    <tableColumn id="216" xr3:uid="{D2D99B3B-5C31-4537-84AA-38A4DC66A6E1}" name="Amerasian " dataDxfId="210" dataCellStyle="Comma"/>
    <tableColumn id="217" xr3:uid="{B3EBA412-94BD-4985-B20D-8BD214205009}" name="Chinese " dataDxfId="209" dataCellStyle="Comma"/>
    <tableColumn id="218" xr3:uid="{A192C42C-0AE4-4C72-81E7-78CC797A5397}" name="Cambodian " dataDxfId="208" dataCellStyle="Comma"/>
    <tableColumn id="219" xr3:uid="{F03C1D59-20C7-45C9-A757-8B7B90946434}" name="Japanese " dataDxfId="207" dataCellStyle="Comma"/>
    <tableColumn id="220" xr3:uid="{EEFA721D-2F5C-4E8D-8F64-2E34DCDBE410}" name="Korean " dataDxfId="206" dataCellStyle="Comma"/>
    <tableColumn id="221" xr3:uid="{4AC66504-6133-4811-A46D-C03E359230CE}" name="Samoan " dataDxfId="205" dataCellStyle="Comma"/>
    <tableColumn id="222" xr3:uid="{1B147592-0BF6-4BBE-ADCD-6D52A79FC166}" name="Asian Indian " dataDxfId="204" dataCellStyle="Comma"/>
    <tableColumn id="223" xr3:uid="{883F6943-BFC1-48FB-AA43-B38B87C6AB7A}" name="Hawaiian " dataDxfId="203" dataCellStyle="Comma"/>
    <tableColumn id="224" xr3:uid="{6313990A-2A99-4346-BEA3-ACCD984EBAFC}" name="Guamanian " dataDxfId="202" dataCellStyle="Comma"/>
    <tableColumn id="225" xr3:uid="{C80E0AA3-7F72-480E-9B40-3EE0012561AC}" name="Laotian " dataDxfId="201" dataCellStyle="Comma"/>
    <tableColumn id="226" xr3:uid="{16064677-8AA5-450C-B561-C9B5EE3CC012}" name="Vietnamese " dataDxfId="200" dataCellStyle="Comma"/>
    <tableColumn id="227" xr3:uid="{15B8FBDA-5412-4993-B9CB-42F41B98B80C}" name="Other " dataDxfId="199" dataCellStyle="Comma"/>
    <tableColumn id="228" xr3:uid="{CA0AC764-FA74-4729-9B46-5A68BE6D321C}" name="Spoken Language - American Sign Language " dataDxfId="198" dataCellStyle="Comma"/>
    <tableColumn id="229" xr3:uid="{F8F00212-FC67-45E7-92FE-BD238BB7ABC4}" name="Spoken Language - Spanish " dataDxfId="197" dataCellStyle="Comma"/>
    <tableColumn id="230" xr3:uid="{368DFF84-F665-4985-BFEE-DBA0C7D01BBE}" name="Spoken Language - Cantonese " dataDxfId="196" dataCellStyle="Comma"/>
    <tableColumn id="231" xr3:uid="{558C2565-AA78-47B9-84A2-B22601C278C4}" name="Spoken Language - Japanese " dataDxfId="195" dataCellStyle="Comma"/>
    <tableColumn id="232" xr3:uid="{F7A1CBF1-E55F-4D80-8A84-5134B8D8345D}" name="Spoken Language - Korean " dataDxfId="194" dataCellStyle="Comma"/>
    <tableColumn id="233" xr3:uid="{CCB6DD07-2D68-450A-9850-5FF51866BD6D}" name="Spoken Language - Tagalog " dataDxfId="193" dataCellStyle="Comma"/>
    <tableColumn id="234" xr3:uid="{62D87604-C35A-45AA-A154-728E6BC75406}" name="Spoken Language - Other Non-English " dataDxfId="192" dataCellStyle="Comma"/>
    <tableColumn id="235" xr3:uid="{F55FCB97-E3D7-4AD7-BFF5-1BB8F87AA420}" name="Spoken Language - English " dataDxfId="191" dataCellStyle="Comma"/>
    <tableColumn id="236" xr3:uid="{191AF7C9-C1D7-44DB-9215-74B9A3B6E52C}" name="Spoken Language - No Valid Data Reported " dataDxfId="190" dataCellStyle="Comma"/>
    <tableColumn id="238" xr3:uid="{D44021A7-E482-4AAF-BB5D-DB79C35871F2}" name="Spoken Language - Other Sign Language " dataDxfId="189" dataCellStyle="Comma"/>
    <tableColumn id="239" xr3:uid="{F93DA1B0-2DDB-4342-B1E2-97CBA7BA00C2}" name="Spoken Language - Mandarin " dataDxfId="188" dataCellStyle="Comma"/>
    <tableColumn id="240" xr3:uid="{F4C8CD28-A48D-4BB9-8A28-5A95A606BC39}" name="Spoken Language - Other Chinese Languages " dataDxfId="187" dataCellStyle="Comma"/>
    <tableColumn id="241" xr3:uid="{6366197C-9BF8-4C3D-8367-1914CDED4F23}" name="Spoken Language - Cambodian " dataDxfId="186" dataCellStyle="Comma"/>
    <tableColumn id="242" xr3:uid="{CB6D98D2-EECD-4998-934F-BBBD465A9E39}" name="Spoken Language - Armenian " dataDxfId="185" dataCellStyle="Comma"/>
    <tableColumn id="243" xr3:uid="{6DA1FBF8-1251-4A92-9855-9E40C702CFED}" name="Spoken Language - Ilocano " dataDxfId="184" dataCellStyle="Comma"/>
    <tableColumn id="244" xr3:uid="{358799DB-B1EE-4F78-9198-73D407E88D03}" name="Spoken Language - Mien " dataDxfId="183" dataCellStyle="Comma"/>
    <tableColumn id="245" xr3:uid="{4705545B-0C75-457B-8EC7-167637C93CDC}" name="Spoken Language - Hmong " dataDxfId="182" dataCellStyle="Comma"/>
    <tableColumn id="246" xr3:uid="{630273BA-276F-4B16-B11E-DC6FBE05FC93}" name="Spoken Language - Lao " dataDxfId="181" dataCellStyle="Comma"/>
    <tableColumn id="247" xr3:uid="{57456609-087A-4378-9335-05DB5965A3B9}" name="Spoken Language - Turkish " dataDxfId="180" dataCellStyle="Comma"/>
    <tableColumn id="248" xr3:uid="{80CB8AB8-DCE8-4E45-A623-2A7857D0C6EE}" name="Spoken Language - Hebrew " dataDxfId="179" dataCellStyle="Comma"/>
    <tableColumn id="249" xr3:uid="{721E2D7F-1D3E-4DC5-9981-3EBC97C25477}" name="Spoken Language - French " dataDxfId="178" dataCellStyle="Comma"/>
    <tableColumn id="250" xr3:uid="{8AC85F60-D7FC-411C-A3E6-7A5A2CC8BACA}" name="Spoken Language - Polish " dataDxfId="177" dataCellStyle="Comma"/>
    <tableColumn id="251" xr3:uid="{F258B081-A10D-4265-B6F5-EF5F7D090147}" name="Spoken Language - Russian " dataDxfId="176" dataCellStyle="Comma"/>
    <tableColumn id="252" xr3:uid="{3CCE305F-2C72-4CAE-A1C1-78B1B002CCA6}" name="Spoken Language - Portuguese " dataDxfId="175" dataCellStyle="Comma"/>
    <tableColumn id="253" xr3:uid="{DB175C57-40DD-45B9-99ED-9D7AE14BFDF6}" name="Spoken Language - Italian " dataDxfId="174" dataCellStyle="Comma"/>
    <tableColumn id="254" xr3:uid="{E8059854-5882-4582-A4AB-A7F824749C92}" name="Spoken Language - Arabic " dataDxfId="173" dataCellStyle="Comma"/>
    <tableColumn id="255" xr3:uid="{D73559A8-1FB6-4CA0-A886-07A43793FFD5}" name="Spoken Language - Samoan " dataDxfId="172" dataCellStyle="Comma"/>
    <tableColumn id="256" xr3:uid="{085EDC11-5951-467E-A130-A6E160B81118}" name="Spoken Language - Thai " dataDxfId="171" dataCellStyle="Comma"/>
    <tableColumn id="257" xr3:uid="{9EC43CA3-CA8B-42AD-BE45-EB92321FA7B4}" name="Spoken Language - Farsi " dataDxfId="170" dataCellStyle="Comma"/>
    <tableColumn id="258" xr3:uid="{54350561-0818-4F7B-8890-E16589338DC5}" name="Spoken Language - Vietnamese " dataDxfId="169" dataCellStyle="Comma"/>
    <tableColumn id="313" xr3:uid="{222B80E8-77C6-47E8-A615-12A56F57C488}" name="Spoken Language - Hindi" dataDxfId="168" dataCellStyle="Percent"/>
    <tableColumn id="312" xr3:uid="{07A8074B-2B8B-4AF7-911C-1445A7706F8C}" name="Spoken Language - Punjabi" dataDxfId="167" dataCellStyle="Percent"/>
    <tableColumn id="311" xr3:uid="{ED99FB30-4C32-4C9E-A966-9493B13E29C4}" name="Spoken Language - Ukrainian" dataDxfId="166" dataCellStyle="Percent"/>
    <tableColumn id="260" xr3:uid="{5FD970E1-A823-450C-902B-3BC8E265A9BC}" name="Provider Spoken - American Sign Language " dataDxfId="165" dataCellStyle="Comma"/>
    <tableColumn id="261" xr3:uid="{535A6CA6-21BA-4D62-93F0-6AD68987D299}" name="Provider Spoken - Spanish " dataDxfId="164" dataCellStyle="Comma"/>
    <tableColumn id="262" xr3:uid="{004C5ABB-7457-4A4A-9C18-BF9953449D4A}" name="Provider Spoken - Cantonese " dataDxfId="163" dataCellStyle="Comma"/>
    <tableColumn id="263" xr3:uid="{06D85E9C-5A03-48B1-BCB0-0E04E0D33075}" name="Provider Spoken - Japanese " dataDxfId="162" dataCellStyle="Comma"/>
    <tableColumn id="264" xr3:uid="{40BD1412-E4D3-4D93-933A-5955DB088B89}" name="Provider Spoken - Korean " dataDxfId="161" dataCellStyle="Comma"/>
    <tableColumn id="265" xr3:uid="{F1589B33-7050-40A4-9ECD-76DA6A164220}" name="Provider Spoken - Tagalog " dataDxfId="160" dataCellStyle="Comma"/>
    <tableColumn id="266" xr3:uid="{D986E5BA-9B0D-495A-8EEA-027BCD079EDE}" name="Provider Spoken - Other Non-English " dataDxfId="159" dataCellStyle="Comma"/>
    <tableColumn id="267" xr3:uid="{98E66EA7-C472-4960-AFD7-AA6AA67FB4CC}" name="Provider Spoken - English " dataDxfId="158" dataCellStyle="Comma"/>
    <tableColumn id="268" xr3:uid="{3BB863B9-2FFC-4507-ADD7-B7F34F7C8249}" name="Provider Spoken - No Valid Data Reported " dataDxfId="157" dataCellStyle="Comma"/>
    <tableColumn id="270" xr3:uid="{FCA9175B-B3CC-429F-B1A8-0B43319977E4}" name="Provider Spoken - Other Sign Language " dataDxfId="156" dataCellStyle="Comma"/>
    <tableColumn id="271" xr3:uid="{C6430E0E-3FA0-4131-B894-D37B3C9174C2}" name="Provider Spoken - Mandarin " dataDxfId="155" dataCellStyle="Comma"/>
    <tableColumn id="272" xr3:uid="{76B42035-BAFE-4961-876E-71CCA608593E}" name="Provider Spoken - Other Chinese Languages " dataDxfId="154" dataCellStyle="Comma"/>
    <tableColumn id="273" xr3:uid="{A3183B79-D6AE-4F4D-8377-A8A2A9F2F542}" name="Provider Spoken - Cambodian " dataDxfId="153" dataCellStyle="Comma"/>
    <tableColumn id="274" xr3:uid="{E43CAD01-B3B6-4C85-B876-A07E6693019A}" name="Provider Spoken - Armenian " dataDxfId="152" dataCellStyle="Comma"/>
    <tableColumn id="275" xr3:uid="{01EFF120-35FD-4774-86BE-76081ABF8193}" name="Provider Spoken - Ilocano " dataDxfId="151" dataCellStyle="Comma"/>
    <tableColumn id="276" xr3:uid="{ACAAC1F5-8B20-4AAD-B41A-67D5FFCF1E3C}" name="Provider Spoken - Mien " dataDxfId="150" dataCellStyle="Comma"/>
    <tableColumn id="277" xr3:uid="{80D249AD-B1E1-4916-90D2-A89445E5EBC9}" name="Provider Spoken - Hmong " dataDxfId="149" dataCellStyle="Comma"/>
    <tableColumn id="278" xr3:uid="{564017BE-3523-4559-BAAE-40E8F7DB74A9}" name="Provider Spoken - Lao " dataDxfId="148" dataCellStyle="Comma"/>
    <tableColumn id="279" xr3:uid="{1A872F1D-6D1A-4DA2-AECA-9C2F5DED01C2}" name="Provider Spoken - Turkish " dataDxfId="147" dataCellStyle="Comma"/>
    <tableColumn id="280" xr3:uid="{279E7890-6665-46B8-AD62-B295664BAE50}" name="Provider Spoken - Hebrew " dataDxfId="146" dataCellStyle="Comma"/>
    <tableColumn id="281" xr3:uid="{DCE8FF2B-7B96-419F-8F36-AA204BEC6ED8}" name="Provider Spoken - French " dataDxfId="145" dataCellStyle="Comma"/>
    <tableColumn id="282" xr3:uid="{C205CE90-127E-4C16-801F-CF13CC5D8892}" name="Provider Spoken - Polish " dataDxfId="144" dataCellStyle="Comma"/>
    <tableColumn id="283" xr3:uid="{FF711911-97EE-4A20-8DD5-5DB948C4A925}" name="Provider Spoken - Russian " dataDxfId="143" dataCellStyle="Comma"/>
    <tableColumn id="284" xr3:uid="{820F3661-46EC-4E3F-85C2-7797C1BFDB25}" name="Provider Spoken - Portuguese " dataDxfId="142" dataCellStyle="Comma"/>
    <tableColumn id="285" xr3:uid="{9BB15AF1-20DC-49F4-A55C-FA086A8CB126}" name="Provider Spoken - Italian " dataDxfId="141" dataCellStyle="Comma"/>
    <tableColumn id="286" xr3:uid="{EDEABD1D-0C16-4132-899F-0B48636A2D20}" name="Provider Spoken - Arabic " dataDxfId="140" dataCellStyle="Comma"/>
    <tableColumn id="287" xr3:uid="{5DAF198C-3D6F-481A-803B-F6D2617BA370}" name="Provider Spoken - Samoan " dataDxfId="139" dataCellStyle="Comma"/>
    <tableColumn id="288" xr3:uid="{94E72EE3-C1D5-40F9-A650-C93E4D70B30E}" name="Provider Spoken - Thai " dataDxfId="138" dataCellStyle="Percent"/>
    <tableColumn id="289" xr3:uid="{5BB13570-EE85-41C0-A9DE-D0FC7555ED19}" name="Provider Spoken - Farsi " dataDxfId="137" dataCellStyle="Percent"/>
    <tableColumn id="290" xr3:uid="{2FF375B0-887A-415B-9594-CB0B9E424207}" name="Provider Spoken - Vietnamese " dataDxfId="136" dataCellStyle="Percent"/>
    <tableColumn id="317" xr3:uid="{F422E955-C885-4083-B5A3-97A6B6F598AB}" name="Provider Spoken Language - Hindi  " dataDxfId="135" dataCellStyle="Percent"/>
    <tableColumn id="318" xr3:uid="{12E1001D-8BD5-4CC5-B30F-BDD93319B924}" name="Provider Spoken Language - Punjabi  " dataDxfId="134" dataCellStyle="Percent"/>
    <tableColumn id="319" xr3:uid="{B5B165AB-B149-4C1C-83AA-9259B3BE6D98}" name="Provider Spoken Language - Ukrainian  " dataDxfId="133" dataCellStyle="Percent"/>
    <tableColumn id="453" xr3:uid="{ABEE7C8D-5422-47B5-AF57-F701E4A73789}" name="White Apps Equity " dataDxfId="132" dataCellStyle="Percent"/>
    <tableColumn id="454" xr3:uid="{BFAE82A4-E935-406D-894F-527410A39BD3}" name="Hispanic Apps Equity " dataDxfId="131" dataCellStyle="Percent"/>
    <tableColumn id="455" xr3:uid="{C9120283-77AB-4B1A-9D27-EC195F3EA82C}" name="Black Apps Equity " dataDxfId="130" dataCellStyle="Percent"/>
    <tableColumn id="456" xr3:uid="{090C3A9E-0D3C-4F06-98FB-F2FA1EA94798}" name="Asian Pacific Apps Equity " dataDxfId="129" dataCellStyle="Percent"/>
    <tableColumn id="457" xr3:uid="{B2F31C63-D4E0-44B8-8B77-3213AF8FC90A}" name="Alaskan Native Apps Equity " dataDxfId="128" dataCellStyle="Percent"/>
    <tableColumn id="458" xr3:uid="{4DA58C3B-91E1-401A-A5CD-71FC83757496}" name="Filipino Apps Equity " dataDxfId="127" dataCellStyle="Percent"/>
    <tableColumn id="459" xr3:uid="{54DDAEF7-F9CA-4351-9E33-B6EA8357D36B}" name="No Valid Data Apps Equity " dataDxfId="126" dataCellStyle="Percent"/>
    <tableColumn id="460" xr3:uid="{370C5275-CDAA-4DB1-8E35-5A5EBD445684}" name="Amerasion Apps Equity " dataDxfId="125" dataCellStyle="Percent"/>
    <tableColumn id="461" xr3:uid="{A43B3361-E00E-4CC1-A1BC-36330B28202E}" name="Chinese Apps Equity " dataDxfId="124" dataCellStyle="Percent"/>
    <tableColumn id="462" xr3:uid="{D7D335D7-7BD4-4A15-B6F0-CF6AC3D219B2}" name="Cambodian Apps Equity " dataDxfId="123" dataCellStyle="Percent"/>
    <tableColumn id="464" xr3:uid="{D59FA342-A7D8-4DC2-9869-853B29454682}" name="Japanese Apps Equity " dataDxfId="122" dataCellStyle="Percent"/>
    <tableColumn id="465" xr3:uid="{4FC3A1E9-4120-4E46-A501-EB51C1E8022A}" name="Korean Apps Equity " dataDxfId="121" dataCellStyle="Percent"/>
    <tableColumn id="466" xr3:uid="{BF326B2D-98BE-4064-AC14-FC2F06F67842}" name="Samoan Apps Equity " dataDxfId="120" dataCellStyle="Percent"/>
    <tableColumn id="467" xr3:uid="{68A4D3DE-1B99-4E8C-A625-FD1579D4B254}" name="Asian Indian Apps Equity " dataDxfId="119" dataCellStyle="Percent"/>
    <tableColumn id="468" xr3:uid="{E459B963-5B6C-4D21-A186-7C6466293A53}" name="Hawaiian Apps Equity " dataDxfId="118" dataCellStyle="Percent"/>
    <tableColumn id="469" xr3:uid="{519D45FC-64C6-40D8-A781-B3FFC7F90F73}" name="Guamanian Apps Equity " dataDxfId="117" dataCellStyle="Percent"/>
    <tableColumn id="470" xr3:uid="{90837FBC-8BC6-4B4F-91A4-662267949FA9}" name="Laotian Apps Equity " dataDxfId="116" dataCellStyle="Percent"/>
    <tableColumn id="471" xr3:uid="{59BA4554-8C11-4F4E-BD94-4F6FF4BC1B5C}" name="Vietnamese Apps Equity " dataDxfId="115" dataCellStyle="Percent"/>
    <tableColumn id="472" xr3:uid="{641CCB06-8041-45C7-A3A1-9C711A7970E8}" name="Other Apps Equity " dataDxfId="114" dataCellStyle="Percent"/>
    <tableColumn id="473" xr3:uid="{DF0BDD85-8776-4B30-92ED-9CC4614EBDCC}" name="White Denials Equity " dataDxfId="113" dataCellStyle="Percent"/>
    <tableColumn id="474" xr3:uid="{29B98C85-C477-4853-A1BC-65AD387A2691}" name="Hispanic Denials Equity " dataDxfId="112" dataCellStyle="Percent"/>
    <tableColumn id="475" xr3:uid="{35A1B0D9-B4D7-4BA5-90D0-1A666DBA862C}" name="Black Denials Equity " dataDxfId="111" dataCellStyle="Percent"/>
    <tableColumn id="476" xr3:uid="{E41AF604-D037-4136-9231-C2D63E402563}" name="Asian Pacific Denials Equity " dataDxfId="110" dataCellStyle="Percent"/>
    <tableColumn id="477" xr3:uid="{67F8EC92-8C07-4C05-A705-7F860B23BCD4}" name="Alaskan Native Denials Equity " dataDxfId="109" dataCellStyle="Percent"/>
    <tableColumn id="478" xr3:uid="{54BE8722-0659-43E0-A9CF-789942852ACA}" name="Filipino Denials Equity " dataDxfId="108" dataCellStyle="Percent"/>
    <tableColumn id="479" xr3:uid="{CEB2CADA-2FE3-4C66-9930-DB3839F14DC1}" name="No Valid Data Denials Equity " dataDxfId="107" dataCellStyle="Percent"/>
    <tableColumn id="480" xr3:uid="{3ED7D583-21AD-498A-BC2F-699F5B4CA879}" name="Amerasion Denials Equity " dataDxfId="106" dataCellStyle="Percent"/>
    <tableColumn id="481" xr3:uid="{95AE9701-76F3-451A-BA6C-0E5230EF4F34}" name="Chinese Denials Equity " dataDxfId="105" dataCellStyle="Percent"/>
    <tableColumn id="482" xr3:uid="{7827D54B-C9C3-4684-B708-1F9B69570E3B}" name="Cambodian Denials Equity " dataDxfId="104" dataCellStyle="Percent"/>
    <tableColumn id="483" xr3:uid="{FD9409B1-1492-426D-8C1E-A8F761BF21F6}" name="Japanese Denials Equity " dataDxfId="103" dataCellStyle="Percent"/>
    <tableColumn id="484" xr3:uid="{1803A936-E101-424B-A395-621513FDF019}" name="Korean Denials Equity " dataDxfId="102" dataCellStyle="Percent"/>
    <tableColumn id="485" xr3:uid="{BA2E7F7C-DD06-438E-9ADD-CFEF65264941}" name="Samoan Denials Equity " dataDxfId="101" dataCellStyle="Percent"/>
    <tableColumn id="486" xr3:uid="{C54104BA-5BAD-457D-9882-00B3F738C566}" name="Asian Indian Denials Equity " dataDxfId="100" dataCellStyle="Percent"/>
    <tableColumn id="487" xr3:uid="{D91E0D61-5F09-467E-8DC5-66A1B8403A63}" name="Hawaiian Denials Equity " dataDxfId="99" dataCellStyle="Percent"/>
    <tableColumn id="488" xr3:uid="{AD8983EE-A749-46B3-B5A8-EE515E5F90F0}" name="Guamanian Denials Equity " dataDxfId="98" dataCellStyle="Percent"/>
    <tableColumn id="489" xr3:uid="{2536F36C-429B-4CB1-9F34-930F6BE82249}" name="Laotian Denials Equity " dataDxfId="97" dataCellStyle="Percent"/>
    <tableColumn id="490" xr3:uid="{8863A5AF-803E-4AE9-8D9B-59D4922B083A}" name="Vietnamese Denials Equity " dataDxfId="96" dataCellStyle="Percent"/>
    <tableColumn id="491" xr3:uid="{34F4525B-3847-4C50-B033-5034AFF16B00}" name="Other Denials Equity " dataDxfId="95" dataCellStyle="Percent"/>
    <tableColumn id="492" xr3:uid="{15FA4F3A-5457-4968-95B6-349F0750CEE9}" name="White Auth Hours Equity " dataDxfId="94" dataCellStyle="Percent"/>
    <tableColumn id="493" xr3:uid="{7F7BD998-8F7E-4D71-8E03-DB3D8F5A11CF}" name="Hispanic Auth Hours Equity " dataDxfId="93" dataCellStyle="Percent"/>
    <tableColumn id="494" xr3:uid="{2EDD19E1-40CF-4AA6-8081-96153C5DBB8B}" name="Black Auth Hours Equity " dataDxfId="92" dataCellStyle="Percent"/>
    <tableColumn id="495" xr3:uid="{57BA72FC-C38E-4B28-A457-BD525F767B56}" name="Asian Pacific Auth Hours Equity " dataDxfId="91" dataCellStyle="Percent"/>
    <tableColumn id="496" xr3:uid="{1BC35951-E21A-4158-8A80-3E58D5CA496D}" name="Alaskan Native Auth Hours Equity " dataDxfId="90" dataCellStyle="Percent"/>
    <tableColumn id="497" xr3:uid="{A084FE3D-7D06-4F13-8296-50EB6067F81F}" name="Filipino Auth Hours Equity " dataDxfId="89" dataCellStyle="Percent"/>
    <tableColumn id="498" xr3:uid="{2FD7F279-5C1D-4C3D-ADE6-0E22A3D7DF3D}" name="No Valid Data Auth Hours Equity " dataDxfId="88" dataCellStyle="Percent"/>
    <tableColumn id="499" xr3:uid="{56CF8A31-B7EF-410C-9217-F83EBB39032A}" name="Amerasion Auth Hours Equity " dataDxfId="87" dataCellStyle="Percent"/>
    <tableColumn id="500" xr3:uid="{6DB906C5-5748-4BFE-A7C1-D670064F6928}" name="Chinese Auth Hours Equity " dataDxfId="86" dataCellStyle="Percent"/>
    <tableColumn id="501" xr3:uid="{D2D9A9DF-408D-4DF0-AC05-D2B8F08D6AAB}" name="Cambodian Auth Hours Equity " dataDxfId="85" dataCellStyle="Percent"/>
    <tableColumn id="502" xr3:uid="{03F84421-2BF0-47BD-A1D5-0E2AC5216474}" name="Japanese Auth Hours Equity " dataDxfId="84" dataCellStyle="Percent"/>
    <tableColumn id="503" xr3:uid="{47ACD646-ABED-4C53-BF4D-3BE6EAAB8569}" name="Korean Auth Hours Equity " dataDxfId="83" dataCellStyle="Percent"/>
    <tableColumn id="504" xr3:uid="{D33D4574-6D29-4CB9-A07F-3C1F482D4B1F}" name="Samoan Auth Hours Equity " dataDxfId="82" dataCellStyle="Percent"/>
    <tableColumn id="505" xr3:uid="{E245A272-F92D-4D90-8600-D6B4712CB5E1}" name="Asian Indian Auth Hours Equity " dataDxfId="81" dataCellStyle="Percent"/>
    <tableColumn id="506" xr3:uid="{FB19B771-F734-40F7-B177-D4F820EF4E60}" name="Hawaiian Auth Hours Equity " dataDxfId="80" dataCellStyle="Percent"/>
    <tableColumn id="507" xr3:uid="{BA3B07CA-0A95-4E29-8D60-72283172FABE}" name="Guamanian Auth Hours Equity " dataDxfId="79" dataCellStyle="Percent"/>
    <tableColumn id="508" xr3:uid="{EC26E6DD-73E3-49BB-A66E-63E4926406AD}" name="Laotian Auth Hours Equity " dataDxfId="78" dataCellStyle="Percent"/>
    <tableColumn id="509" xr3:uid="{CE5D6AA2-2A15-4AA1-9F2E-5D75B3963B0D}" name="Vietnamese Auth Hours Equity " dataDxfId="77" dataCellStyle="Percent"/>
    <tableColumn id="510" xr3:uid="{3C761126-E463-4918-BB5F-B7BDC0D9B39E}" name="Other Auth Hours Equity " dataDxfId="76" dataCellStyle="Percent"/>
    <tableColumn id="511" xr3:uid="{37CB58E5-A77C-4A02-B3E5-02EF933AB808}" name="White PS Equity " dataDxfId="75" dataCellStyle="Percent"/>
    <tableColumn id="512" xr3:uid="{0BAF5092-4893-4F5A-BE6C-A129F8FB7195}" name="Hispanic PS Equity " dataDxfId="74" dataCellStyle="Percent"/>
    <tableColumn id="513" xr3:uid="{6D4B23E1-D97A-46BE-8DFA-D5D65659B928}" name="Black PS Equity " dataDxfId="73" dataCellStyle="Percent"/>
    <tableColumn id="514" xr3:uid="{267E1F13-CD51-4ADD-80A2-DB216C8A07F6}" name="Asian Pacific PS Equity " dataDxfId="72" dataCellStyle="Percent"/>
    <tableColumn id="515" xr3:uid="{106D541D-EA26-4F08-B307-8777291B6286}" name="Alaskan Native PS Equity " dataDxfId="71" dataCellStyle="Percent"/>
    <tableColumn id="516" xr3:uid="{BB2535A5-9F2C-41B0-8158-C1A1EC1303CC}" name="Filipino PS Equity " dataDxfId="70" dataCellStyle="Percent"/>
    <tableColumn id="517" xr3:uid="{A4E3C6C1-32BD-4689-A530-2C116DF35D89}" name="No Valid Data PS Equity " dataDxfId="69" dataCellStyle="Percent"/>
    <tableColumn id="518" xr3:uid="{B162AABC-B953-46A1-8313-B982608173C5}" name="Amerasion PS Equity " dataDxfId="68" dataCellStyle="Percent"/>
    <tableColumn id="519" xr3:uid="{CCB78E20-DADE-4682-A2BF-C544EE9B6D9B}" name="Chinese PS Equity " dataDxfId="67" dataCellStyle="Percent"/>
    <tableColumn id="520" xr3:uid="{DFF2F714-2D6F-4E8E-8769-2E27EA56A18C}" name="Cambodian PS Equity " dataDxfId="66" dataCellStyle="Percent"/>
    <tableColumn id="521" xr3:uid="{3372CB15-0A5C-42C5-AD0E-77AAD80BC0F6}" name="Japanese PS Equity " dataDxfId="65" dataCellStyle="Percent"/>
    <tableColumn id="522" xr3:uid="{5B9F5E91-31B5-46E2-9E83-2469172D490D}" name="Korean PS Equity " dataDxfId="64" dataCellStyle="Percent"/>
    <tableColumn id="523" xr3:uid="{2ECDFFC8-A6C9-41E2-8D1D-7271BA501B2C}" name="Samoan PS Equity " dataDxfId="63" dataCellStyle="Percent"/>
    <tableColumn id="524" xr3:uid="{5FE4E5E7-6E82-4CF6-9653-2BEBF4BAB8D4}" name="Asian Indian PS Equity " dataDxfId="62" dataCellStyle="Percent"/>
    <tableColumn id="525" xr3:uid="{5951C396-370F-4182-8B37-3A4E934B8877}" name="Hawaiian PS Equity " dataDxfId="61" dataCellStyle="Percent"/>
    <tableColumn id="526" xr3:uid="{49FFA663-2602-4DBE-843F-4E759A4F1014}" name="Guamanian PS Equity " dataDxfId="60" dataCellStyle="Percent"/>
    <tableColumn id="527" xr3:uid="{24D131B8-C0F2-49A8-983F-07F4055E5533}" name="Laotian PS Equity " dataDxfId="59" dataCellStyle="Percent"/>
    <tableColumn id="528" xr3:uid="{CF4953AC-A8AB-460E-BEC5-B083E3816A7B}" name="Vietnamese PS Equity " dataDxfId="58" dataCellStyle="Percent"/>
    <tableColumn id="529" xr3:uid="{C4A06AA7-0B21-46A3-A79C-06F9D75525DC}" name="Other PS Equity " dataDxfId="57" dataCellStyle="Percent"/>
    <tableColumn id="530" xr3:uid="{C7B645A7-1A74-493D-B0B2-78F73243C8FC}" name="White PM Equity " dataDxfId="56" dataCellStyle="Percent"/>
    <tableColumn id="531" xr3:uid="{46AD502E-2240-4C83-A6AE-375FBDDBABEB}" name="Hispanic PM Equity " dataDxfId="55" dataCellStyle="Percent"/>
    <tableColumn id="532" xr3:uid="{2FEF0309-FC93-49F6-9060-C86A444C4BB2}" name="Black PM Equity " dataDxfId="54" dataCellStyle="Percent"/>
    <tableColumn id="533" xr3:uid="{73E350AA-3622-4B34-8BED-0B57C83C3453}" name="Asian Pacific PM Equity " dataDxfId="53" dataCellStyle="Percent"/>
    <tableColumn id="534" xr3:uid="{C6B7D4D9-23AE-4420-BF79-76251B1B63E5}" name="Alaskan Native PM Equity " dataDxfId="52" dataCellStyle="Percent"/>
    <tableColumn id="535" xr3:uid="{89040BB6-2B74-46DF-8926-0C66357EFEEF}" name="Filipino PM Equity " dataDxfId="51" dataCellStyle="Percent"/>
    <tableColumn id="536" xr3:uid="{5290455B-2525-4A7A-A493-F004A6FAF491}" name="No Valid Data PM Equity " dataDxfId="50" dataCellStyle="Percent"/>
    <tableColumn id="537" xr3:uid="{AB95EF7D-A816-4106-A5A3-A01C311C19D5}" name="Amerasion PM Equity " dataDxfId="49" dataCellStyle="Percent"/>
    <tableColumn id="538" xr3:uid="{658EFFA0-6C41-4943-A145-5E388BE560A5}" name="Chinese PM Equity " dataDxfId="48" dataCellStyle="Percent"/>
    <tableColumn id="539" xr3:uid="{264B17F3-FA91-4F9E-A1AE-05EAFA68B287}" name="Cambodian PM Equity " dataDxfId="47" dataCellStyle="Percent"/>
    <tableColumn id="540" xr3:uid="{AEC1BE66-AC91-4B2D-B9E9-2580A7287EA3}" name="Japanese PM Equity " dataDxfId="46" dataCellStyle="Percent"/>
    <tableColumn id="541" xr3:uid="{12014DAE-CD3F-43EC-AFB8-D5C47F5303F3}" name="Korean PM Equity " dataDxfId="45" dataCellStyle="Percent"/>
    <tableColumn id="542" xr3:uid="{C4011E7A-3990-465E-B13B-B500F3C94F37}" name="Samoan PM Equity " dataDxfId="44" dataCellStyle="Percent"/>
    <tableColumn id="543" xr3:uid="{52D0AE28-7D02-4638-B013-9B9CD3070014}" name="Asian Indian PM Equity " dataDxfId="43" dataCellStyle="Percent"/>
    <tableColumn id="544" xr3:uid="{6C2D5521-116C-4E9E-B3D9-7E6545D0AFB7}" name="Hawaiian PM Equity " dataDxfId="42" dataCellStyle="Percent"/>
    <tableColumn id="545" xr3:uid="{DB103122-5A20-4344-93EA-62436D0EB963}" name="Guamanian PM Equity " dataDxfId="41" dataCellStyle="Percent"/>
    <tableColumn id="546" xr3:uid="{2C3E6220-DC99-44AB-8496-F88BF129C334}" name="Laotian PM Equity " dataDxfId="40" dataCellStyle="Percent"/>
    <tableColumn id="547" xr3:uid="{D40D5A41-C0FA-4788-AFC9-4571417B363B}" name="Vietnamese PM Equity " dataDxfId="39" dataCellStyle="Percent"/>
    <tableColumn id="548" xr3:uid="{6CACCAB3-47DE-4269-94BA-4C3EECAA6140}" name="Other PM Equity " dataDxfId="38" dataCellStyle="Percent"/>
    <tableColumn id="549" xr3:uid="{99411DF1-DACB-4E21-8347-66A5D4EA24C2}" name="White NSI Equity " dataDxfId="37" dataCellStyle="Percent"/>
    <tableColumn id="550" xr3:uid="{D699CF5F-1450-453D-9686-E7179F728C45}" name="Hispanic NSI Equity " dataDxfId="36" dataCellStyle="Percent"/>
    <tableColumn id="551" xr3:uid="{8C3237AF-4448-4B66-A2B4-AF34EA3C7697}" name="Black NSI Equity " dataDxfId="35" dataCellStyle="Percent"/>
    <tableColumn id="552" xr3:uid="{FF0E0CE8-9EBC-410E-A3A1-FB12B2FFD10E}" name="Asian Pacific NSI Equity " dataDxfId="34" dataCellStyle="Percent"/>
    <tableColumn id="553" xr3:uid="{1E5F02B5-C703-4AAD-930F-B93FD8848230}" name="Alaskan Native NSI Equity " dataDxfId="33" dataCellStyle="Percent"/>
    <tableColumn id="554" xr3:uid="{6EE88466-4966-4DA2-95ED-900B98AC490B}" name="Filipino NSI Equity " dataDxfId="32" dataCellStyle="Percent"/>
    <tableColumn id="555" xr3:uid="{C37E3ACF-E011-4737-8479-112C25440FF7}" name="No Valid Data NSI Equity " dataDxfId="31" dataCellStyle="Percent"/>
    <tableColumn id="556" xr3:uid="{663252C3-E3CB-4F8C-9510-9777B44E429C}" name="Amerasion NSI Equity " dataDxfId="30" dataCellStyle="Percent"/>
    <tableColumn id="557" xr3:uid="{2740489A-093A-4029-85AE-CE26309EF114}" name="Chinese NSI Equity " dataDxfId="29" dataCellStyle="Percent"/>
    <tableColumn id="558" xr3:uid="{5F1144AC-625E-4E63-8B8C-80F216DA0DFD}" name="Cambodian NSI Equity " dataDxfId="28" dataCellStyle="Percent"/>
    <tableColumn id="559" xr3:uid="{1B5FE694-2DFF-4F87-92B0-492174153BE6}" name="Japanese NSI Equity " dataDxfId="27" dataCellStyle="Percent"/>
    <tableColumn id="560" xr3:uid="{6E6F8210-D436-4C11-B0D0-E67E3FF52915}" name="Korean NSI Equity " dataDxfId="26" dataCellStyle="Percent"/>
    <tableColumn id="561" xr3:uid="{09582132-6105-4E24-82D3-00888C65BF7D}" name="Samoan NSI Equity " dataDxfId="25" dataCellStyle="Percent"/>
    <tableColumn id="562" xr3:uid="{4A8E77F0-632C-4479-863D-7157684A529E}" name="Asian Indian NSI Equity " dataDxfId="24" dataCellStyle="Percent"/>
    <tableColumn id="563" xr3:uid="{13D920A9-C118-4876-8428-0D3FE387B743}" name="Hawaiian NSI Equity " dataDxfId="23" dataCellStyle="Percent"/>
    <tableColumn id="564" xr3:uid="{E0F1CE8A-68D3-42B7-B5ED-C9C591B321D0}" name="Guamanian NSI Equity " dataDxfId="22" dataCellStyle="Percent"/>
    <tableColumn id="565" xr3:uid="{A212C888-D56B-4683-ABA1-1DF112DFB286}" name="Laotian NSI Equity " dataDxfId="21" dataCellStyle="Percent"/>
    <tableColumn id="566" xr3:uid="{E03C870E-1DFA-46A4-9C8D-4ADF4A06CDA7}" name="Vietnamese NSI Equity " dataDxfId="20" dataCellStyle="Percent"/>
    <tableColumn id="567" xr3:uid="{8549EE1E-6C28-465E-8B88-BB32AAA23E7B}" name="Other NSI Equity " dataDxfId="19" dataCellStyle="Percent"/>
    <tableColumn id="568" xr3:uid="{445A2292-7E0C-4100-8E47-7A3FBB75FF93}" name="White SI Equity " dataDxfId="18" dataCellStyle="Percent"/>
    <tableColumn id="569" xr3:uid="{70D53BB2-1D8D-491D-B6A6-10FB15854506}" name="Hispanic SI Equity " dataDxfId="17" dataCellStyle="Percent"/>
    <tableColumn id="570" xr3:uid="{BE575D25-C552-41EC-B5A0-71659550CD06}" name="Black SI Equity " dataDxfId="16" dataCellStyle="Percent"/>
    <tableColumn id="571" xr3:uid="{3DD48104-4248-4715-AD82-BD0D4E4CF2DB}" name="Asian Pacific SI Equity " dataDxfId="15" dataCellStyle="Percent"/>
    <tableColumn id="572" xr3:uid="{D54AD6CF-C991-4AB8-B96C-44C848C658F0}" name="Alaskan Native SI Equity " dataDxfId="14" dataCellStyle="Percent"/>
    <tableColumn id="573" xr3:uid="{677B893E-7DB4-4415-BAF7-DF257D097184}" name="Filipino SI Equity " dataDxfId="13" dataCellStyle="Percent"/>
    <tableColumn id="574" xr3:uid="{7C0A6F1F-E709-41AA-A093-882FBA0FB868}" name="No Valid Data SI Equity " dataDxfId="12" dataCellStyle="Percent"/>
    <tableColumn id="575" xr3:uid="{11648520-27BA-4FC4-AC56-D3FFD109CF22}" name="Amerasion SI Equity " dataDxfId="11" dataCellStyle="Percent"/>
    <tableColumn id="576" xr3:uid="{6DA381AF-4ECB-4947-92E8-0509624D1FDA}" name="Chinese SI Equity " dataDxfId="10" dataCellStyle="Percent"/>
    <tableColumn id="577" xr3:uid="{BBCE34D9-2949-4C04-B722-B6A40624A10E}" name="Cambodian SI Equity " dataDxfId="9" dataCellStyle="Percent"/>
    <tableColumn id="578" xr3:uid="{46AF7753-77DB-4DD9-BACC-6B5C472EA573}" name="Japanese SI Equity " dataDxfId="8" dataCellStyle="Percent"/>
    <tableColumn id="579" xr3:uid="{8579679B-6B81-4C4A-BDEA-BCB72B9EDED8}" name="Korean SI Equity " dataDxfId="7" dataCellStyle="Percent"/>
    <tableColumn id="580" xr3:uid="{783E78C7-9DA7-4E6F-AAD5-A6411F6FDE68}" name="Samoan SI Equity " dataDxfId="6" dataCellStyle="Percent"/>
    <tableColumn id="581" xr3:uid="{69056610-C3D9-4F01-84CA-BBDFA2DB8E3B}" name="Asian Indian SI Equity " dataDxfId="5" dataCellStyle="Percent"/>
    <tableColumn id="582" xr3:uid="{D1399791-F3BD-4DD9-9690-48CA04E524ED}" name="Hawaiian SI Equity " dataDxfId="4" dataCellStyle="Percent"/>
    <tableColumn id="583" xr3:uid="{8C842A50-5EE1-40EA-B40A-BC0BC4235C0A}" name="Guamanian SI Equity " dataDxfId="3" dataCellStyle="Percent"/>
    <tableColumn id="584" xr3:uid="{D68507EF-F77B-4F2C-9CD5-ECC190447815}" name="Laotian SI Equity " dataDxfId="2" dataCellStyle="Percent"/>
    <tableColumn id="585" xr3:uid="{F4430DD6-AF87-4A4C-87B9-BA7D8E5C53B8}" name="Vietnamese SI Equity " dataDxfId="1" dataCellStyle="Percent"/>
    <tableColumn id="586" xr3:uid="{DD5E87A7-B308-40AD-9D5C-B922D828A278}" name="Other SI Equity " dataDxfId="0" dataCellStyle="Percent"/>
  </tableColumns>
  <tableStyleInfo name="Table Style 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5.xml"/><Relationship Id="rId1" Type="http://schemas.openxmlformats.org/officeDocument/2006/relationships/printerSettings" Target="../printerSettings/printerSettings12.bin"/><Relationship Id="rId5" Type="http://schemas.openxmlformats.org/officeDocument/2006/relationships/table" Target="../tables/table3.xml"/><Relationship Id="rId4"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22"/>
  <sheetViews>
    <sheetView showGridLines="0" showRowColHeaders="0" tabSelected="1" zoomScaleNormal="100" workbookViewId="0">
      <pane ySplit="4" topLeftCell="A5" activePane="bottomLeft" state="frozen"/>
      <selection activeCell="A5" sqref="A5"/>
      <selection pane="bottomLeft" activeCell="A2" sqref="A2"/>
    </sheetView>
  </sheetViews>
  <sheetFormatPr defaultColWidth="0" defaultRowHeight="15" customHeight="1" zeroHeight="1" x14ac:dyDescent="0.35"/>
  <cols>
    <col min="1" max="1" width="25" customWidth="1"/>
    <col min="2" max="2" width="18.54296875" style="732" customWidth="1"/>
    <col min="3" max="3" width="23.54296875" style="732" customWidth="1"/>
    <col min="4" max="4" width="18.54296875" style="732" customWidth="1"/>
    <col min="5" max="5" width="18.1796875" style="732" customWidth="1"/>
    <col min="6" max="6" width="20" style="732" customWidth="1"/>
    <col min="7" max="7" width="20.54296875" style="732" customWidth="1"/>
    <col min="8" max="8" width="21.453125" style="732" customWidth="1"/>
    <col min="9" max="9" width="22.81640625" style="732" customWidth="1"/>
    <col min="10" max="10" width="21.54296875" style="732" customWidth="1"/>
    <col min="11" max="12" width="18.1796875" style="732" customWidth="1"/>
    <col min="13" max="13" width="9.1796875" customWidth="1"/>
    <col min="14" max="24" width="0" hidden="1" customWidth="1"/>
    <col min="25" max="16384" width="6.81640625" hidden="1"/>
  </cols>
  <sheetData>
    <row r="1" spans="1:23" ht="0.75" customHeight="1" x14ac:dyDescent="0.35">
      <c r="A1" s="321" t="s">
        <v>640</v>
      </c>
      <c r="B1" s="26"/>
      <c r="C1" s="26"/>
      <c r="D1" s="3"/>
      <c r="E1" s="3"/>
      <c r="F1" s="3"/>
      <c r="G1" s="3"/>
      <c r="H1" s="3"/>
      <c r="I1" s="3"/>
      <c r="J1" s="3"/>
      <c r="K1" s="3"/>
      <c r="L1" s="4"/>
      <c r="M1" s="2"/>
      <c r="N1" s="2"/>
      <c r="O1" s="2"/>
      <c r="P1" s="2"/>
      <c r="Q1" s="2"/>
      <c r="R1" s="2"/>
      <c r="S1" s="2"/>
      <c r="T1" s="2"/>
      <c r="U1" s="2"/>
      <c r="V1" s="2"/>
      <c r="W1" s="2"/>
    </row>
    <row r="2" spans="1:23" ht="24.75" customHeight="1" x14ac:dyDescent="0.35">
      <c r="A2" s="8" t="s">
        <v>99</v>
      </c>
      <c r="B2" s="5"/>
      <c r="C2"/>
      <c r="D2"/>
      <c r="E2" s="3"/>
      <c r="F2" s="2"/>
      <c r="G2"/>
      <c r="H2"/>
      <c r="I2"/>
      <c r="J2"/>
      <c r="K2"/>
      <c r="L2"/>
      <c r="P2" s="2"/>
    </row>
    <row r="3" spans="1:23" ht="16.5" customHeight="1" x14ac:dyDescent="0.35">
      <c r="A3" s="6" t="str">
        <f>Data!A72 &amp;" Size County"</f>
        <v xml:space="preserve"> Size County</v>
      </c>
      <c r="B3" s="5"/>
      <c r="C3"/>
      <c r="D3"/>
      <c r="E3"/>
      <c r="F3"/>
      <c r="G3"/>
      <c r="H3"/>
      <c r="I3"/>
      <c r="J3"/>
      <c r="K3"/>
      <c r="L3"/>
    </row>
    <row r="4" spans="1:23" ht="11.25" customHeight="1" thickBot="1" x14ac:dyDescent="0.4">
      <c r="A4" s="452"/>
      <c r="B4" s="452"/>
      <c r="C4" s="452"/>
      <c r="D4" s="452"/>
      <c r="E4" s="452"/>
      <c r="F4" s="452"/>
      <c r="G4" s="452"/>
      <c r="H4" s="452"/>
      <c r="I4" s="452"/>
      <c r="J4" s="452"/>
      <c r="K4" s="452"/>
      <c r="L4" s="452"/>
      <c r="M4" s="452"/>
      <c r="N4" s="1"/>
      <c r="O4" s="1"/>
      <c r="P4" s="1"/>
      <c r="Q4" s="1"/>
      <c r="R4" s="1"/>
      <c r="S4" s="1"/>
      <c r="T4" s="1"/>
      <c r="U4" s="1"/>
      <c r="V4" s="1"/>
      <c r="W4" s="1"/>
    </row>
    <row r="5" spans="1:23" ht="21.75" customHeight="1" thickTop="1" x14ac:dyDescent="0.35">
      <c r="A5" s="453" t="s">
        <v>433</v>
      </c>
      <c r="B5" s="454"/>
      <c r="C5" s="454"/>
      <c r="D5" s="454"/>
      <c r="E5" s="454"/>
      <c r="F5" s="454"/>
      <c r="G5" s="454"/>
      <c r="H5" s="454"/>
      <c r="I5" s="454"/>
      <c r="J5" s="454"/>
      <c r="K5" s="454"/>
      <c r="L5" s="455"/>
      <c r="M5" s="455"/>
    </row>
    <row r="6" spans="1:23" ht="23.25" customHeight="1" x14ac:dyDescent="0.5">
      <c r="A6" s="319">
        <v>45170</v>
      </c>
      <c r="B6" s="28"/>
      <c r="C6" s="31"/>
      <c r="D6" s="28"/>
      <c r="E6" s="320" t="s">
        <v>550</v>
      </c>
      <c r="F6" s="28"/>
      <c r="G6" s="28"/>
      <c r="H6" s="28"/>
      <c r="I6" s="28"/>
      <c r="J6" s="28"/>
      <c r="K6" s="28"/>
      <c r="L6"/>
    </row>
    <row r="7" spans="1:23" ht="21" customHeight="1" x14ac:dyDescent="0.35">
      <c r="A7" s="795" t="s">
        <v>555</v>
      </c>
      <c r="B7" s="796"/>
      <c r="C7" s="796"/>
      <c r="D7" s="796"/>
      <c r="E7" s="796"/>
      <c r="F7" s="796"/>
      <c r="G7" s="796"/>
      <c r="H7" s="796"/>
      <c r="I7" s="796"/>
      <c r="J7" s="796"/>
      <c r="K7" s="796"/>
      <c r="L7"/>
    </row>
    <row r="8" spans="1:23" ht="117" customHeight="1" x14ac:dyDescent="0.35">
      <c r="A8" s="797" t="s">
        <v>643</v>
      </c>
      <c r="B8" s="797"/>
      <c r="C8" s="797"/>
      <c r="D8" s="797"/>
      <c r="E8" s="797"/>
      <c r="F8" s="797"/>
      <c r="G8" s="797"/>
      <c r="H8" s="797"/>
      <c r="I8" s="797"/>
      <c r="J8" s="797"/>
      <c r="K8" s="797"/>
      <c r="L8"/>
    </row>
    <row r="9" spans="1:23" ht="6.75" customHeight="1" x14ac:dyDescent="0.35">
      <c r="A9" s="7"/>
      <c r="B9" s="7"/>
      <c r="C9" s="7"/>
      <c r="D9" s="7"/>
      <c r="E9" s="7"/>
      <c r="F9" s="7"/>
      <c r="G9" s="7"/>
      <c r="H9" s="7"/>
      <c r="I9" s="7"/>
      <c r="J9" s="7"/>
      <c r="K9" s="7"/>
      <c r="L9"/>
    </row>
    <row r="10" spans="1:23" ht="5.25" customHeight="1" x14ac:dyDescent="0.35">
      <c r="B10"/>
      <c r="C10"/>
      <c r="D10"/>
      <c r="E10"/>
      <c r="F10"/>
      <c r="G10"/>
      <c r="H10"/>
      <c r="I10"/>
      <c r="J10"/>
      <c r="K10"/>
      <c r="L10"/>
    </row>
    <row r="11" spans="1:23" ht="48" customHeight="1" x14ac:dyDescent="0.35">
      <c r="A11" s="702" t="s">
        <v>377</v>
      </c>
      <c r="B11" s="703" t="s">
        <v>378</v>
      </c>
      <c r="C11" s="703" t="s">
        <v>538</v>
      </c>
      <c r="D11" s="703" t="s">
        <v>714</v>
      </c>
      <c r="E11" s="703" t="s">
        <v>309</v>
      </c>
      <c r="F11" s="703" t="s">
        <v>744</v>
      </c>
      <c r="G11" s="703" t="s">
        <v>546</v>
      </c>
      <c r="H11" s="703" t="s">
        <v>576</v>
      </c>
      <c r="I11" s="703" t="s">
        <v>558</v>
      </c>
      <c r="J11" s="703" t="s">
        <v>310</v>
      </c>
      <c r="K11" s="703" t="s">
        <v>559</v>
      </c>
      <c r="L11" s="704" t="s">
        <v>311</v>
      </c>
    </row>
    <row r="12" spans="1:23" ht="62" x14ac:dyDescent="0.35">
      <c r="A12" s="705" t="s">
        <v>560</v>
      </c>
      <c r="B12" s="706" t="s">
        <v>354</v>
      </c>
      <c r="C12" s="707" t="s">
        <v>743</v>
      </c>
      <c r="D12" s="707" t="s">
        <v>715</v>
      </c>
      <c r="E12" s="707" t="s">
        <v>716</v>
      </c>
      <c r="F12" s="707" t="s">
        <v>791</v>
      </c>
      <c r="G12" s="708" t="s">
        <v>717</v>
      </c>
      <c r="H12" s="708" t="s">
        <v>715</v>
      </c>
      <c r="I12" s="708" t="s">
        <v>718</v>
      </c>
      <c r="J12" s="708" t="s">
        <v>719</v>
      </c>
      <c r="K12" s="707" t="s">
        <v>585</v>
      </c>
      <c r="L12" s="709" t="s">
        <v>345</v>
      </c>
    </row>
    <row r="13" spans="1:23" ht="93" customHeight="1" x14ac:dyDescent="0.35">
      <c r="A13" s="710" t="s">
        <v>330</v>
      </c>
      <c r="B13" s="711" t="s">
        <v>379</v>
      </c>
      <c r="C13" s="712" t="s">
        <v>348</v>
      </c>
      <c r="D13" s="712" t="s">
        <v>420</v>
      </c>
      <c r="E13" s="713" t="s">
        <v>596</v>
      </c>
      <c r="F13" s="714" t="s">
        <v>784</v>
      </c>
      <c r="G13" s="712" t="s">
        <v>563</v>
      </c>
      <c r="H13" s="712" t="s">
        <v>353</v>
      </c>
      <c r="I13" s="712" t="s">
        <v>592</v>
      </c>
      <c r="J13" s="713" t="s">
        <v>593</v>
      </c>
      <c r="K13" s="713" t="s">
        <v>584</v>
      </c>
      <c r="L13" s="715" t="s">
        <v>346</v>
      </c>
    </row>
    <row r="14" spans="1:23" ht="124" x14ac:dyDescent="0.35">
      <c r="A14" s="710" t="s">
        <v>331</v>
      </c>
      <c r="B14" s="716" t="s">
        <v>329</v>
      </c>
      <c r="C14" s="717" t="s">
        <v>648</v>
      </c>
      <c r="D14" s="717" t="s">
        <v>421</v>
      </c>
      <c r="E14" s="718" t="s">
        <v>349</v>
      </c>
      <c r="F14" s="717" t="s">
        <v>785</v>
      </c>
      <c r="G14" s="717" t="s">
        <v>564</v>
      </c>
      <c r="H14" s="717" t="s">
        <v>589</v>
      </c>
      <c r="I14" s="717" t="s">
        <v>591</v>
      </c>
      <c r="J14" s="718" t="s">
        <v>594</v>
      </c>
      <c r="K14" s="718" t="s">
        <v>713</v>
      </c>
      <c r="L14" s="719" t="s">
        <v>347</v>
      </c>
    </row>
    <row r="15" spans="1:23" ht="90" customHeight="1" x14ac:dyDescent="0.35">
      <c r="A15" s="710" t="s">
        <v>332</v>
      </c>
      <c r="B15" s="720"/>
      <c r="C15" s="714" t="s">
        <v>577</v>
      </c>
      <c r="D15" s="714" t="s">
        <v>709</v>
      </c>
      <c r="E15" s="721" t="s">
        <v>597</v>
      </c>
      <c r="F15" s="714" t="s">
        <v>786</v>
      </c>
      <c r="G15" s="714" t="s">
        <v>340</v>
      </c>
      <c r="H15" s="712" t="s">
        <v>590</v>
      </c>
      <c r="I15" s="714" t="s">
        <v>329</v>
      </c>
      <c r="J15" s="721" t="s">
        <v>595</v>
      </c>
      <c r="K15" s="714" t="s">
        <v>313</v>
      </c>
      <c r="L15" s="715" t="s">
        <v>556</v>
      </c>
    </row>
    <row r="16" spans="1:23" ht="124" x14ac:dyDescent="0.35">
      <c r="A16" s="710" t="s">
        <v>333</v>
      </c>
      <c r="B16" s="720"/>
      <c r="C16" s="717" t="s">
        <v>578</v>
      </c>
      <c r="D16" s="717" t="s">
        <v>329</v>
      </c>
      <c r="E16" s="718" t="s">
        <v>351</v>
      </c>
      <c r="F16" s="717" t="s">
        <v>787</v>
      </c>
      <c r="G16" s="717" t="s">
        <v>350</v>
      </c>
      <c r="H16" s="717" t="s">
        <v>329</v>
      </c>
      <c r="I16" s="722"/>
      <c r="J16" s="718" t="s">
        <v>601</v>
      </c>
      <c r="K16" s="722"/>
      <c r="L16" s="723" t="s">
        <v>329</v>
      </c>
    </row>
    <row r="17" spans="1:12" ht="108.5" x14ac:dyDescent="0.35">
      <c r="A17" s="710" t="s">
        <v>334</v>
      </c>
      <c r="B17" s="720"/>
      <c r="C17" s="721" t="s">
        <v>557</v>
      </c>
      <c r="D17" s="722"/>
      <c r="E17" s="721" t="s">
        <v>352</v>
      </c>
      <c r="F17" s="721" t="s">
        <v>788</v>
      </c>
      <c r="G17" s="714" t="s">
        <v>341</v>
      </c>
      <c r="H17" s="722"/>
      <c r="I17" s="722"/>
      <c r="J17" s="714" t="s">
        <v>439</v>
      </c>
      <c r="K17" s="722"/>
      <c r="L17" s="724"/>
    </row>
    <row r="18" spans="1:12" ht="93" x14ac:dyDescent="0.35">
      <c r="A18" s="710" t="s">
        <v>335</v>
      </c>
      <c r="B18" s="720"/>
      <c r="C18" s="717" t="s">
        <v>659</v>
      </c>
      <c r="D18" s="722"/>
      <c r="E18" s="717" t="s">
        <v>329</v>
      </c>
      <c r="F18" s="717" t="s">
        <v>789</v>
      </c>
      <c r="G18" s="717" t="s">
        <v>342</v>
      </c>
      <c r="H18" s="722"/>
      <c r="I18" s="722"/>
      <c r="J18" s="717" t="s">
        <v>438</v>
      </c>
      <c r="K18" s="722"/>
      <c r="L18" s="724"/>
    </row>
    <row r="19" spans="1:12" ht="77.5" x14ac:dyDescent="0.35">
      <c r="A19" s="710" t="s">
        <v>336</v>
      </c>
      <c r="B19" s="720"/>
      <c r="C19" s="712" t="s">
        <v>339</v>
      </c>
      <c r="D19" s="725"/>
      <c r="E19" s="722"/>
      <c r="F19" s="714" t="s">
        <v>790</v>
      </c>
      <c r="G19" s="714" t="s">
        <v>343</v>
      </c>
      <c r="H19" s="722"/>
      <c r="I19" s="722"/>
      <c r="J19" s="714" t="s">
        <v>437</v>
      </c>
      <c r="K19" s="722"/>
      <c r="L19" s="724"/>
    </row>
    <row r="20" spans="1:12" ht="77.5" x14ac:dyDescent="0.35">
      <c r="A20" s="710" t="s">
        <v>337</v>
      </c>
      <c r="B20" s="720"/>
      <c r="C20" s="726" t="s">
        <v>587</v>
      </c>
      <c r="D20" s="725"/>
      <c r="E20" s="722"/>
      <c r="F20" s="717" t="s">
        <v>329</v>
      </c>
      <c r="G20" s="717" t="s">
        <v>344</v>
      </c>
      <c r="H20" s="722"/>
      <c r="I20" s="722"/>
      <c r="J20" s="717" t="s">
        <v>329</v>
      </c>
      <c r="K20" s="722"/>
      <c r="L20" s="724"/>
    </row>
    <row r="21" spans="1:12" ht="46.5" x14ac:dyDescent="0.35">
      <c r="A21" s="710" t="s">
        <v>338</v>
      </c>
      <c r="B21" s="720"/>
      <c r="C21" s="712" t="s">
        <v>329</v>
      </c>
      <c r="D21" s="722"/>
      <c r="E21" s="722"/>
      <c r="F21" s="722"/>
      <c r="G21" s="714" t="s">
        <v>329</v>
      </c>
      <c r="H21" s="722"/>
      <c r="I21" s="722"/>
      <c r="J21" s="722"/>
      <c r="K21" s="722"/>
      <c r="L21" s="724"/>
    </row>
    <row r="22" spans="1:12" ht="35.15" customHeight="1" x14ac:dyDescent="0.35">
      <c r="A22" s="731"/>
      <c r="B22" s="727"/>
      <c r="C22" s="727"/>
      <c r="D22" s="728"/>
      <c r="E22" s="729"/>
      <c r="F22" s="727"/>
      <c r="G22" s="730"/>
      <c r="H22" s="727"/>
      <c r="I22" s="727"/>
      <c r="J22" s="727" t="s">
        <v>1063</v>
      </c>
      <c r="K22" s="727"/>
      <c r="L22" s="727"/>
    </row>
  </sheetData>
  <sheetProtection algorithmName="SHA-512" hashValue="KKLJMVMHVFqWJ0c9mwyewRQydEQvPl6h9IRTu9+FqQyTbw3IOB/s9czGMQWoz8P3Sku+gX/jmkCyl0ThxcLHFA==" saltValue="IFDxxuxdVHEg1arP7ND0ww==" spinCount="100000" sheet="1" objects="1" scenarios="1"/>
  <sortState xmlns:xlrd2="http://schemas.microsoft.com/office/spreadsheetml/2017/richdata2" ref="A2:A3">
    <sortCondition descending="1" ref="A1"/>
  </sortState>
  <mergeCells count="2">
    <mergeCell ref="A7:K7"/>
    <mergeCell ref="A8:K8"/>
  </mergeCells>
  <dataValidations xWindow="90" yWindow="327" count="1">
    <dataValidation type="list" allowBlank="1" showInputMessage="1" showErrorMessage="1" prompt="Drop Down to Select County (Alt + Down Arrow)" sqref="A2" xr:uid="{00000000-0002-0000-0000-000000000000}">
      <formula1>COUNTY_NAME</formula1>
    </dataValidation>
  </dataValidations>
  <hyperlinks>
    <hyperlink ref="L15" location="titleregion3.a70.vn72.12" tooltip="Go to All data County and County Size" display="Selected County and Size" xr:uid="{00000000-0004-0000-0000-000000000000}"/>
    <hyperlink ref="L14" location="titleregion2.a63.vn68.12" tooltip="Go to Data by County Size" display="Data by County Size" xr:uid="{00000000-0004-0000-0000-000001000000}"/>
    <hyperlink ref="L13" location="Data!titleregion1.a3.vn62.12" tooltip="Go to All County Data" display="All County Data" xr:uid="{00000000-0004-0000-0000-000002000000}"/>
    <hyperlink ref="L16" location="Nav_AllData" tooltip="Back to All Data Heading" display="End of tables, return to page selection" xr:uid="{00000000-0004-0000-0000-000004000000}"/>
    <hyperlink ref="K13" location="'Appendix Terms'!A7" tooltip="Go to Key Terms" display="Key Terms" xr:uid="{00000000-0004-0000-0000-000005000000}"/>
    <hyperlink ref="K15" location="Nav_Terms" tooltip="Back to Appendix/Terms Heading" display="End of Appendix and Key Terms, return to Page selection" xr:uid="{00000000-0004-0000-0000-000006000000}"/>
    <hyperlink ref="J20" location="Nav_Prov" tooltip="Back to Provider Details Page Heading" display="End of tables, return to page selection" xr:uid="{00000000-0004-0000-0000-000008000000}"/>
    <hyperlink ref="J13" location="titleregion1.d23.g28.9" tooltip="Go to Table 1" display="Provider Live-In: Providers &amp; Percent of Total Providers" xr:uid="{00000000-0004-0000-0000-00000A000000}"/>
    <hyperlink ref="J14" location="titleregion2.i23.l28.9" tooltip="Go to Table 2" display="Provider Relative, Spouse, or Parent: Providers &amp; Percent of Total Providers" xr:uid="{00000000-0004-0000-0000-00000B000000}"/>
    <hyperlink ref="J15" location="titleregion3.i33.o64.9" tooltip="Go to Table 3" display="Provider Spoken Language: Providers &amp; Percent of Total Providers" xr:uid="{00000000-0004-0000-0000-00000C000000}"/>
    <hyperlink ref="J16" location="titleregion4.d82.g83.9" tooltip="Go to Table 4" display="Provider: Wage Rate" xr:uid="{00000000-0004-0000-0000-00000D000000}"/>
    <hyperlink ref="H16" location="Nav_AgeGen" tooltip="Back to Age/Gender Page Heading" display="End of tables, return to page selection" xr:uid="{00000000-0004-0000-0000-00000E000000}"/>
    <hyperlink ref="H15" location="titleregion3.g43.j47.7" tooltip="Go to Table 3" display="Recipients: Gender" xr:uid="{00000000-0004-0000-0000-000010000000}"/>
    <hyperlink ref="H13" location="titleregion1.c22.o25.7" tooltip="Go to Table 1" display="Recipients: Age by Groups" xr:uid="{00000000-0004-0000-0000-000011000000}"/>
    <hyperlink ref="I14" location="titleregion2.i41.o72.8" tooltip="Go to Table 2" display="Recipient Spoken Language: Recipients &amp; Percent  of Total Recipients" xr:uid="{00000000-0004-0000-0000-000012000000}"/>
    <hyperlink ref="I13" location="titleregion1.i8.o27.8" tooltip="Go to Table 1" display="Recipient Ethnicity: Recipients &amp; Percent of Total Recipients" xr:uid="{00000000-0004-0000-0000-000013000000}"/>
    <hyperlink ref="G13" location="titleregion1.c21.f25.6" tooltip="Go to Table 1" display="Protective Supervision/ Paramedical  Services: Percentage of Total Recipients" xr:uid="{00000000-0004-0000-0000-000014000000}"/>
    <hyperlink ref="G14" location="titleregion2.h21.k25.6" tooltip="Go to Table 2" display="Protective Supervision/ Paramedical  Services: Recipient Authorized Hours and Average Authorized Hours per Recipient" xr:uid="{00000000-0004-0000-0000-000015000000}"/>
    <hyperlink ref="G15" location="titleregion3.c62.f88.6" tooltip="Go to Table 3" display="Personal Care Services: Recipients &amp; Percentage of Total Recipients" xr:uid="{00000000-0004-0000-0000-000016000000}"/>
    <hyperlink ref="G16" location="titleregion4.h62.k88.6" tooltip="Go to Table 4" display="Personal Care Services: Recipient Authorized Hours &amp; Average Authorized Hours per Recipient" xr:uid="{00000000-0004-0000-0000-000017000000}"/>
    <hyperlink ref="G17" location="titleregion5.c122.f136.6" tooltip="Go to Table 5" display="Domestic and Related Services: Recipients &amp; Percentage of Total Recipients" xr:uid="{00000000-0004-0000-0000-000018000000}"/>
    <hyperlink ref="G18" location="titleregion6.h122.k136.6" tooltip="Go to Table 6" display="Domestic and Related Services: Recipient Authorized Hours &amp; Hours per Recipient" xr:uid="{00000000-0004-0000-0000-000019000000}"/>
    <hyperlink ref="G19" location="titleregion7.c139.f143.6" tooltip="Go to Table 7" display="One-Time Services: Percent of Total Recipients" xr:uid="{00000000-0004-0000-0000-00001A000000}"/>
    <hyperlink ref="G20" location="titleregion8.h139.k143.6" tooltip="Go to Table 8" display="One-Time Services: Recipient Authorized Hours" xr:uid="{00000000-0004-0000-0000-00001B000000}"/>
    <hyperlink ref="G21" location="Nav_Serv" tooltip="Back to IHSS Services Page Heading" display="End of tables, return to page selection" xr:uid="{00000000-0004-0000-0000-00001D000000}"/>
    <hyperlink ref="E13" location="titleregion1.d20.g26.4" tooltip="Go to Table 1" display="Aged, Blind, or Disabled: Recipients &amp; Percent of Total Recipient" xr:uid="{00000000-0004-0000-0000-000023000000}"/>
    <hyperlink ref="E14" location="titleregion2.i20.l26.4" tooltip="Go to Table 2" display="Aged, Blind, or Disabled: Recipient Authorized Hours &amp; Average Authorized Hours per Recipient" xr:uid="{00000000-0004-0000-0000-000024000000}"/>
    <hyperlink ref="E15" location="titleregion3.d43.g45.4" tooltip="Go to Table 3" display="Blind And Visually Impaired (BVI): Recipients &amp; Percent " xr:uid="{00000000-0004-0000-0000-000025000000}"/>
    <hyperlink ref="E16" location="titleregion4.d71.g83.4" tooltip="Go to Table 4" display="Blind And Visually Impaired Notice of Action (NOA) Delivery Options: Recipients &amp; Percent of Total BVI Recipients" xr:uid="{00000000-0004-0000-0000-000026000000}"/>
    <hyperlink ref="E17" location="titleregion5.i71.l79.4" tooltip="Go to Table 5" display="Blind And Visually Impaired Timesheet Options: Recipients &amp; Percent  of Total BVI Recipients" xr:uid="{00000000-0004-0000-0000-000027000000}"/>
    <hyperlink ref="C13" location="titleregion1.d22.g25.3" tooltip="Go to Table 1" display="Recipient Overall: Authorized Hours &amp; Average Authorized Hours per Recipient" xr:uid="{00000000-0004-0000-0000-000028000000}"/>
    <hyperlink ref="B14" location="Nav_Dash" tooltip="Back to Dashboard Page Heading" display="End of tables, return to page selection" xr:uid="{00000000-0004-0000-0000-000029000000}"/>
    <hyperlink ref="C15" location="titleregion3.d43.g47.3" tooltip="Go to Table 3" display="Severely Impaired/Non-Severely Impaired: Recipients &amp; Percent  per Recipient" xr:uid="{00000000-0004-0000-0000-00002A000000}"/>
    <hyperlink ref="C16" location="titleregion4.i43.l47.3" tooltip="Go to Table 4" display="Severely Impaired/Non-Severely Impaired: Authorized Hours &amp; Average Authorized Hours per Recipient" xr:uid="{00000000-0004-0000-0000-00002B000000}"/>
    <hyperlink ref="E18" location="Nav_AgedBlDis" tooltip="Back to Aged, Blind, or Disabled Page Heading" display="End of tables, return to page selection" xr:uid="{00000000-0004-0000-0000-00002C000000}"/>
    <hyperlink ref="I15" location="Nav_EthLang" tooltip="Back to Ethnicity/Language Page Heading" display="End of tables, return to page selection" xr:uid="{00000000-0004-0000-0000-00002D000000}"/>
    <hyperlink ref="C14" location="titleregion2.i22.l26.3" tooltip="Go to Table 2" display="Electronic Timesheets System (ETS): Recipients &amp; Providers Enrolled in ETS" xr:uid="{00000000-0004-0000-0000-00002F000000}"/>
    <hyperlink ref="B13" location="Home_Dashboard" tooltip="Go to Dashboard" display="Overview of the data in this file.  All chart data is found on the appropriate page" xr:uid="{00000000-0004-0000-0000-000030000000}"/>
    <hyperlink ref="B11" location="Home_Dashboard" tooltip="Go to Dashboard Page" display="Dashboard Page" xr:uid="{00000000-0004-0000-0000-000032000000}"/>
    <hyperlink ref="E11" location="Home_Aged" tooltip="Go to Aged, Blind, or Disabled Page" display="Aged, Blind, or Disabled Page" xr:uid="{00000000-0004-0000-0000-000033000000}"/>
    <hyperlink ref="F11" location="Home_Prog" tooltip="Go to IHSS Programs Page" display="IHSS Programs Page" xr:uid="{00000000-0004-0000-0000-000034000000}"/>
    <hyperlink ref="G11" location="Home_Serv" tooltip="Go to IHSS Services Page" display="IHSS Services Page" xr:uid="{00000000-0004-0000-0000-000035000000}"/>
    <hyperlink ref="H11" location="Home_Gender" tooltip="Go to Age/ Gender Page" display="Age/ Gender Page" xr:uid="{00000000-0004-0000-0000-000036000000}"/>
    <hyperlink ref="I11" location="Home_Ethn" tooltip="Go to Ethnicity/Language Page" display="Home_Ethn" xr:uid="{00000000-0004-0000-0000-000037000000}"/>
    <hyperlink ref="J11" location="Home_Prov" tooltip="Go to Provider Details Page" display="Provider Details Page" xr:uid="{00000000-0004-0000-0000-000038000000}"/>
    <hyperlink ref="K11" location="Home_Terms" tooltip="Go to Appendix/Terms Page" display="Home_Terms" xr:uid="{00000000-0004-0000-0000-000039000000}"/>
    <hyperlink ref="L11" location="Home_AllData" tooltip="Go to All Data Page" display="All Data Page" xr:uid="{00000000-0004-0000-0000-00003A000000}"/>
    <hyperlink ref="C11" location="Home_GenData" tooltip="Go to General Data Page" display="General Data Page" xr:uid="{00000000-0004-0000-0000-00003B000000}"/>
    <hyperlink ref="H14" location="titleregion2.c43.o46.7" tooltip="Go to Table 2" display="Recipients: Average Authorized Hours by Age Group" xr:uid="{F114A507-146C-4AA2-AE54-913AAD72F8DB}"/>
    <hyperlink ref="J17" location="titleregion5.i82.l85.9" tooltip="Go to Table 5" display="Providers: Electronic Funds Transfer (EFT) &amp; Percent (%) of Total Providers" xr:uid="{9C786104-0673-4020-9A19-DD250E840383}"/>
    <hyperlink ref="J18" location="titleregion6.d104.g111.9" tooltip="Go to Table 6" display="Providers: FLSA OT/Travel Violations &amp; Percent (%) of Provider Violations Exceeding Weekly Max" xr:uid="{165CECE6-0EA0-488F-8DA5-D0CBDE50654B}"/>
    <hyperlink ref="J19" location="titleregion7.i104.l109.9" tooltip="Go to Table 7" display="Providers: FLSA OT Exemptions &amp; Percent (%) of Providers Exemptions" xr:uid="{F02CF331-0661-47ED-8E23-86126736F21C}"/>
    <hyperlink ref="K14" location="Home_Appendix" tooltip="Go to Appedix" display="Select Appendix Items" xr:uid="{42716C58-D9C0-46DB-A543-4B07B7071F1E}"/>
    <hyperlink ref="D16" location="Navigation!D11" tooltip="Back to IHSS Applicants Page Heading" display="End of tables, return to page selection" xr:uid="{8621EA60-73EE-4735-890F-FC207BA0ED44}"/>
    <hyperlink ref="D14" location="titleregion2.i27.l34.13" tooltip="Go to Table 2" display="Denied Applications (Previous 90 Days): (Processing Time for a Denied Application)" xr:uid="{5D0E5D93-91B2-45F4-B881-1329D1BCA8A8}"/>
    <hyperlink ref="D13" location="titleregion1.d27.g30.13" tooltip="Go to Table 1" display="New Applications: Applications Received  (Current Month)" xr:uid="{4AA0E769-E794-4D1F-929E-585A03B6F7C4}"/>
    <hyperlink ref="C19" location="titleregion7.d91.g99.3" tooltip="Go to Table 8" display="IHSS Programs: Recipients &amp; Percent of Total Recipients" xr:uid="{E6A249DB-F640-4F78-8019-5FCDE7726196}"/>
    <hyperlink ref="C17" location="titleregion5.d67.g70.3" tooltip="Go to Table 2" display="titleregion5.d67.g70.3" xr:uid="{0460406C-D5F2-43F3-91D1-90993369DFC5}"/>
    <hyperlink ref="C18" location="titleregion6.i67.l71.3" tooltip="Back to Age/Gender Page Heading" display="titleregion6.i67.l71.3" xr:uid="{A7C01162-5775-491C-A1B9-7FA940FC86DF}"/>
    <hyperlink ref="D15" location="titleregion3.i41.O66.13" tooltip="Go to Table 3" display="Reasons for Exiting the Program" xr:uid="{3C346298-5E0D-4B85-94A4-6FFEAF8FA448}"/>
    <hyperlink ref="D11" location="Home_Applicants" tooltip="Go to IHSS Applicants Page" display="Home_Applicants" xr:uid="{8F0361FF-C85D-4B74-8056-9FC6D85B991E}"/>
    <hyperlink ref="C20" location="titleregion8.i91.l99.3" tooltip="Go to Table 8" display="IHSS Programs: Recipients Auth. Hours &amp; Average Authorized Hours per  Recipient" xr:uid="{BE8AAA9E-61DC-4328-A2EB-BAEE101915E9}"/>
    <hyperlink ref="C21" location="Nav_GenData" tooltip="Back to General Data Page heading" display="End of tables, return to page selection" xr:uid="{F8654E4A-8612-482E-B3AB-73D1BB07B573}"/>
    <hyperlink ref="F20" location="Navigation!F11" tooltip="Back to General Data Page heading" display="End of tables, return to page selection" xr:uid="{2325944B-3BFF-466F-9B66-382FBA2EFFED}"/>
    <hyperlink ref="F13" location="titleregion1.d32.i51.5" tooltip="Go to Section 1 (Tables 1 and 2)" display="titleregion1.d32.i51.5" xr:uid="{4C976EB9-7E02-489A-9BD8-187D7FC4EA12}"/>
    <hyperlink ref="F14" location="titleregion3.d79.i98.5" tooltip="Go to Section 2 (Tables 3 and 4)" display="titleregion3.d79.i98.5" xr:uid="{A0C3EDA5-52D9-41B9-B682-0B402C2D73D9}"/>
    <hyperlink ref="F15" location="titleregion5.d128.i147.5" tooltip="Go to Section 3 (Tables 5 and 6)" display="titleregion5.d128.i147.5" xr:uid="{78B20CE3-D78B-4EE7-B4E1-E2C366003F4E}"/>
    <hyperlink ref="F16" location="titleregion7.d176.i195.5" tooltip="Go to Section 4 (Tables 7 and 8)" display="titleregion7.d176.i195.5" xr:uid="{CC0D3722-A59D-478A-9F97-F7ED7546E155}"/>
    <hyperlink ref="F17" location="titleregion9.d225.i244.5" tooltip="Go to Section 5 (Tables 9 and 10)" display="titleregion9.d225.i244.5" xr:uid="{33946A45-6745-48E2-B2C9-8140DA5ACB4B}"/>
    <hyperlink ref="F18" location="titleregion11.d273.i292.5" tooltip="Go to Section 6 (Tables 11 and 12)" display="titleregion11.d273.i292.5" xr:uid="{C066962B-35D5-417C-AA64-9388770FBEF3}"/>
    <hyperlink ref="F19" location="titleregion13.d321.i340.5" tooltip="Go to Section 7 (Tables 13 and 14)" display="titleregion13.d321.i340.5" xr:uid="{56C2DFA7-CCA0-4411-86AF-84F4C291F8A6}"/>
  </hyperlinks>
  <printOptions horizontalCentered="1"/>
  <pageMargins left="0.7" right="0.7" top="0.75" bottom="0.75" header="0.3" footer="0.3"/>
  <pageSetup scale="43" orientation="landscape"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XFC82"/>
  <sheetViews>
    <sheetView showGridLines="0" showRowColHeaders="0" zoomScale="80" zoomScaleNormal="80" workbookViewId="0">
      <pane ySplit="4" topLeftCell="A5" activePane="bottomLeft" state="frozen"/>
      <selection pane="bottomLeft" activeCell="A5" sqref="A5"/>
    </sheetView>
  </sheetViews>
  <sheetFormatPr defaultColWidth="0" defaultRowHeight="14.5" x14ac:dyDescent="0.35"/>
  <cols>
    <col min="1" max="1" width="247.54296875" style="28" customWidth="1"/>
    <col min="2" max="2" width="19.54296875" style="28" hidden="1" customWidth="1"/>
    <col min="3" max="3" width="19.1796875" style="28" hidden="1"/>
    <col min="4" max="4" width="16.1796875" style="28" hidden="1"/>
    <col min="5" max="5" width="9.1796875" style="28" hidden="1"/>
    <col min="6" max="6" width="38.453125" style="28" hidden="1"/>
    <col min="7" max="9" width="19.1796875" style="28" hidden="1"/>
    <col min="10" max="14" width="9.1796875" style="28" hidden="1"/>
    <col min="15" max="15" width="5.453125" style="28" hidden="1"/>
    <col min="16" max="17" width="4.1796875" style="28" hidden="1"/>
    <col min="18" max="16383" width="9.1796875" style="28" hidden="1"/>
    <col min="16384" max="16384" width="0.1796875" style="28" hidden="1" customWidth="1"/>
  </cols>
  <sheetData>
    <row r="1" spans="1:11" ht="0.75" customHeight="1" x14ac:dyDescent="0.35">
      <c r="A1" s="26" t="s">
        <v>568</v>
      </c>
      <c r="B1" s="27"/>
      <c r="C1" s="27"/>
      <c r="D1" s="27"/>
      <c r="E1" s="27"/>
      <c r="F1" s="27"/>
      <c r="G1" s="27"/>
      <c r="H1" s="27"/>
      <c r="I1" s="27"/>
      <c r="J1" s="27"/>
      <c r="K1" s="27"/>
    </row>
    <row r="2" spans="1:11" ht="24.75" customHeight="1" x14ac:dyDescent="0.35">
      <c r="A2" s="29" t="str">
        <f>COUNTY_SELECT&amp;" County"</f>
        <v>County Name County</v>
      </c>
      <c r="E2" s="26"/>
      <c r="F2" s="26"/>
      <c r="G2" s="26"/>
    </row>
    <row r="3" spans="1:11" ht="16.5" customHeight="1" x14ac:dyDescent="0.35">
      <c r="A3" s="31" t="str">
        <f>Navigation!A3</f>
        <v xml:space="preserve"> Size County</v>
      </c>
    </row>
    <row r="4" spans="1:11" ht="12" customHeight="1" thickBot="1" x14ac:dyDescent="0.4">
      <c r="A4" s="32"/>
      <c r="B4" s="32"/>
    </row>
    <row r="5" spans="1:11" ht="15" thickTop="1" x14ac:dyDescent="0.35">
      <c r="A5" s="457" t="s">
        <v>586</v>
      </c>
      <c r="B5" s="454"/>
    </row>
    <row r="6" spans="1:11" ht="18.75" customHeight="1" x14ac:dyDescent="0.35">
      <c r="D6" s="128"/>
    </row>
    <row r="7" spans="1:11" ht="18.75" customHeight="1" x14ac:dyDescent="0.35">
      <c r="D7" s="128"/>
    </row>
    <row r="8" spans="1:11" ht="18.75" customHeight="1" x14ac:dyDescent="0.35">
      <c r="D8" s="128"/>
    </row>
    <row r="9" spans="1:11" ht="18.75" customHeight="1" x14ac:dyDescent="0.35">
      <c r="A9" s="137" t="s">
        <v>720</v>
      </c>
      <c r="D9" s="128"/>
    </row>
    <row r="10" spans="1:11" ht="18.75" customHeight="1" x14ac:dyDescent="0.35">
      <c r="D10" s="128"/>
    </row>
    <row r="11" spans="1:11" ht="18.75" customHeight="1" x14ac:dyDescent="0.4">
      <c r="A11" s="129" t="s">
        <v>644</v>
      </c>
    </row>
    <row r="12" spans="1:11" s="75" customFormat="1" ht="38.25" customHeight="1" x14ac:dyDescent="0.35">
      <c r="A12" s="130" t="s">
        <v>426</v>
      </c>
      <c r="F12" s="130"/>
    </row>
    <row r="13" spans="1:11" s="75" customFormat="1" ht="38.25" customHeight="1" x14ac:dyDescent="0.35">
      <c r="A13" s="130" t="s">
        <v>430</v>
      </c>
      <c r="F13" s="130"/>
    </row>
    <row r="14" spans="1:11" s="75" customFormat="1" ht="38.25" customHeight="1" x14ac:dyDescent="0.35">
      <c r="A14" s="397" t="s">
        <v>1064</v>
      </c>
      <c r="F14" s="397"/>
    </row>
    <row r="15" spans="1:11" s="75" customFormat="1" ht="38.25" customHeight="1" x14ac:dyDescent="0.35">
      <c r="A15" s="130" t="s">
        <v>429</v>
      </c>
      <c r="B15" s="398"/>
      <c r="C15" s="398"/>
      <c r="E15" s="399"/>
      <c r="F15" s="130"/>
      <c r="G15" s="399"/>
      <c r="H15" s="400"/>
    </row>
    <row r="16" spans="1:11" s="400" customFormat="1" ht="38.25" customHeight="1" x14ac:dyDescent="0.35">
      <c r="A16" s="130" t="s">
        <v>580</v>
      </c>
      <c r="B16" s="398"/>
      <c r="C16" s="398"/>
      <c r="E16" s="399"/>
      <c r="F16" s="130"/>
      <c r="G16" s="399"/>
    </row>
    <row r="17" spans="1:13" s="400" customFormat="1" ht="38.25" customHeight="1" x14ac:dyDescent="0.35">
      <c r="A17" s="130" t="s">
        <v>663</v>
      </c>
      <c r="B17" s="399"/>
      <c r="C17" s="399"/>
      <c r="E17" s="399"/>
      <c r="F17" s="130"/>
      <c r="G17" s="399"/>
    </row>
    <row r="18" spans="1:13" s="400" customFormat="1" ht="38.25" customHeight="1" x14ac:dyDescent="0.35">
      <c r="A18" s="133" t="s">
        <v>581</v>
      </c>
      <c r="E18" s="399"/>
      <c r="F18" s="130"/>
    </row>
    <row r="19" spans="1:13" s="400" customFormat="1" ht="38.25" customHeight="1" x14ac:dyDescent="0.35">
      <c r="A19" s="134" t="s">
        <v>598</v>
      </c>
      <c r="E19" s="401"/>
      <c r="F19" s="130"/>
      <c r="J19" s="399"/>
      <c r="L19" s="402"/>
      <c r="M19" s="402"/>
    </row>
    <row r="20" spans="1:13" s="400" customFormat="1" ht="38.25" customHeight="1" x14ac:dyDescent="0.35">
      <c r="A20" s="136" t="s">
        <v>599</v>
      </c>
      <c r="E20" s="401"/>
      <c r="F20" s="136"/>
      <c r="J20" s="399"/>
      <c r="L20" s="403"/>
      <c r="M20" s="403"/>
    </row>
    <row r="21" spans="1:13" s="400" customFormat="1" ht="38.25" customHeight="1" x14ac:dyDescent="0.35">
      <c r="A21" s="133" t="s">
        <v>1067</v>
      </c>
      <c r="E21" s="401"/>
      <c r="F21" s="130"/>
      <c r="J21" s="399"/>
      <c r="L21" s="403"/>
      <c r="M21" s="403"/>
    </row>
    <row r="22" spans="1:13" s="400" customFormat="1" ht="38.25" customHeight="1" x14ac:dyDescent="0.35">
      <c r="A22" s="378" t="s">
        <v>1068</v>
      </c>
      <c r="E22" s="401"/>
      <c r="F22" s="130"/>
      <c r="J22" s="399"/>
      <c r="L22" s="403"/>
      <c r="M22" s="403"/>
    </row>
    <row r="23" spans="1:13" s="400" customFormat="1" ht="38.25" customHeight="1" x14ac:dyDescent="0.35">
      <c r="A23" s="430" t="s">
        <v>710</v>
      </c>
      <c r="E23" s="401"/>
      <c r="F23" s="136"/>
      <c r="L23" s="403"/>
      <c r="M23" s="403"/>
    </row>
    <row r="24" spans="1:13" s="400" customFormat="1" ht="38.25" customHeight="1" x14ac:dyDescent="0.35">
      <c r="A24" s="134" t="s">
        <v>539</v>
      </c>
      <c r="E24" s="401"/>
      <c r="F24" s="404"/>
      <c r="L24" s="403"/>
      <c r="M24" s="403"/>
    </row>
    <row r="25" spans="1:13" s="399" customFormat="1" ht="38.25" customHeight="1" x14ac:dyDescent="0.35">
      <c r="A25" s="130" t="s">
        <v>428</v>
      </c>
      <c r="E25" s="401"/>
      <c r="F25" s="134"/>
      <c r="L25" s="405"/>
      <c r="M25" s="405"/>
    </row>
    <row r="26" spans="1:13" s="400" customFormat="1" ht="38.25" customHeight="1" x14ac:dyDescent="0.35">
      <c r="A26" s="130" t="s">
        <v>427</v>
      </c>
      <c r="B26" s="75"/>
      <c r="C26" s="75"/>
      <c r="E26" s="401"/>
      <c r="F26" s="130"/>
      <c r="G26" s="75"/>
      <c r="H26" s="75"/>
      <c r="L26" s="403"/>
    </row>
    <row r="27" spans="1:13" s="400" customFormat="1" ht="38.25" customHeight="1" x14ac:dyDescent="0.35">
      <c r="A27" s="130" t="s">
        <v>424</v>
      </c>
      <c r="B27" s="75"/>
      <c r="C27" s="75"/>
      <c r="E27" s="401"/>
      <c r="F27" s="130"/>
      <c r="G27" s="75"/>
      <c r="H27" s="75"/>
      <c r="I27" s="75"/>
      <c r="L27" s="403"/>
    </row>
    <row r="28" spans="1:13" s="400" customFormat="1" ht="38.25" customHeight="1" x14ac:dyDescent="0.35">
      <c r="A28" s="136" t="s">
        <v>665</v>
      </c>
      <c r="B28" s="138"/>
      <c r="C28" s="138"/>
      <c r="E28" s="138"/>
      <c r="F28" s="130"/>
      <c r="G28" s="138"/>
      <c r="H28" s="138"/>
      <c r="I28" s="138"/>
      <c r="J28" s="139"/>
      <c r="K28" s="139"/>
      <c r="L28" s="403"/>
    </row>
    <row r="29" spans="1:13" s="75" customFormat="1" ht="38.25" customHeight="1" x14ac:dyDescent="0.35">
      <c r="A29" s="130" t="s">
        <v>423</v>
      </c>
      <c r="F29" s="136"/>
    </row>
    <row r="30" spans="1:13" s="75" customFormat="1" ht="38.25" customHeight="1" x14ac:dyDescent="0.35">
      <c r="A30" s="130" t="s">
        <v>540</v>
      </c>
      <c r="F30" s="130"/>
    </row>
    <row r="31" spans="1:13" s="75" customFormat="1" ht="38.25" customHeight="1" x14ac:dyDescent="0.35">
      <c r="A31" s="397" t="s">
        <v>537</v>
      </c>
      <c r="F31" s="130"/>
    </row>
    <row r="32" spans="1:13" s="75" customFormat="1" ht="38.25" customHeight="1" x14ac:dyDescent="0.35">
      <c r="A32" s="371" t="s">
        <v>638</v>
      </c>
      <c r="F32" s="404"/>
    </row>
    <row r="33" spans="1:6" s="75" customFormat="1" ht="38.25" customHeight="1" x14ac:dyDescent="0.35">
      <c r="A33" s="136" t="s">
        <v>669</v>
      </c>
      <c r="B33" s="406"/>
      <c r="F33" s="130"/>
    </row>
    <row r="34" spans="1:6" s="75" customFormat="1" ht="38.25" customHeight="1" x14ac:dyDescent="0.35">
      <c r="A34" s="133" t="s">
        <v>793</v>
      </c>
      <c r="B34" s="406"/>
      <c r="F34" s="130"/>
    </row>
    <row r="35" spans="1:6" s="75" customFormat="1" ht="38.25" customHeight="1" x14ac:dyDescent="0.35">
      <c r="A35" s="130" t="s">
        <v>668</v>
      </c>
      <c r="F35" s="404"/>
    </row>
    <row r="36" spans="1:6" s="75" customFormat="1" ht="38.25" customHeight="1" x14ac:dyDescent="0.35">
      <c r="A36" s="404" t="s">
        <v>536</v>
      </c>
      <c r="F36" s="130"/>
    </row>
    <row r="37" spans="1:6" s="75" customFormat="1" ht="38.25" customHeight="1" x14ac:dyDescent="0.35">
      <c r="A37" s="372" t="s">
        <v>642</v>
      </c>
      <c r="F37" s="130"/>
    </row>
    <row r="38" spans="1:6" s="75" customFormat="1" ht="38.25" customHeight="1" x14ac:dyDescent="0.35">
      <c r="A38" s="130" t="s">
        <v>667</v>
      </c>
      <c r="F38" s="130"/>
    </row>
    <row r="39" spans="1:6" s="75" customFormat="1" ht="38.25" customHeight="1" x14ac:dyDescent="0.35">
      <c r="A39" s="130" t="s">
        <v>422</v>
      </c>
    </row>
    <row r="40" spans="1:6" s="75" customFormat="1" ht="38.25" customHeight="1" x14ac:dyDescent="0.35">
      <c r="A40" s="130" t="s">
        <v>553</v>
      </c>
    </row>
    <row r="41" spans="1:6" s="75" customFormat="1" ht="38.25" customHeight="1" x14ac:dyDescent="0.35">
      <c r="A41" s="130" t="s">
        <v>425</v>
      </c>
    </row>
    <row r="42" spans="1:6" ht="15.5" x14ac:dyDescent="0.35">
      <c r="A42" s="130"/>
    </row>
    <row r="43" spans="1:6" ht="15.5" x14ac:dyDescent="0.35">
      <c r="A43" s="140" t="s">
        <v>541</v>
      </c>
    </row>
    <row r="45" spans="1:6" ht="20" x14ac:dyDescent="0.4">
      <c r="A45" s="129" t="s">
        <v>582</v>
      </c>
    </row>
    <row r="46" spans="1:6" ht="15.5" x14ac:dyDescent="0.35">
      <c r="A46" s="31"/>
    </row>
    <row r="47" spans="1:6" ht="77.5" x14ac:dyDescent="0.35">
      <c r="A47" s="322" t="s">
        <v>1065</v>
      </c>
    </row>
    <row r="48" spans="1:6" ht="15.5" x14ac:dyDescent="0.35">
      <c r="A48" s="31"/>
    </row>
    <row r="49" spans="1:1" ht="77.5" x14ac:dyDescent="0.35">
      <c r="A49" s="322" t="s">
        <v>645</v>
      </c>
    </row>
    <row r="50" spans="1:1" ht="15.5" x14ac:dyDescent="0.35">
      <c r="A50" s="322"/>
    </row>
    <row r="51" spans="1:1" ht="31" x14ac:dyDescent="0.35">
      <c r="A51" s="396" t="s">
        <v>670</v>
      </c>
    </row>
    <row r="52" spans="1:1" ht="15.5" x14ac:dyDescent="0.35">
      <c r="A52" s="322"/>
    </row>
    <row r="53" spans="1:1" ht="18" x14ac:dyDescent="0.35">
      <c r="A53" s="376" t="s">
        <v>652</v>
      </c>
    </row>
    <row r="54" spans="1:1" ht="18" x14ac:dyDescent="0.35">
      <c r="A54" s="376"/>
    </row>
    <row r="55" spans="1:1" ht="21.75" customHeight="1" x14ac:dyDescent="0.35">
      <c r="A55" s="375">
        <v>44013</v>
      </c>
    </row>
    <row r="56" spans="1:1" ht="35.25" customHeight="1" x14ac:dyDescent="0.35">
      <c r="A56" s="463" t="s">
        <v>711</v>
      </c>
    </row>
    <row r="57" spans="1:1" ht="15.5" x14ac:dyDescent="0.35">
      <c r="A57" s="374"/>
    </row>
    <row r="58" spans="1:1" ht="15.5" x14ac:dyDescent="0.35">
      <c r="A58" s="375">
        <v>43831</v>
      </c>
    </row>
    <row r="59" spans="1:1" ht="30.75" customHeight="1" x14ac:dyDescent="0.35">
      <c r="A59" s="386" t="s">
        <v>660</v>
      </c>
    </row>
    <row r="60" spans="1:1" ht="31" x14ac:dyDescent="0.35">
      <c r="A60" s="387" t="s">
        <v>664</v>
      </c>
    </row>
    <row r="61" spans="1:1" ht="15.5" x14ac:dyDescent="0.35">
      <c r="A61" s="386"/>
    </row>
    <row r="62" spans="1:1" ht="15.5" x14ac:dyDescent="0.35">
      <c r="A62" s="375">
        <v>43770</v>
      </c>
    </row>
    <row r="63" spans="1:1" ht="15.5" x14ac:dyDescent="0.35">
      <c r="A63" s="379" t="s">
        <v>653</v>
      </c>
    </row>
    <row r="64" spans="1:1" ht="15.5" x14ac:dyDescent="0.35">
      <c r="A64" s="379"/>
    </row>
    <row r="65" spans="1:1" ht="15.5" x14ac:dyDescent="0.35">
      <c r="A65" s="375">
        <v>44044</v>
      </c>
    </row>
    <row r="66" spans="1:1" ht="15.5" x14ac:dyDescent="0.35">
      <c r="A66" s="470" t="s">
        <v>731</v>
      </c>
    </row>
    <row r="67" spans="1:1" ht="15.5" x14ac:dyDescent="0.35">
      <c r="A67" s="379"/>
    </row>
    <row r="68" spans="1:1" ht="15.5" x14ac:dyDescent="0.35">
      <c r="A68" s="375">
        <v>44682</v>
      </c>
    </row>
    <row r="69" spans="1:1" ht="15.5" x14ac:dyDescent="0.35">
      <c r="A69" s="472" t="s">
        <v>735</v>
      </c>
    </row>
    <row r="71" spans="1:1" ht="15.5" x14ac:dyDescent="0.35">
      <c r="A71" s="375">
        <v>44774</v>
      </c>
    </row>
    <row r="72" spans="1:1" ht="39" customHeight="1" x14ac:dyDescent="0.35">
      <c r="A72" s="735" t="s">
        <v>795</v>
      </c>
    </row>
    <row r="73" spans="1:1" ht="15.5" x14ac:dyDescent="0.35">
      <c r="A73" s="661"/>
    </row>
    <row r="74" spans="1:1" ht="15.5" x14ac:dyDescent="0.35">
      <c r="A74" s="661" t="s">
        <v>796</v>
      </c>
    </row>
    <row r="76" spans="1:1" ht="15.5" x14ac:dyDescent="0.35">
      <c r="A76" s="375">
        <v>45078</v>
      </c>
    </row>
    <row r="77" spans="1:1" ht="15.5" x14ac:dyDescent="0.35">
      <c r="A77" s="754" t="s">
        <v>1066</v>
      </c>
    </row>
    <row r="82" spans="1:1" ht="15.5" x14ac:dyDescent="0.35">
      <c r="A82" s="140" t="s">
        <v>583</v>
      </c>
    </row>
  </sheetData>
  <sheetProtection algorithmName="SHA-512" hashValue="7ZkbJluYOtZ370WihkQ+LggjBKE19a6CD9rrPN+6J1JrpyxDeeNnsArGxORF9+djPqsJGQ4kuVz1SNexyPfZkQ==" saltValue="gSHkrqDFSnT33+shJ2yDRQ==" spinCount="100000" sheet="1" objects="1" scenarios="1"/>
  <dataConsolidate>
    <dataRefs count="1">
      <dataRef ref="F24" sheet="Appendix Terms"/>
    </dataRefs>
  </dataConsolidate>
  <hyperlinks>
    <hyperlink ref="A39" location="'General Data'!A28" tooltip="Back to General Data Page" display="Severely Impaired (SI): Recipients are considered severely impaired if they have 195 or more hours in the IHSS Program." xr:uid="{00000000-0004-0000-0900-000000000000}"/>
    <hyperlink ref="A29" location="'General Data'!A29" tooltip="Back to General Data Page" display="Non-Severely Impaired (NSI):  Recipients are considered non-severely impaired if they have under 195 hours in the IHSS Program." xr:uid="{00000000-0004-0000-0900-000001000000}"/>
    <hyperlink ref="A40" location="'General Data'!A11" tooltip="Back to General Data Page" display="Authorized (Auth.) Recipient Hours:  Based on the recipient's assessed need(s), these are the hours authorized for each recipient.  All hours used in this data are monthly." xr:uid="{00000000-0004-0000-0900-000002000000}"/>
    <hyperlink ref="A13" location="Term_AgedBlindDisabled" tooltip="Back to Aged, Blind, or Disabled Page" display="Aged, Blind, or Disabled: The description given to recipients when they enter the program based on their individual situation." xr:uid="{00000000-0004-0000-0900-000005000000}"/>
    <hyperlink ref="A15" location="Term_BlindVisImpaird" tooltip="Back to Aged, Blind, or Disabled Page" display="Blind and Visually Impaired (BVI): A Recipient that identifies one's self as blind or visually impaired." xr:uid="{00000000-0004-0000-0900-000006000000}"/>
    <hyperlink ref="A16" location="Term_BVIDelivery" tooltip="Back to Aged, Blind, or Disabled Page" display="BVI Delivery Options: The accessibility format a BVI Recipient chooses to receive Notice of Actions (NOA)." xr:uid="{00000000-0004-0000-0900-000007000000}"/>
    <hyperlink ref="A17" location="Term_BVITimesheet" tooltip="Back to Aged, Blind, or Disabled Page" display="BVI Timesheet Delivery Options: The accessibility format option a BVI Recipient chooses to approve their provider's timesheet." xr:uid="{00000000-0004-0000-0900-000008000000}"/>
    <hyperlink ref="A25" location="Term_IHSSProgram" tooltip="Back to IHSS Programs Page" display="IHSS Programs: The four programs that make up IHSS are: Personal Care Services Program (PCSP), Community First Choice Option (CFCO), IHSS Plus Option (IPO) and IHSS-Residual (IHSS-R). " xr:uid="{00000000-0004-0000-0900-000009000000}"/>
    <hyperlink ref="A26" location="Term_IHSSServices" tooltip="Back to IHSS Services Page" display="IHSS Services:  The different services offered in the IHSS Programs." xr:uid="{00000000-0004-0000-0900-00000A000000}"/>
    <hyperlink ref="A12" location="Term_AgeGroup" tooltip="Back to Age / Gender Page" display="Age Groups: The age breakdowns that are tracked in the IHSS Programs, and correlate with the United States Census." xr:uid="{00000000-0004-0000-0900-00000B000000}"/>
    <hyperlink ref="A41" location="Term_WageRate" tooltip="Back to Provider Details Page" display="Wage Rate: The wage rate approved for the individual providers for each county." xr:uid="{00000000-0004-0000-0900-00000C000000}"/>
    <hyperlink ref="A27" location="Term_LiveInProv" tooltip="Back to Provider Details Page" display="Live-In Provider: Providers that share an address with the recipient(s) to whom they are providing services." xr:uid="{00000000-0004-0000-0900-00000D000000}"/>
    <hyperlink ref="A21" location="'General Data'!A12" tooltip="Back to General Data Page" display="Enrolled (ETS): A Recipient/Provider who is enrolled in the ETS option (an enrolled Individual may or may not be submitting timesheets in the ETS system)." xr:uid="{00000000-0004-0000-0900-00000E000000}"/>
    <hyperlink ref="A30" location="Term_NOA" tooltip="Back to Aged, Blind, or Disabled Page" display="Notice of Action (NOA): A mailed written notice informing the IHSS Recipient of a action(s) or change(s).  The notice will include the reason(s) for the action(s) being taken and possible option(s) for the IHSS Recipient." xr:uid="{00000000-0004-0000-0900-00000F000000}"/>
    <hyperlink ref="A14" location="Term_AuthHoursPerRecip" tooltip="Back to General Data page" display="Average Hours per Recipient: Authorized Hours per Recipient is an average that is calculated using the total number of Authorized Hours divided by the Total number of Recipients.  " xr:uid="{00000000-0004-0000-0900-000011000000}"/>
    <hyperlink ref="A2" location="COUNTY_SELECT" tooltip="Back to County Selection" display="COUNTY_SELECT" xr:uid="{00000000-0004-0000-0900-000012000000}"/>
    <hyperlink ref="A1" location="Nav_Terms" display="The In-Home Supportive Services (IHSS) Public Facing Data workbook (Microsoft Excel) contains several pages of data concerning IHSS recipients and IHSS programs.  It has been categorized into separate Pages (groups) for easier navigation.  To select a cou" xr:uid="{00000000-0004-0000-0900-000013000000}"/>
    <hyperlink ref="A28" location="Term_NewApp" tooltip="Back to General Data Page" display="New Applications" xr:uid="{B8564299-9423-4A6A-BDD8-8E6EC2786769}"/>
    <hyperlink ref="A20" location="Term_DeniedApp" tooltip="Back to General Data Page" display="Denied Applications" xr:uid="{35AE8F6C-EE81-4010-B0B9-4C551122D6E2}"/>
    <hyperlink ref="A36" location="Term_ReassessRate" tooltip="Back to General Data Page" display="Reassessment Rate" xr:uid="{B39391AD-342C-4DEE-8DFC-FD45B2E2654F}"/>
    <hyperlink ref="A24" location="Term_FLSA" tooltip="Back to Provider Page" display="Fair Labor Standards Act (FLSA)" xr:uid="{90EFED0B-D29B-45C9-BE8A-9480D06DE48C}"/>
    <hyperlink ref="A31" location="Term_Overtime" tooltip="Back to Provider Page" display="Overtime (OT): IHSS providers will be paid overtime within certain limits and will be paid for their travel time between recipients within limits (FLSA). " xr:uid="{042838C6-BDEE-4F60-A633-8EB569668FDD}"/>
    <hyperlink ref="A18" location="Term_CountySize" tooltip="Back to Dashboard Page" display="County Size: County size is determined and grouped by the number of IHSS recipients.  County Size (Number of Recipients): Very Small (1-25), Small (26-999), Medium (1,000-9,999), Large (10,000-49,999), Very Large (50,000 or More).  County size data is represented as an average of all similar size counties in the tables and charts." xr:uid="{00000000-0004-0000-0900-000010000000}"/>
    <hyperlink ref="A33" location="Term_Violations" tooltip="Back to Provider Page" display="FLSA Violations" xr:uid="{3E8D6135-6E55-4DBC-8DCE-4E5F19681BCB}"/>
    <hyperlink ref="A32" location="Term_Exemptions" tooltip="Back to Provider Page" display="FLSA Exemptions" xr:uid="{57476CA3-6FEA-4753-B6F9-AACAAD864B0D}"/>
    <hyperlink ref="A19" location="Term_DDG" tooltip="Back to Dashboard Page" display="De-Identification Guidelines (DDG):" xr:uid="{91C27A68-A330-4D77-AB37-BFE11AC2031E}"/>
    <hyperlink ref="A43" location="Home_Terms" tooltip="Return to top of page" display="End of Terms.  Return to top of page." xr:uid="{C9E6FA69-2FA2-4078-8AE5-49417C1532D6}"/>
    <hyperlink ref="A35" location="Term_Provider" tooltip="Back to Provider Details Page" display="Provider:  A Provider is an individual who is providing services to recipients in the IHSS Program.  The Providers reported here are in active or leave status." xr:uid="{00000000-0004-0000-0900-000004000000}"/>
    <hyperlink ref="A82" location="Home_Terms" tooltip="Return to top of page" display="End of Appendix, return to top of page." xr:uid="{BADBC4F1-7ED6-49EF-BE78-12D66D94F86F}"/>
    <hyperlink ref="A38" location="'General Data'!A10" tooltip="Back to General Data Page" display="Recipients:  Recipients are individuals who are receiving services through the IHSS Program.  The Recipients reported here are in eligible, presumptive eligible or leave status." xr:uid="{00000000-0004-0000-0900-000003000000}"/>
    <hyperlink ref="A37" location="Term_RelativeProv" tooltip="Back to Provider Details Page" display="Relative, Spouse, or Parent Providers: The relationship a Provider has with the recipient.  A Provider can have one or all three of these relationships.  The Relative, Spouse, or Parent Providers data (tables and charts) may not add to 100% due to a Provider potentially having a different relationship with multiple recipients." xr:uid="{6C64927F-44DB-4798-A349-9C1D9C13182F}"/>
    <hyperlink ref="A9" location="Home_Appendix" tooltip="Go to the Appendix" display="Go to the Appendix" xr:uid="{D4A9C6E4-AE98-4DA4-925F-142521786805}"/>
    <hyperlink ref="A22" location="Term_EVV" tooltip="Back to General Data Page" display="Electronic Visit Verification (EVV): is a telephone and computer-based solution that electronically verifies in-home service visits occur. " xr:uid="{F66717FB-7A64-4579-9691-3AA505BC1E8C}"/>
    <hyperlink ref="A23" location="Term_ExitProgram" tooltip="Back to IHSS Applicants Page" display="Exiting the Program" xr:uid="{F5DFFF7A-8632-4CE2-9469-411A1DDEF988}"/>
    <hyperlink ref="A34" location="Term_Equity" display="Program Equity: A county/statewide comparison of specific IHSS data points broken down by ethnicities the data points selected are: New Applications by Ethnicity, Denials by Ethnicity, Authorized Hours by Ethnicity, Protective Supervision by Ethnicity, Paramedical by Ethnicity, Non-Severely Impaired by Ethnicity, Severely Impaired by Ethnicity" xr:uid="{DA460F1F-025C-4510-9501-4F85F8B6903F}"/>
  </hyperlinks>
  <pageMargins left="0.7" right="0.7" top="0.75" bottom="0.75" header="0.3" footer="0.3"/>
  <pageSetup scale="36"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1"/>
  </sheetPr>
  <dimension ref="A1:AW305"/>
  <sheetViews>
    <sheetView zoomScale="70" zoomScaleNormal="70" workbookViewId="0">
      <pane ySplit="5244" topLeftCell="A193" activePane="bottomLeft"/>
      <selection activeCell="G13" sqref="G13"/>
      <selection pane="bottomLeft" activeCell="G206" sqref="G206"/>
    </sheetView>
  </sheetViews>
  <sheetFormatPr defaultColWidth="9.1796875" defaultRowHeight="15.5" x14ac:dyDescent="0.35"/>
  <cols>
    <col min="1" max="1" width="6.453125" style="31" customWidth="1"/>
    <col min="2" max="2" width="38.453125" style="31" bestFit="1" customWidth="1"/>
    <col min="3" max="3" width="16" style="31" customWidth="1"/>
    <col min="4" max="4" width="10.453125" style="31" customWidth="1"/>
    <col min="5" max="5" width="19.81640625" style="31" customWidth="1"/>
    <col min="6" max="6" width="12.453125" style="31" customWidth="1"/>
    <col min="7" max="7" width="15.1796875" style="31" customWidth="1"/>
    <col min="8" max="8" width="16" style="31" customWidth="1"/>
    <col min="9" max="9" width="17.453125" style="31" customWidth="1"/>
    <col min="10" max="10" width="40.1796875" style="31" bestFit="1" customWidth="1"/>
    <col min="11" max="11" width="19.7265625" style="31" customWidth="1"/>
    <col min="12" max="12" width="12.1796875" style="251" bestFit="1" customWidth="1"/>
    <col min="13" max="13" width="14.54296875" style="56" bestFit="1" customWidth="1"/>
    <col min="14" max="14" width="15.453125" style="56" bestFit="1" customWidth="1"/>
    <col min="15" max="15" width="15.81640625" style="31" bestFit="1" customWidth="1"/>
    <col min="16" max="16" width="14.54296875" style="360" bestFit="1" customWidth="1"/>
    <col min="17" max="17" width="12.1796875" style="31" customWidth="1"/>
    <col min="18" max="18" width="15.81640625" style="31" bestFit="1" customWidth="1"/>
    <col min="19" max="20" width="9.1796875" style="31"/>
    <col min="21" max="21" width="10.453125" style="31" bestFit="1" customWidth="1"/>
    <col min="22" max="22" width="30.453125" style="31" bestFit="1" customWidth="1"/>
    <col min="23" max="16384" width="9.1796875" style="31"/>
  </cols>
  <sheetData>
    <row r="1" spans="1:38" ht="11.25" customHeight="1" x14ac:dyDescent="0.35">
      <c r="A1" s="323" t="s">
        <v>281</v>
      </c>
      <c r="B1" s="324"/>
      <c r="C1" s="324"/>
      <c r="D1" s="325"/>
      <c r="E1" s="325"/>
      <c r="F1" s="325"/>
      <c r="G1" s="325"/>
      <c r="H1" s="325"/>
      <c r="I1" s="325"/>
      <c r="J1" s="325"/>
      <c r="K1" s="325"/>
      <c r="L1" s="326"/>
      <c r="M1" s="327"/>
      <c r="P1" s="31"/>
    </row>
    <row r="2" spans="1:38" ht="11.25" customHeight="1" x14ac:dyDescent="0.35">
      <c r="A2" s="328"/>
      <c r="B2" s="329" t="s">
        <v>101</v>
      </c>
      <c r="C2" s="330" t="str">
        <f>COUNTY_SELECT</f>
        <v>County Name</v>
      </c>
      <c r="D2" s="331"/>
      <c r="E2" s="330" t="str">
        <f>Data!$A72</f>
        <v/>
      </c>
      <c r="F2" s="331"/>
      <c r="G2" s="330" t="s">
        <v>126</v>
      </c>
      <c r="H2" s="331"/>
      <c r="J2" s="323" t="s">
        <v>101</v>
      </c>
      <c r="K2" s="328" t="str">
        <f>COUNTY_SELECT</f>
        <v>County Name</v>
      </c>
      <c r="L2" s="251" t="s">
        <v>441</v>
      </c>
      <c r="M2" s="332" t="str">
        <f>Data!$A72</f>
        <v/>
      </c>
      <c r="N2" s="56" t="s">
        <v>441</v>
      </c>
      <c r="O2" s="333" t="s">
        <v>126</v>
      </c>
      <c r="P2" s="31" t="s">
        <v>441</v>
      </c>
    </row>
    <row r="3" spans="1:38" ht="11.25" customHeight="1" x14ac:dyDescent="0.35">
      <c r="A3" s="328">
        <v>1</v>
      </c>
      <c r="B3" s="19" t="e">
        <f>INDEX($J3:$J21,MATCH($A3,$I3:$I21,0))</f>
        <v>#N/A</v>
      </c>
      <c r="C3" s="334" t="e">
        <f t="shared" ref="C3:C21" si="0">IF(INDEX($K$3:$K$21,MATCH($A3,$I$3:$I$21,0))&lt;11,"&lt;11",INDEX($K$3:$K$21,MATCH($A3,$I$3:$I$21,0)))</f>
        <v>#N/A</v>
      </c>
      <c r="D3" s="311" t="e">
        <f>IF($C3="&lt;11","&lt;11",INDEX($L3:$L21,MATCH($A3,$I3:$I21,0)))</f>
        <v>#N/A</v>
      </c>
      <c r="E3" s="335" t="e">
        <f>INDEX($M3:$M21,MATCH($A3,$I3:$I21,0))</f>
        <v>#N/A</v>
      </c>
      <c r="F3" s="311" t="e">
        <f>IF(AND(LEFT($M2,4)="Very",$E3="&lt;11"),"&lt;11",INDEX($N3:$N21,MATCH($A3,$I3:$I21,0)))</f>
        <v>#N/A</v>
      </c>
      <c r="G3" s="336" t="e">
        <f>INDEX($O3:$O21,MATCH($B3,$J3:$J21,0))</f>
        <v>#N/A</v>
      </c>
      <c r="H3" s="337" t="e">
        <f>INDEX($O3:$O21,MATCH($A3,$I3:$I21,0))/SUM($O3:$O21)</f>
        <v>#N/A</v>
      </c>
      <c r="I3" s="338" t="e">
        <f>RANK($K3,$K3:$K21,0)+COUNTIF($K3:$K3,$K3)-1</f>
        <v>#VALUE!</v>
      </c>
      <c r="J3" s="339" t="str">
        <f>Data!$AO$70</f>
        <v>White</v>
      </c>
      <c r="K3" s="340" t="str">
        <f>IF(Data!$AO$71="&lt;11",0,Data!$AO$71)</f>
        <v/>
      </c>
      <c r="L3" s="341" t="str">
        <f>Data!$NE$71</f>
        <v/>
      </c>
      <c r="M3" s="342" t="str">
        <f>IF(AND(LEFT($M2,4)="Very",$K3=0),0,Data!$AO72)</f>
        <v/>
      </c>
      <c r="N3" s="343" t="str">
        <f>Data!$NE72</f>
        <v/>
      </c>
      <c r="O3" s="344">
        <f>Data!$AO62</f>
        <v>212329</v>
      </c>
      <c r="P3" s="345">
        <f>Data!$NE62</f>
        <v>0.28799999999999998</v>
      </c>
    </row>
    <row r="4" spans="1:38" ht="11.25" customHeight="1" x14ac:dyDescent="0.35">
      <c r="A4" s="328">
        <v>2</v>
      </c>
      <c r="B4" s="19" t="e">
        <f>INDEX($J3:$J21,MATCH($A4,$I3:$I21,0))</f>
        <v>#N/A</v>
      </c>
      <c r="C4" s="334" t="e">
        <f t="shared" si="0"/>
        <v>#N/A</v>
      </c>
      <c r="D4" s="311" t="e">
        <f>IF($C4="&lt;11","&lt;11",INDEX($L3:$L21,MATCH($A4,$I3:$I21,0)))</f>
        <v>#N/A</v>
      </c>
      <c r="E4" s="335" t="e">
        <f>IF(AND(LEFT($M2,4)="Very",$C4="&lt;11"),"&lt;11",INDEX($M3:$M21,MATCH($B4,$J3:$J21,0)))</f>
        <v>#N/A</v>
      </c>
      <c r="F4" s="311" t="e">
        <f>IF(AND(LEFT($M2,4)="Very",$E4="&lt;11"),"&lt;11",INDEX($N3:$N21,MATCH($A4,$I3:$I21,0)))</f>
        <v>#N/A</v>
      </c>
      <c r="G4" s="336" t="e">
        <f>INDEX($O3:$O21,MATCH($B4,$J3:$J21,0))</f>
        <v>#N/A</v>
      </c>
      <c r="H4" s="337" t="e">
        <f>INDEX($O3:$O21,MATCH($A4,$I3:$I21,0))/SUM($O3:$O21)</f>
        <v>#N/A</v>
      </c>
      <c r="I4" s="338" t="e">
        <f>RANK($K4,$K3:$K21,0)+COUNTIF($K3:$K4,$K4)-1</f>
        <v>#VALUE!</v>
      </c>
      <c r="J4" s="339" t="str">
        <f>Data!$AP$70</f>
        <v>Hispanic</v>
      </c>
      <c r="K4" s="340" t="str">
        <f>IF(Data!$AP$71="&lt;11",0,Data!$AP$71)</f>
        <v/>
      </c>
      <c r="L4" s="341" t="str">
        <f>Data!$NF$71</f>
        <v/>
      </c>
      <c r="M4" s="342" t="str">
        <f>IF(AND(LEFT($M2,4)="Very",$K4=0),0,Data!$AP72)</f>
        <v/>
      </c>
      <c r="N4" s="343" t="str">
        <f>Data!$NF72</f>
        <v/>
      </c>
      <c r="O4" s="344">
        <f>Data!$AP62</f>
        <v>231440</v>
      </c>
      <c r="P4" s="345">
        <f>Data!$NF62</f>
        <v>0.314</v>
      </c>
      <c r="Q4" s="345"/>
      <c r="R4" s="345"/>
      <c r="S4" s="345"/>
      <c r="T4" s="345"/>
      <c r="U4" s="345"/>
      <c r="V4" s="345"/>
      <c r="W4" s="345"/>
      <c r="X4" s="345"/>
      <c r="Y4" s="345"/>
      <c r="Z4" s="345"/>
      <c r="AA4" s="345"/>
      <c r="AB4" s="345"/>
      <c r="AC4" s="345"/>
      <c r="AD4" s="345"/>
      <c r="AE4" s="345"/>
      <c r="AF4" s="345"/>
      <c r="AG4" s="345"/>
      <c r="AH4" s="345"/>
      <c r="AI4" s="345"/>
      <c r="AJ4" s="345"/>
      <c r="AK4" s="345"/>
      <c r="AL4" s="345"/>
    </row>
    <row r="5" spans="1:38" ht="11.25" customHeight="1" x14ac:dyDescent="0.35">
      <c r="A5" s="328">
        <v>3</v>
      </c>
      <c r="B5" s="19" t="e">
        <f>INDEX($J3:$J21,MATCH($A5,$I3:$I21,0))</f>
        <v>#N/A</v>
      </c>
      <c r="C5" s="334" t="e">
        <f t="shared" si="0"/>
        <v>#N/A</v>
      </c>
      <c r="D5" s="311" t="e">
        <f>IF($C5="&lt;11","&lt;11",INDEX($L3:$L21,MATCH($A5,$I3:$I21,0)))</f>
        <v>#N/A</v>
      </c>
      <c r="E5" s="335" t="e">
        <f>IF(AND(LEFT($M2,4)="Very",$C5="&lt;11"),"&lt;11",INDEX($M3:$M21,MATCH($B5,$J3:$J21,0)))</f>
        <v>#N/A</v>
      </c>
      <c r="F5" s="311" t="e">
        <f>IF(AND(LEFT($M2,4)="Very",$E5="&lt;11"),"&lt;11",INDEX($N3:$N21,MATCH($A5,$I3:$I21,0)))</f>
        <v>#N/A</v>
      </c>
      <c r="G5" s="336" t="e">
        <f>INDEX($O3:$O21,MATCH($B5,$J3:$J21,0))</f>
        <v>#N/A</v>
      </c>
      <c r="H5" s="337" t="e">
        <f>INDEX($O3:$O21,MATCH($A5,$I3:$I21,0))/SUM($O3:$O21)</f>
        <v>#N/A</v>
      </c>
      <c r="I5" s="338" t="e">
        <f>RANK($K5,$K3:$K21,0)+COUNTIF($K3:$K5,$K5)-1</f>
        <v>#VALUE!</v>
      </c>
      <c r="J5" s="339" t="str">
        <f>Data!$AQ$70</f>
        <v>Black</v>
      </c>
      <c r="K5" s="340" t="str">
        <f>IF(Data!$AQ$71="&lt;11",0,Data!$AQ$71)</f>
        <v/>
      </c>
      <c r="L5" s="341" t="str">
        <f>Data!$NG$71</f>
        <v/>
      </c>
      <c r="M5" s="342" t="str">
        <f>IF(AND(LEFT($M2,4)="Very",$K5=0),0,Data!$AQ72)</f>
        <v/>
      </c>
      <c r="N5" s="343" t="str">
        <f>Data!$NG72</f>
        <v/>
      </c>
      <c r="O5" s="344">
        <f>Data!$AQ62</f>
        <v>100908</v>
      </c>
      <c r="P5" s="345">
        <f>Data!$NG62</f>
        <v>0.13700000000000001</v>
      </c>
    </row>
    <row r="6" spans="1:38" ht="11.25" customHeight="1" x14ac:dyDescent="0.35">
      <c r="A6" s="328">
        <v>4</v>
      </c>
      <c r="B6" s="19" t="e">
        <f>INDEX($J3:$J21,MATCH($A6,$I3:$I21,0))</f>
        <v>#N/A</v>
      </c>
      <c r="C6" s="334" t="e">
        <f t="shared" si="0"/>
        <v>#N/A</v>
      </c>
      <c r="D6" s="311" t="e">
        <f>IF($C6="&lt;11","&lt;11",INDEX($L3:$L21,MATCH($A6,$I3:$I21,0)))</f>
        <v>#N/A</v>
      </c>
      <c r="E6" s="335" t="e">
        <f>IF(AND(LEFT($M2,4)="Very",$C6="&lt;11"),"&lt;11",INDEX($M3:$M21,MATCH($B6,$J3:$J21,0)))</f>
        <v>#N/A</v>
      </c>
      <c r="F6" s="311" t="e">
        <f>IF(AND(LEFT($M2,4)="Very",$E6="&lt;11"),"&lt;11",INDEX($N3:$N21,MATCH($A6,$I3:$I21,0)))</f>
        <v>#N/A</v>
      </c>
      <c r="G6" s="336" t="e">
        <f>INDEX($O3:$O21,MATCH($B6,$J3:$J21,0))</f>
        <v>#N/A</v>
      </c>
      <c r="H6" s="337" t="e">
        <f>INDEX($O3:$O21,MATCH($A6,$I3:$I21,0))/SUM($O3:$O21)</f>
        <v>#N/A</v>
      </c>
      <c r="I6" s="338" t="e">
        <f>RANK($K6,$K3:$K21,0)+COUNTIF($K3:$K6,$K6)-1</f>
        <v>#VALUE!</v>
      </c>
      <c r="J6" s="339" t="str">
        <f>Data!$AR$70</f>
        <v>Asian or Pacific Islander</v>
      </c>
      <c r="K6" s="340" t="str">
        <f>IF(Data!$AR$71="&lt;11",0,Data!$AR$71)</f>
        <v/>
      </c>
      <c r="L6" s="341" t="str">
        <f>Data!$NH$71</f>
        <v/>
      </c>
      <c r="M6" s="342" t="str">
        <f>IF(AND(LEFT($M2,4)="Very",$K6=0),0,Data!$AR72)</f>
        <v/>
      </c>
      <c r="N6" s="343" t="str">
        <f>Data!$NH72</f>
        <v/>
      </c>
      <c r="O6" s="344">
        <f>Data!$AR62</f>
        <v>16731</v>
      </c>
      <c r="P6" s="345">
        <f>Data!$NH62</f>
        <v>2.3E-2</v>
      </c>
      <c r="S6" s="132"/>
      <c r="T6" s="132"/>
      <c r="U6" s="132"/>
      <c r="V6" s="132"/>
      <c r="W6" s="132"/>
      <c r="X6" s="132"/>
      <c r="Y6" s="132"/>
      <c r="Z6" s="132"/>
      <c r="AA6" s="132"/>
    </row>
    <row r="7" spans="1:38" ht="11.25" customHeight="1" x14ac:dyDescent="0.35">
      <c r="A7" s="328">
        <v>5</v>
      </c>
      <c r="B7" s="19" t="e">
        <f>INDEX($J3:$J21,MATCH($A7,$I3:$I21,0))</f>
        <v>#N/A</v>
      </c>
      <c r="C7" s="334" t="e">
        <f t="shared" si="0"/>
        <v>#N/A</v>
      </c>
      <c r="D7" s="311" t="e">
        <f>IF($C7="&lt;11","&lt;11",INDEX($L3:$L21,MATCH($A7,$I3:$I21,0)))</f>
        <v>#N/A</v>
      </c>
      <c r="E7" s="335" t="e">
        <f>IF(AND(LEFT($M2,4)="Very",$C7="&lt;11"),"&lt;11",INDEX($M3:$M21,MATCH($B7,$J3:$J21,0)))</f>
        <v>#N/A</v>
      </c>
      <c r="F7" s="311" t="e">
        <f>IF(AND(LEFT($M2,4)="Very",$E7="&lt;11"),"&lt;11",INDEX($N3:$N21,MATCH($A7,$I3:$I21,0)))</f>
        <v>#N/A</v>
      </c>
      <c r="G7" s="336" t="e">
        <f>INDEX($O3:$O21,MATCH($B7,$J3:$J21,0))</f>
        <v>#N/A</v>
      </c>
      <c r="H7" s="337" t="e">
        <f>INDEX($O3:$O21,MATCH($A7,$I3:$I21,0))/SUM($O3:$O21)</f>
        <v>#N/A</v>
      </c>
      <c r="I7" s="338" t="e">
        <f>RANK($K7,$K3:$K21,0)+COUNTIF($K3:$K7,$K7)-1</f>
        <v>#VALUE!</v>
      </c>
      <c r="J7" s="339" t="str">
        <f>Data!$AS$70</f>
        <v>Alaskan Native or American Indian</v>
      </c>
      <c r="K7" s="340" t="str">
        <f>IF(Data!$AS$71="&lt;11",0,Data!$AS$71)</f>
        <v/>
      </c>
      <c r="L7" s="341" t="str">
        <f>Data!$NI$71</f>
        <v/>
      </c>
      <c r="M7" s="342" t="str">
        <f>IF(AND(LEFT($M2,4)="Very",$K7=0),0,Data!$AS72)</f>
        <v/>
      </c>
      <c r="N7" s="343" t="str">
        <f>Data!$NI72</f>
        <v/>
      </c>
      <c r="O7" s="344">
        <f>Data!$AS62</f>
        <v>3463</v>
      </c>
      <c r="P7" s="345">
        <f>Data!$NI62</f>
        <v>5.0000000000000001E-3</v>
      </c>
      <c r="Q7" s="345"/>
      <c r="S7" s="44"/>
      <c r="T7" s="44"/>
      <c r="U7" s="44"/>
      <c r="V7" s="44"/>
      <c r="W7" s="44"/>
      <c r="X7" s="44"/>
      <c r="Y7" s="44"/>
      <c r="Z7" s="44"/>
      <c r="AA7" s="44"/>
    </row>
    <row r="8" spans="1:38" ht="11.25" customHeight="1" x14ac:dyDescent="0.35">
      <c r="A8" s="328">
        <v>6</v>
      </c>
      <c r="B8" s="19" t="e">
        <f>INDEX($J3:$J21,MATCH($A8,$I3:$I21,0))</f>
        <v>#N/A</v>
      </c>
      <c r="C8" s="334" t="e">
        <f t="shared" si="0"/>
        <v>#N/A</v>
      </c>
      <c r="D8" s="311" t="e">
        <f>IF($C8="&lt;11","&lt;11",INDEX($L3:$L21,MATCH($A8,$I3:$I21,0)))</f>
        <v>#N/A</v>
      </c>
      <c r="E8" s="335" t="e">
        <f>IF(AND(LEFT($M2,4)="Very",$C8="&lt;11"),"&lt;11",INDEX($M3:$M21,MATCH($B8,$J3:$J21,0)))</f>
        <v>#N/A</v>
      </c>
      <c r="F8" s="311" t="e">
        <f>IF(AND(LEFT($M2,4)="Very",$E8="&lt;11"),"&lt;11",INDEX($N3:$N21,MATCH($A8,$I3:$I21,0)))</f>
        <v>#N/A</v>
      </c>
      <c r="G8" s="336" t="e">
        <f>INDEX($O3:$O21,MATCH($B8,$J3:$J21,0))</f>
        <v>#N/A</v>
      </c>
      <c r="H8" s="337" t="e">
        <f>INDEX($O3:$O21,MATCH($A8,$I3:$I21,0))/SUM($O3:$O21)</f>
        <v>#N/A</v>
      </c>
      <c r="I8" s="338" t="e">
        <f>RANK($K8,$K3:$K21,0)+COUNTIF($K3:$K8,$K8)-1</f>
        <v>#VALUE!</v>
      </c>
      <c r="J8" s="339" t="str">
        <f>Data!$AT$70</f>
        <v>Filipino</v>
      </c>
      <c r="K8" s="340" t="str">
        <f>IF(Data!$AT$71="&lt;11",0,Data!$AT$71)</f>
        <v/>
      </c>
      <c r="L8" s="341" t="str">
        <f>Data!$NJ$71</f>
        <v/>
      </c>
      <c r="M8" s="342" t="str">
        <f>IF(AND(LEFT($M2,4)="Very",$K8=0),0,Data!$AT72)</f>
        <v/>
      </c>
      <c r="N8" s="343" t="str">
        <f>Data!$NJ72</f>
        <v/>
      </c>
      <c r="O8" s="344">
        <f>Data!$AT62</f>
        <v>22537</v>
      </c>
      <c r="P8" s="345">
        <f>Data!$NJ62</f>
        <v>3.1E-2</v>
      </c>
      <c r="Q8" s="345"/>
      <c r="S8" s="46"/>
      <c r="T8" s="46"/>
      <c r="U8" s="46"/>
      <c r="V8" s="46"/>
      <c r="W8" s="46"/>
      <c r="X8" s="46"/>
      <c r="Y8" s="46"/>
      <c r="Z8" s="46"/>
      <c r="AA8" s="46"/>
    </row>
    <row r="9" spans="1:38" ht="11.25" customHeight="1" x14ac:dyDescent="0.35">
      <c r="A9" s="328">
        <v>7</v>
      </c>
      <c r="B9" s="19" t="e">
        <f>INDEX($J3:$J21,MATCH($A9,$I3:$I21,0))</f>
        <v>#N/A</v>
      </c>
      <c r="C9" s="334" t="e">
        <f t="shared" si="0"/>
        <v>#N/A</v>
      </c>
      <c r="D9" s="311" t="e">
        <f>IF($C9="&lt;11","&lt;11",INDEX($L3:$L21,MATCH($A9,$I3:$I21,0)))</f>
        <v>#N/A</v>
      </c>
      <c r="E9" s="335" t="e">
        <f>IF(AND(LEFT($M2,4)="Very",$C9="&lt;11"),"&lt;11",INDEX($M3:$M21,MATCH($B9,$J3:$J21,0)))</f>
        <v>#N/A</v>
      </c>
      <c r="F9" s="311" t="e">
        <f>IF(AND(LEFT($M2,4)="Very",$E9="&lt;11"),"&lt;11",INDEX($N3:$N21,MATCH($A9,$I3:$I21,0)))</f>
        <v>#N/A</v>
      </c>
      <c r="G9" s="336" t="e">
        <f>INDEX($O3:$O21,MATCH($B9,$J3:$J21,0))</f>
        <v>#N/A</v>
      </c>
      <c r="H9" s="337" t="e">
        <f>INDEX($O3:$O21,MATCH($A9,$I3:$I21,0))/SUM($O3:$O21)</f>
        <v>#N/A</v>
      </c>
      <c r="I9" s="338" t="e">
        <f>RANK($K9,$K3:$K21,0)+COUNTIF($K3:$K9,$K9)-1</f>
        <v>#VALUE!</v>
      </c>
      <c r="J9" s="339" t="s">
        <v>381</v>
      </c>
      <c r="K9" s="340" t="str">
        <f>IF(Data!$AU$71="&lt;11",0,Data!$AU$71)</f>
        <v/>
      </c>
      <c r="L9" s="341" t="str">
        <f>IFERROR(Data!$NK$71,"&lt;11")</f>
        <v/>
      </c>
      <c r="M9" s="342" t="str">
        <f>IF(AND(LEFT($M2,4)="Very",$K9=0),0,Data!$AU72)</f>
        <v/>
      </c>
      <c r="N9" s="343" t="str">
        <f>IF(Data!$OF71="&lt;11",0,Data!$OF71)</f>
        <v/>
      </c>
      <c r="O9" s="344">
        <f>Data!$AU62</f>
        <v>10193</v>
      </c>
      <c r="P9" s="345">
        <f>Data!$NK62</f>
        <v>1.4E-2</v>
      </c>
      <c r="Q9" s="345"/>
      <c r="S9" s="46"/>
      <c r="T9" s="46"/>
      <c r="U9" s="46"/>
      <c r="V9" s="46"/>
      <c r="W9" s="46"/>
      <c r="X9" s="46"/>
      <c r="Y9" s="46"/>
      <c r="Z9" s="46"/>
      <c r="AA9" s="46"/>
    </row>
    <row r="10" spans="1:38" ht="11.25" customHeight="1" x14ac:dyDescent="0.35">
      <c r="A10" s="328">
        <v>8</v>
      </c>
      <c r="B10" s="19" t="e">
        <f>INDEX($J3:$J21,MATCH($A10,$I3:$I21,0))</f>
        <v>#N/A</v>
      </c>
      <c r="C10" s="334" t="e">
        <f t="shared" si="0"/>
        <v>#N/A</v>
      </c>
      <c r="D10" s="311" t="e">
        <f>IF($C10="&lt;11","&lt;11",INDEX($L3:$L21,MATCH($A10,$I3:$I21,0)))</f>
        <v>#N/A</v>
      </c>
      <c r="E10" s="335" t="e">
        <f>IF(AND(LEFT($M2,4)="Very",$C10="&lt;11"),"&lt;11",INDEX($M3:$M21,MATCH($B10,$J3:$J21,0)))</f>
        <v>#N/A</v>
      </c>
      <c r="F10" s="311" t="e">
        <f>IF(AND(LEFT($M2,4)="Very",$E10="&lt;11"),"&lt;11",INDEX($N3:$N21,MATCH($A10,$I3:$I21,0)))</f>
        <v>#N/A</v>
      </c>
      <c r="G10" s="336" t="e">
        <f>INDEX($O3:$O21,MATCH($B10,$J3:$J21,0))</f>
        <v>#N/A</v>
      </c>
      <c r="H10" s="337" t="e">
        <f>INDEX($O3:$O21,MATCH($A10,$I3:$I21,0))/SUM($O3:$O21)</f>
        <v>#N/A</v>
      </c>
      <c r="I10" s="338" t="e">
        <f>RANK($K10,$K3:$K21,0)+COUNTIF($K3:$K10,$K10)-1</f>
        <v>#VALUE!</v>
      </c>
      <c r="J10" s="339" t="str">
        <f>Data!$AV$70</f>
        <v>Amerasian</v>
      </c>
      <c r="K10" s="340" t="str">
        <f>IF(Data!$AV$71="&lt;11",0,Data!$AV$71)</f>
        <v/>
      </c>
      <c r="L10" s="341" t="str">
        <f>Data!$NL$71</f>
        <v/>
      </c>
      <c r="M10" s="342" t="str">
        <f>IF(AND(LEFT($M2,4)="Very",$K10=0),0,Data!$AV72)</f>
        <v/>
      </c>
      <c r="N10" s="343" t="str">
        <f>Data!$NL72</f>
        <v/>
      </c>
      <c r="O10" s="344">
        <f>Data!$AV62</f>
        <v>397</v>
      </c>
      <c r="P10" s="345">
        <f>Data!$NL62</f>
        <v>1E-3</v>
      </c>
      <c r="Q10" s="345"/>
      <c r="S10" s="188"/>
      <c r="T10" s="188"/>
      <c r="U10" s="188"/>
      <c r="V10" s="188"/>
      <c r="W10" s="188"/>
      <c r="X10" s="188"/>
      <c r="Y10" s="188"/>
      <c r="Z10" s="188"/>
      <c r="AA10" s="188"/>
    </row>
    <row r="11" spans="1:38" ht="11.25" customHeight="1" x14ac:dyDescent="0.35">
      <c r="A11" s="328">
        <v>9</v>
      </c>
      <c r="B11" s="19" t="e">
        <f>INDEX($J3:$J21,MATCH($A11,$I3:$I21,0))</f>
        <v>#N/A</v>
      </c>
      <c r="C11" s="334" t="e">
        <f t="shared" si="0"/>
        <v>#N/A</v>
      </c>
      <c r="D11" s="311" t="e">
        <f>IF($C11="&lt;11","&lt;11",INDEX($L3:$L21,MATCH($A11,$I3:$I21,0)))</f>
        <v>#N/A</v>
      </c>
      <c r="E11" s="335" t="e">
        <f>IF(AND(LEFT($M2,4)="Very",$C11="&lt;11"),"&lt;11",INDEX($M3:$M21,MATCH($B11,$J3:$J21,0)))</f>
        <v>#N/A</v>
      </c>
      <c r="F11" s="311" t="e">
        <f>IF(AND(LEFT($M2,4)="Very",$E11="&lt;11"),"&lt;11",INDEX($N3:$N21,MATCH($A11,$I3:$I21,0)))</f>
        <v>#N/A</v>
      </c>
      <c r="G11" s="336" t="e">
        <f>INDEX($O3:$O21,MATCH($B11,$J3:$J21,0))</f>
        <v>#N/A</v>
      </c>
      <c r="H11" s="337" t="e">
        <f>INDEX($O3:$O21,MATCH($A11,$I3:$I21,0))/SUM($O3:$O21)</f>
        <v>#N/A</v>
      </c>
      <c r="I11" s="338" t="e">
        <f>RANK($K11,$K3:$K21,0)+COUNTIF($K3:$K11,$K11)-1</f>
        <v>#VALUE!</v>
      </c>
      <c r="J11" s="339" t="str">
        <f>Data!$AW$70</f>
        <v>Chinese</v>
      </c>
      <c r="K11" s="340" t="str">
        <f>IF(Data!$AW$71="&lt;11",0,Data!$AW$71)</f>
        <v/>
      </c>
      <c r="L11" s="341" t="str">
        <f>Data!$NM$71</f>
        <v/>
      </c>
      <c r="M11" s="342" t="str">
        <f>IF(AND(LEFT($M2,4)="Very",$K11=0),0,Data!$AW72)</f>
        <v/>
      </c>
      <c r="N11" s="343" t="str">
        <f>Data!$NM72</f>
        <v/>
      </c>
      <c r="O11" s="344">
        <f>Data!$AW62</f>
        <v>46077</v>
      </c>
      <c r="P11" s="345">
        <f>Data!$NM62</f>
        <v>6.2E-2</v>
      </c>
      <c r="Q11" s="345"/>
    </row>
    <row r="12" spans="1:38" ht="11.25" customHeight="1" x14ac:dyDescent="0.35">
      <c r="A12" s="328">
        <v>10</v>
      </c>
      <c r="B12" s="19" t="e">
        <f>INDEX($J3:$J21,MATCH($A12,$I3:$I21,0))</f>
        <v>#N/A</v>
      </c>
      <c r="C12" s="334" t="e">
        <f t="shared" si="0"/>
        <v>#N/A</v>
      </c>
      <c r="D12" s="311" t="e">
        <f>IF($C12="&lt;11","&lt;11",INDEX($L3:$L21,MATCH($A12,$I3:$I21,0)))</f>
        <v>#N/A</v>
      </c>
      <c r="E12" s="335" t="e">
        <f>IF(AND(LEFT($M2,4)="Very",$C12="&lt;11"),"&lt;11",INDEX($M3:$M21,MATCH($B12,$J3:$J21,0)))</f>
        <v>#N/A</v>
      </c>
      <c r="F12" s="311" t="e">
        <f>IF(AND(LEFT($M2,4)="Very",$E12="&lt;11"),"&lt;11",INDEX($N3:$N21,MATCH($A12,$I3:$I21,0)))</f>
        <v>#N/A</v>
      </c>
      <c r="G12" s="336" t="e">
        <f>INDEX($O3:$O21,MATCH($B12,$J3:$J21,0))</f>
        <v>#N/A</v>
      </c>
      <c r="H12" s="337" t="e">
        <f>INDEX($O3:$O21,MATCH($A12,$I3:$I21,0))/SUM($O3:$O21)</f>
        <v>#N/A</v>
      </c>
      <c r="I12" s="338" t="e">
        <f>RANK($K12,$K3:$K21,0)+COUNTIF($K3:$K12,$K12)-1</f>
        <v>#VALUE!</v>
      </c>
      <c r="J12" s="339" t="str">
        <f>Data!$AX$70</f>
        <v>Cambodian</v>
      </c>
      <c r="K12" s="340" t="str">
        <f>IF(Data!$AX$71="&lt;11",0,Data!$AX$71)</f>
        <v/>
      </c>
      <c r="L12" s="341" t="str">
        <f>Data!$NN$71</f>
        <v/>
      </c>
      <c r="M12" s="342" t="str">
        <f>IF(AND(LEFT($M2,4)="Very",$K12=0),0,Data!$AX72)</f>
        <v/>
      </c>
      <c r="N12" s="343" t="str">
        <f>Data!$NN72</f>
        <v/>
      </c>
      <c r="O12" s="344">
        <f>Data!$AX62</f>
        <v>6404</v>
      </c>
      <c r="P12" s="345">
        <f>Data!$NN62</f>
        <v>8.9999999999999993E-3</v>
      </c>
      <c r="Q12" s="345"/>
    </row>
    <row r="13" spans="1:38" ht="11.25" customHeight="1" x14ac:dyDescent="0.35">
      <c r="A13" s="328">
        <v>11</v>
      </c>
      <c r="B13" s="19" t="e">
        <f>INDEX($J3:$J21,MATCH($A13,$I3:$I21,0))</f>
        <v>#N/A</v>
      </c>
      <c r="C13" s="334" t="e">
        <f t="shared" si="0"/>
        <v>#N/A</v>
      </c>
      <c r="D13" s="311" t="e">
        <f>IF($C13="&lt;11","&lt;11",INDEX($L3:$L21,MATCH($A13,$I3:$I21,0)))</f>
        <v>#N/A</v>
      </c>
      <c r="E13" s="335" t="e">
        <f>IF(AND(LEFT($M2,4)="Very",$C13="&lt;11"),"&lt;11",INDEX($M3:$M21,MATCH($B13,$J3:$J21,0)))</f>
        <v>#N/A</v>
      </c>
      <c r="F13" s="311" t="e">
        <f>IF(AND(LEFT($M2,4)="Very",$E13="&lt;11"),"&lt;11",INDEX($N3:$N21,MATCH($A13,$I3:$I21,0)))</f>
        <v>#N/A</v>
      </c>
      <c r="G13" s="336" t="e">
        <f>INDEX($O3:$O21,MATCH($B13,$J3:$J21,0))</f>
        <v>#N/A</v>
      </c>
      <c r="H13" s="337" t="e">
        <f>INDEX($O3:$O21,MATCH($A13,$I3:$I21,0))/SUM($O3:$O21)</f>
        <v>#N/A</v>
      </c>
      <c r="I13" s="338" t="e">
        <f>RANK($K13,$K3:$K21,0)+COUNTIF($K3:$K13,$K13)-1</f>
        <v>#VALUE!</v>
      </c>
      <c r="J13" s="339" t="str">
        <f>Data!$AY$70</f>
        <v>Japanese</v>
      </c>
      <c r="K13" s="340" t="str">
        <f>IF(Data!$AY$71="&lt;11",0,Data!$AY$71)</f>
        <v/>
      </c>
      <c r="L13" s="341" t="str">
        <f>Data!$NO$71</f>
        <v/>
      </c>
      <c r="M13" s="342" t="str">
        <f>IF(AND(LEFT($M2,4)="Very",$K13=0),0,Data!$AY72)</f>
        <v/>
      </c>
      <c r="N13" s="343" t="str">
        <f>Data!$NO72</f>
        <v/>
      </c>
      <c r="O13" s="344">
        <f>Data!$AY62</f>
        <v>890</v>
      </c>
      <c r="P13" s="345">
        <f>Data!$NO62</f>
        <v>1E-3</v>
      </c>
      <c r="Q13" s="345"/>
    </row>
    <row r="14" spans="1:38" ht="11.25" customHeight="1" x14ac:dyDescent="0.35">
      <c r="A14" s="328">
        <v>12</v>
      </c>
      <c r="B14" s="19" t="e">
        <f>INDEX($J3:$J21,MATCH($A14,$I3:$I21,0))</f>
        <v>#N/A</v>
      </c>
      <c r="C14" s="334" t="e">
        <f t="shared" si="0"/>
        <v>#N/A</v>
      </c>
      <c r="D14" s="311" t="e">
        <f>IF($C14="&lt;11","&lt;11",INDEX($L3:$L21,MATCH($A14,$I3:$I21,0)))</f>
        <v>#N/A</v>
      </c>
      <c r="E14" s="335" t="e">
        <f>IF(AND(LEFT($M2,4)="Very",$C14="&lt;11"),"&lt;11",INDEX($M3:$M21,MATCH($B14,$J3:$J21,0)))</f>
        <v>#N/A</v>
      </c>
      <c r="F14" s="311" t="e">
        <f>IF(AND(LEFT($M2,4)="Very",$E14="&lt;11"),"&lt;11",INDEX($N3:$N21,MATCH($A14,$I3:$I21,0)))</f>
        <v>#N/A</v>
      </c>
      <c r="G14" s="336" t="e">
        <f>INDEX($O3:$O21,MATCH($B14,$J3:$J21,0))</f>
        <v>#N/A</v>
      </c>
      <c r="H14" s="337" t="e">
        <f>INDEX($O3:$O21,MATCH($A14,$I3:$I21,0))/SUM($O3:$O21)</f>
        <v>#N/A</v>
      </c>
      <c r="I14" s="338" t="e">
        <f>RANK($K14,$K3:$K21,0)+COUNTIF($K3:$K14,$K14)-1</f>
        <v>#VALUE!</v>
      </c>
      <c r="J14" s="339" t="str">
        <f>Data!$AZ$70</f>
        <v>Korean</v>
      </c>
      <c r="K14" s="340" t="str">
        <f>IF(Data!$AZ$71="&lt;11",0,Data!$AZ$71)</f>
        <v/>
      </c>
      <c r="L14" s="341" t="str">
        <f>Data!$NP$71</f>
        <v/>
      </c>
      <c r="M14" s="342" t="str">
        <f>IF(AND(LEFT($M2,4)="Very",$K14=0),0,Data!$AZ72)</f>
        <v/>
      </c>
      <c r="N14" s="343" t="str">
        <f>Data!$NP72</f>
        <v/>
      </c>
      <c r="O14" s="344">
        <f>Data!$AZ62</f>
        <v>14121</v>
      </c>
      <c r="P14" s="345">
        <f>Data!$NP62</f>
        <v>1.9E-2</v>
      </c>
      <c r="Q14" s="345"/>
    </row>
    <row r="15" spans="1:38" ht="11.25" customHeight="1" x14ac:dyDescent="0.35">
      <c r="A15" s="328">
        <v>13</v>
      </c>
      <c r="B15" s="19" t="e">
        <f>INDEX($J3:$J21,MATCH($A15,$I3:$I21,0))</f>
        <v>#N/A</v>
      </c>
      <c r="C15" s="334" t="e">
        <f t="shared" si="0"/>
        <v>#N/A</v>
      </c>
      <c r="D15" s="311" t="e">
        <f>IF($C15="&lt;11","&lt;11",INDEX($L3:$L21,MATCH($A15,$I3:$I21,0)))</f>
        <v>#N/A</v>
      </c>
      <c r="E15" s="335" t="e">
        <f>IF(AND(LEFT($M2,4)="Very",$C15="&lt;11"),"&lt;11",INDEX($M3:$M21,MATCH($B15,$J3:$J21,0)))</f>
        <v>#N/A</v>
      </c>
      <c r="F15" s="311" t="e">
        <f>IF(AND(LEFT($M2,4)="Very",$E15="&lt;11"),"&lt;11",INDEX($N3:$N21,MATCH($A15,$I3:$I21,0)))</f>
        <v>#N/A</v>
      </c>
      <c r="G15" s="336" t="e">
        <f>INDEX($O3:$O21,MATCH($B15,$J3:$J21,0))</f>
        <v>#N/A</v>
      </c>
      <c r="H15" s="337" t="e">
        <f>INDEX($O3:$O21,MATCH($A15,$I3:$I21,0))/SUM($O3:$O21)</f>
        <v>#N/A</v>
      </c>
      <c r="I15" s="338" t="e">
        <f>RANK($K15,$K3:$K21,0)+COUNTIF($K3:$K15,$K15)-1</f>
        <v>#VALUE!</v>
      </c>
      <c r="J15" s="339" t="str">
        <f>Data!$BA$70</f>
        <v>Samoan</v>
      </c>
      <c r="K15" s="340" t="str">
        <f>IF(Data!$BA$71="&lt;11",0,Data!$BA$71)</f>
        <v/>
      </c>
      <c r="L15" s="341" t="str">
        <f>Data!$NQ$71</f>
        <v/>
      </c>
      <c r="M15" s="342" t="str">
        <f>IF(AND(LEFT($M2,4)="Very",$K15=0),0,Data!$BA72)</f>
        <v/>
      </c>
      <c r="N15" s="343" t="str">
        <f>Data!$NQ72</f>
        <v/>
      </c>
      <c r="O15" s="344">
        <f>Data!$BA62</f>
        <v>783</v>
      </c>
      <c r="P15" s="345">
        <f>Data!$NQ62</f>
        <v>1E-3</v>
      </c>
      <c r="Q15" s="345"/>
    </row>
    <row r="16" spans="1:38" ht="11.25" customHeight="1" x14ac:dyDescent="0.35">
      <c r="A16" s="328">
        <v>14</v>
      </c>
      <c r="B16" s="19" t="e">
        <f>INDEX($J3:$J21,MATCH($A16,$I3:$I21,0))</f>
        <v>#N/A</v>
      </c>
      <c r="C16" s="334" t="e">
        <f t="shared" si="0"/>
        <v>#N/A</v>
      </c>
      <c r="D16" s="311" t="e">
        <f>IF($C16="&lt;11","&lt;11",INDEX($L3:$L21,MATCH($A16,$I3:$I21,0)))</f>
        <v>#N/A</v>
      </c>
      <c r="E16" s="335" t="e">
        <f>IF(AND(LEFT($M2,4)="Very",$C16="&lt;11"),"&lt;11",INDEX($M3:$M21,MATCH($B16,$J3:$J21,0)))</f>
        <v>#N/A</v>
      </c>
      <c r="F16" s="311" t="e">
        <f>IF(AND(LEFT($M2,4)="Very",$E16="&lt;11"),"&lt;11",INDEX($N3:$N21,MATCH($A16,$I3:$I21,0)))</f>
        <v>#N/A</v>
      </c>
      <c r="G16" s="336" t="e">
        <f>INDEX($O3:$O21,MATCH($B16,$J3:$J21,0))</f>
        <v>#N/A</v>
      </c>
      <c r="H16" s="337" t="e">
        <f>INDEX($O3:$O21,MATCH($A16,$I3:$I21,0))/SUM($O3:$O21)</f>
        <v>#N/A</v>
      </c>
      <c r="I16" s="338" t="e">
        <f>RANK($K16,$K3:$K21,0)+COUNTIF($K3:$K16,$K16)-1</f>
        <v>#VALUE!</v>
      </c>
      <c r="J16" s="339" t="str">
        <f>Data!$BB$70</f>
        <v>Asian Indian</v>
      </c>
      <c r="K16" s="340" t="str">
        <f>IF(Data!$BB$71="&lt;11",0,Data!$BB$71)</f>
        <v/>
      </c>
      <c r="L16" s="341" t="str">
        <f>Data!$NR$71</f>
        <v/>
      </c>
      <c r="M16" s="342" t="str">
        <f>IF(AND(LEFT($M2,4)="Very",$K16=0),0,Data!$BB72)</f>
        <v/>
      </c>
      <c r="N16" s="343" t="str">
        <f>Data!$NR72</f>
        <v/>
      </c>
      <c r="O16" s="344">
        <f>Data!$BB62</f>
        <v>11392</v>
      </c>
      <c r="P16" s="345">
        <f>Data!$NR62</f>
        <v>1.4999999999999999E-2</v>
      </c>
      <c r="Q16" s="345"/>
    </row>
    <row r="17" spans="1:49" ht="11.25" customHeight="1" x14ac:dyDescent="0.35">
      <c r="A17" s="328">
        <v>15</v>
      </c>
      <c r="B17" s="19" t="e">
        <f>INDEX($J3:$J21,MATCH($A17,$I3:$I21,0))</f>
        <v>#N/A</v>
      </c>
      <c r="C17" s="334" t="e">
        <f t="shared" si="0"/>
        <v>#N/A</v>
      </c>
      <c r="D17" s="311" t="e">
        <f>IF($C17="&lt;11","&lt;11",INDEX($L3:$L21,MATCH($A17,$I3:$I21,0)))</f>
        <v>#N/A</v>
      </c>
      <c r="E17" s="335" t="e">
        <f>IF(AND(LEFT($M2,4)="Very",$C17="&lt;11"),"&lt;11",INDEX($M3:$M21,MATCH($B17,$J3:$J21,0)))</f>
        <v>#N/A</v>
      </c>
      <c r="F17" s="311" t="e">
        <f>IF(AND(LEFT($M2,4)="Very",$E17="&lt;11"),"&lt;11",INDEX($N3:$N21,MATCH($A17,$I3:$I21,0)))</f>
        <v>#N/A</v>
      </c>
      <c r="G17" s="336" t="e">
        <f>INDEX($O3:$O21,MATCH($B17,$J3:$J21,0))</f>
        <v>#N/A</v>
      </c>
      <c r="H17" s="337" t="e">
        <f>INDEX($O3:$O21,MATCH($A17,$I3:$I21,0))/SUM($O3:$O21)</f>
        <v>#N/A</v>
      </c>
      <c r="I17" s="338" t="e">
        <f>RANK($K17,$K3:$K21,0)+COUNTIF($K3:$K17,$K17)-1</f>
        <v>#VALUE!</v>
      </c>
      <c r="J17" s="339" t="str">
        <f>Data!$BC$70</f>
        <v>Hawaiian</v>
      </c>
      <c r="K17" s="340" t="str">
        <f>IF(Data!$BC$71="&lt;11",0,Data!$BC$71)</f>
        <v/>
      </c>
      <c r="L17" s="341" t="str">
        <f>Data!$NS$71</f>
        <v/>
      </c>
      <c r="M17" s="342" t="str">
        <f>IF(AND(LEFT($M2,4)="Very",$K17=0),0,Data!$BC72)</f>
        <v/>
      </c>
      <c r="N17" s="343" t="str">
        <f>Data!$NS72</f>
        <v/>
      </c>
      <c r="O17" s="344">
        <f>Data!$BC62</f>
        <v>222</v>
      </c>
      <c r="P17" s="345">
        <f>Data!$NS62</f>
        <v>0</v>
      </c>
      <c r="Q17" s="345"/>
    </row>
    <row r="18" spans="1:49" ht="11.25" customHeight="1" x14ac:dyDescent="0.35">
      <c r="A18" s="328">
        <v>16</v>
      </c>
      <c r="B18" s="19" t="e">
        <f>INDEX($J3:$J21,MATCH($A18,$I3:$I21,0))</f>
        <v>#N/A</v>
      </c>
      <c r="C18" s="334" t="e">
        <f t="shared" si="0"/>
        <v>#N/A</v>
      </c>
      <c r="D18" s="311" t="e">
        <f>IF($C18="&lt;11","&lt;11",INDEX($L3:$L21,MATCH($A18,$I3:$I21,0)))</f>
        <v>#N/A</v>
      </c>
      <c r="E18" s="335" t="e">
        <f>IF(AND(LEFT($M2,4)="Very",$C18="&lt;11"),"&lt;11",INDEX($M3:$M21,MATCH($B18,$J3:$J21,0)))</f>
        <v>#N/A</v>
      </c>
      <c r="F18" s="311" t="e">
        <f>IF(AND(LEFT($M2,4)="Very",$E18="&lt;11"),"&lt;11",INDEX($N3:$N21,MATCH($A18,$I3:$I21,0)))</f>
        <v>#N/A</v>
      </c>
      <c r="G18" s="336" t="e">
        <f>INDEX($O3:$O21,MATCH($B18,$J3:$J21,0))</f>
        <v>#N/A</v>
      </c>
      <c r="H18" s="337" t="e">
        <f>INDEX($O3:$O21,MATCH($A18,$I3:$I21,0))/SUM($O3:$O21)</f>
        <v>#N/A</v>
      </c>
      <c r="I18" s="338" t="e">
        <f>RANK($K18,$K3:$K21,0)+COUNTIF($K3:$K18,$K18)-1</f>
        <v>#VALUE!</v>
      </c>
      <c r="J18" s="339" t="str">
        <f>Data!$BD$70</f>
        <v>Guamanian</v>
      </c>
      <c r="K18" s="340" t="str">
        <f>IF(Data!$BD$71="&lt;11",0,Data!$BD$71)</f>
        <v/>
      </c>
      <c r="L18" s="341" t="str">
        <f>Data!$NT$71</f>
        <v/>
      </c>
      <c r="M18" s="342" t="str">
        <f>IF(AND(LEFT($M2,4)="Very",$K18=0),0,Data!$BD72)</f>
        <v/>
      </c>
      <c r="N18" s="343" t="str">
        <f>Data!$NT72</f>
        <v/>
      </c>
      <c r="O18" s="344">
        <f>Data!$BD62</f>
        <v>111</v>
      </c>
      <c r="P18" s="345">
        <f>Data!$NT62</f>
        <v>0</v>
      </c>
      <c r="Q18" s="345"/>
    </row>
    <row r="19" spans="1:49" ht="11.25" customHeight="1" x14ac:dyDescent="0.35">
      <c r="A19" s="328">
        <v>17</v>
      </c>
      <c r="B19" s="19" t="e">
        <f>INDEX($J3:$J21,MATCH($A19,$I3:$I21,0))</f>
        <v>#N/A</v>
      </c>
      <c r="C19" s="334" t="e">
        <f t="shared" si="0"/>
        <v>#N/A</v>
      </c>
      <c r="D19" s="311" t="e">
        <f>IF($C19="&lt;11","&lt;11",INDEX($L3:$L21,MATCH($A19,$I3:$I21,0)))</f>
        <v>#N/A</v>
      </c>
      <c r="E19" s="335" t="e">
        <f>IF(AND(LEFT($M2,4)="Very",$C19="&lt;11"),"&lt;11",INDEX($M3:$M21,MATCH($B19,$J3:$J21,0)))</f>
        <v>#N/A</v>
      </c>
      <c r="F19" s="311" t="e">
        <f>IF(AND(LEFT($M2,4)="Very",$E19="&lt;11"),"&lt;11",INDEX($N3:$N21,MATCH($A19,$I3:$I21,0)))</f>
        <v>#N/A</v>
      </c>
      <c r="G19" s="336" t="e">
        <f>INDEX($O3:$O21,MATCH($B19,$J3:$J21,0))</f>
        <v>#N/A</v>
      </c>
      <c r="H19" s="337" t="e">
        <f>INDEX($O3:$O21,MATCH($A19,$I3:$I21,0))/SUM($O3:$O21)</f>
        <v>#N/A</v>
      </c>
      <c r="I19" s="338" t="e">
        <f>RANK($K19,$K3:$K21,0)+COUNTIF($K3:$K19,$K19)-1</f>
        <v>#VALUE!</v>
      </c>
      <c r="J19" s="339" t="str">
        <f>Data!$BE$70</f>
        <v>Laotian</v>
      </c>
      <c r="K19" s="340" t="str">
        <f>IF(Data!$BE$71="&lt;11",0,Data!$BE$71)</f>
        <v/>
      </c>
      <c r="L19" s="341" t="str">
        <f>Data!$NU$71</f>
        <v/>
      </c>
      <c r="M19" s="342" t="str">
        <f>IF(AND(LEFT($M2,4)="Very",$K19=0),0,Data!$BE72)</f>
        <v/>
      </c>
      <c r="N19" s="343" t="str">
        <f>Data!$NU72</f>
        <v/>
      </c>
      <c r="O19" s="344">
        <f>Data!$BE62</f>
        <v>4110</v>
      </c>
      <c r="P19" s="345">
        <f>Data!$NU62</f>
        <v>6.0000000000000001E-3</v>
      </c>
      <c r="Q19" s="345"/>
    </row>
    <row r="20" spans="1:49" ht="11.25" customHeight="1" x14ac:dyDescent="0.35">
      <c r="A20" s="328">
        <v>18</v>
      </c>
      <c r="B20" s="19" t="e">
        <f>INDEX($J3:$J21,MATCH($A20,$I3:$I21,0))</f>
        <v>#N/A</v>
      </c>
      <c r="C20" s="334" t="e">
        <f t="shared" si="0"/>
        <v>#N/A</v>
      </c>
      <c r="D20" s="311" t="e">
        <f>IF($C20="&lt;11","&lt;11",INDEX($L3:$L21,MATCH($A20,$I3:$I21,0)))</f>
        <v>#N/A</v>
      </c>
      <c r="E20" s="335" t="e">
        <f>IF(AND(LEFT($M2,4)="Very",$C20="&lt;11"),"&lt;11",INDEX($M3:$M21,MATCH($B20,$J3:$J21,0)))</f>
        <v>#N/A</v>
      </c>
      <c r="F20" s="311" t="e">
        <f>IF(AND(LEFT($M2,4)="Very",$E20="&lt;11"),"&lt;11",INDEX($N3:$N21,MATCH($A20,$I3:$I21,0)))</f>
        <v>#N/A</v>
      </c>
      <c r="G20" s="336" t="e">
        <f>INDEX($O3:$O21,MATCH($B20,$J3:$J21,0))</f>
        <v>#N/A</v>
      </c>
      <c r="H20" s="337" t="e">
        <f>INDEX($O3:$O21,MATCH($A20,$I3:$I21,0))/SUM($O3:$O21)</f>
        <v>#N/A</v>
      </c>
      <c r="I20" s="338" t="e">
        <f>RANK($K20,$K3:$K21,0)+COUNTIF($K3:$K20,$K20)-1</f>
        <v>#VALUE!</v>
      </c>
      <c r="J20" s="339" t="str">
        <f>Data!$BF$70</f>
        <v>Vietnamese</v>
      </c>
      <c r="K20" s="340" t="str">
        <f>IF(Data!$BF$71="&lt;11",0,Data!$BF$71)</f>
        <v/>
      </c>
      <c r="L20" s="341" t="str">
        <f>Data!$NV$71</f>
        <v/>
      </c>
      <c r="M20" s="342" t="str">
        <f>IF(AND(LEFT($M2,4)="Very",$K20=0),0,Data!$BF72)</f>
        <v/>
      </c>
      <c r="N20" s="343" t="str">
        <f>Data!$NV72</f>
        <v/>
      </c>
      <c r="O20" s="344">
        <f>Data!$BF62</f>
        <v>31670</v>
      </c>
      <c r="P20" s="345">
        <f>Data!$NV62</f>
        <v>4.2999999999999997E-2</v>
      </c>
      <c r="Q20" s="345"/>
    </row>
    <row r="21" spans="1:49" ht="11.25" customHeight="1" x14ac:dyDescent="0.35">
      <c r="A21" s="328">
        <v>19</v>
      </c>
      <c r="B21" s="19" t="e">
        <f>INDEX($J3:$J21,MATCH($A21,$I3:$I21,0))</f>
        <v>#N/A</v>
      </c>
      <c r="C21" s="334" t="e">
        <f t="shared" si="0"/>
        <v>#N/A</v>
      </c>
      <c r="D21" s="311" t="e">
        <f>IF($C21="&lt;11","&lt;11",INDEX($L3:$L21,MATCH($A21,$I3:$I21,0)))</f>
        <v>#N/A</v>
      </c>
      <c r="E21" s="335" t="e">
        <f>IF(AND(LEFT($M2,4)="Very",$C21="&lt;11"),"&lt;11",INDEX($M3:$M21,MATCH($B21,$J3:$J21,0)))</f>
        <v>#N/A</v>
      </c>
      <c r="F21" s="311" t="e">
        <f>IF(AND(LEFT($M2,4)="Very",$E21="&lt;11"),"&lt;11",INDEX($N3:$N21,MATCH($A21,$I3:$I21,0)))</f>
        <v>#N/A</v>
      </c>
      <c r="G21" s="336" t="e">
        <f>INDEX($O3:$O21,MATCH($B21,$J3:$J21,0))</f>
        <v>#N/A</v>
      </c>
      <c r="H21" s="337" t="e">
        <f>INDEX($O3:$O21,MATCH($A21,$I3:$I21,0))/SUM($O3:$O21)</f>
        <v>#N/A</v>
      </c>
      <c r="I21" s="338" t="e">
        <f>RANK($K21,$K3:$K21,0)+COUNTIF($K3:$K21,$K21)-1</f>
        <v>#VALUE!</v>
      </c>
      <c r="J21" s="346" t="str">
        <f>Data!$BG$70</f>
        <v>Other</v>
      </c>
      <c r="K21" s="347" t="str">
        <f>IF(Data!$BG$71="&lt;11",0,Data!$BG$71)</f>
        <v/>
      </c>
      <c r="L21" s="341" t="str">
        <f>Data!$NW$71</f>
        <v/>
      </c>
      <c r="M21" s="342" t="str">
        <f>IF(AND(LEFT($M2,4)="Very",$K21=0),0,Data!$BG72)</f>
        <v/>
      </c>
      <c r="N21" s="343" t="str">
        <f>Data!$NW72</f>
        <v/>
      </c>
      <c r="O21" s="344">
        <f>Data!$BG62</f>
        <v>23570</v>
      </c>
      <c r="P21" s="345">
        <f>Data!$NW62</f>
        <v>3.2000000000000001E-2</v>
      </c>
      <c r="Q21" s="345"/>
    </row>
    <row r="22" spans="1:49" ht="11.25" customHeight="1" x14ac:dyDescent="0.35">
      <c r="A22" s="328"/>
      <c r="B22" s="56"/>
      <c r="C22" s="348"/>
      <c r="D22" s="238"/>
      <c r="E22" s="349"/>
      <c r="F22" s="238"/>
      <c r="G22" s="350"/>
      <c r="H22" s="238"/>
      <c r="I22" s="338"/>
      <c r="J22" s="44"/>
      <c r="K22" s="347"/>
      <c r="M22" s="351"/>
      <c r="P22" s="31"/>
      <c r="Q22" s="345"/>
    </row>
    <row r="23" spans="1:49" ht="11.25" customHeight="1" x14ac:dyDescent="0.35">
      <c r="A23" s="328"/>
      <c r="B23" s="340"/>
      <c r="C23" s="340"/>
      <c r="K23" s="347"/>
      <c r="M23" s="352"/>
      <c r="P23" s="31"/>
      <c r="Q23" s="345"/>
    </row>
    <row r="24" spans="1:49" ht="11.25" customHeight="1" x14ac:dyDescent="0.35">
      <c r="A24" s="328"/>
      <c r="B24" s="340"/>
      <c r="C24" s="340"/>
      <c r="M24" s="352"/>
      <c r="P24" s="31"/>
      <c r="Q24" s="340"/>
      <c r="R24" s="340"/>
      <c r="S24" s="340"/>
      <c r="T24" s="340"/>
      <c r="U24" s="340"/>
      <c r="V24" s="340"/>
      <c r="W24" s="340"/>
      <c r="X24" s="340"/>
      <c r="Y24" s="340"/>
      <c r="Z24" s="340"/>
      <c r="AA24" s="340"/>
      <c r="AB24" s="340"/>
      <c r="AC24" s="340"/>
      <c r="AD24" s="340"/>
      <c r="AE24" s="340"/>
      <c r="AF24" s="340"/>
      <c r="AG24" s="340"/>
      <c r="AH24" s="340"/>
      <c r="AI24" s="340"/>
      <c r="AJ24" s="340"/>
      <c r="AK24" s="340"/>
      <c r="AL24" s="340"/>
      <c r="AM24" s="340"/>
      <c r="AN24" s="340"/>
      <c r="AO24" s="340"/>
      <c r="AP24" s="340"/>
      <c r="AQ24" s="340"/>
      <c r="AR24" s="340"/>
      <c r="AS24" s="340"/>
      <c r="AT24" s="340"/>
      <c r="AU24" s="340"/>
      <c r="AV24" s="340"/>
      <c r="AW24" s="340"/>
    </row>
    <row r="25" spans="1:49" ht="11.25" customHeight="1" x14ac:dyDescent="0.35">
      <c r="A25" s="328"/>
      <c r="B25" s="353" t="s">
        <v>138</v>
      </c>
      <c r="C25" s="354" t="str">
        <f>COUNTY_SELECT</f>
        <v>County Name</v>
      </c>
      <c r="D25" s="331"/>
      <c r="E25" s="330" t="str">
        <f>Data!$A72</f>
        <v/>
      </c>
      <c r="F25" s="331"/>
      <c r="G25" s="330" t="s">
        <v>126</v>
      </c>
      <c r="H25" s="331"/>
      <c r="J25" s="323" t="s">
        <v>138</v>
      </c>
      <c r="K25" s="328" t="str">
        <f>COUNTY_SELECT</f>
        <v>County Name</v>
      </c>
      <c r="M25" s="332" t="str">
        <f>Data!$A72</f>
        <v/>
      </c>
      <c r="O25" s="333" t="s">
        <v>126</v>
      </c>
      <c r="P25" s="31"/>
      <c r="Q25" s="345"/>
      <c r="R25" s="345"/>
      <c r="S25" s="345"/>
      <c r="T25" s="345"/>
      <c r="U25" s="345"/>
      <c r="V25" s="345"/>
      <c r="W25" s="345"/>
      <c r="X25" s="345"/>
      <c r="Y25" s="345"/>
      <c r="Z25" s="345"/>
      <c r="AA25" s="345"/>
      <c r="AB25" s="345"/>
      <c r="AC25" s="345"/>
      <c r="AD25" s="345"/>
      <c r="AE25" s="345"/>
      <c r="AF25" s="345"/>
      <c r="AG25" s="345"/>
      <c r="AH25" s="345"/>
      <c r="AI25" s="345"/>
      <c r="AJ25" s="345"/>
      <c r="AK25" s="345"/>
      <c r="AL25" s="345"/>
      <c r="AM25" s="345"/>
      <c r="AN25" s="345"/>
      <c r="AO25" s="345"/>
      <c r="AP25" s="345"/>
      <c r="AQ25" s="345"/>
      <c r="AR25" s="345"/>
      <c r="AS25" s="345"/>
      <c r="AT25" s="345"/>
      <c r="AU25" s="345"/>
      <c r="AV25" s="345"/>
    </row>
    <row r="26" spans="1:49" ht="11.25" customHeight="1" x14ac:dyDescent="0.35">
      <c r="A26" s="328">
        <v>1</v>
      </c>
      <c r="B26" s="355" t="e">
        <f>INDEX($J26:$J58,MATCH($A26,$I26:$I58,0))</f>
        <v>#N/A</v>
      </c>
      <c r="C26" s="356" t="e">
        <f>IF(INDEX($K26:$K58,MATCH($A26,$I26:$I58,0))&lt;11,"&lt;11",INDEX($K26:$K58,MATCH($A26,$I26:$I58,0)))</f>
        <v>#N/A</v>
      </c>
      <c r="D26" s="357" t="e">
        <f>IF($C26="&lt;11","&lt;11",INDEX($L26:$L58,MATCH($A26,$I26:$I58,0)))</f>
        <v>#N/A</v>
      </c>
      <c r="E26" s="466" t="e">
        <f>IF(AND(LEFT($M25,4)="Very",$C26="&lt;11"),"&lt;11",INDEX($M26:$M58,MATCH($A26,$I26:$I58,0)))</f>
        <v>#N/A</v>
      </c>
      <c r="F26" s="357" t="e">
        <f>IF(AND(LEFT($M25,4)="Very",$E26="&lt;11"),"&lt;11",INDEX($N26:$N58,MATCH($A26,$I26:$I58,0)))</f>
        <v>#N/A</v>
      </c>
      <c r="G26" s="356" t="e">
        <f>INDEX($O26:$O58,MATCH($A26,$I26:$I58,0))</f>
        <v>#N/A</v>
      </c>
      <c r="H26" s="357" t="e">
        <f>INDEX($P26:$P58,MATCH($A26,$I26:$I58,0))</f>
        <v>#N/A</v>
      </c>
      <c r="I26" s="338" t="e">
        <f>RANK($K26,$K26:$K58,0)+COUNTIF($K26:$K26,$K26)-1</f>
        <v>#VALUE!</v>
      </c>
      <c r="J26" s="31" t="s">
        <v>102</v>
      </c>
      <c r="K26" s="467" t="str">
        <f>IF(Data!$BH71="&lt;11",0,Data!$BH71)</f>
        <v/>
      </c>
      <c r="L26" s="341" t="str">
        <f>Data!$NX71</f>
        <v/>
      </c>
      <c r="M26" s="358" t="str">
        <f>IF(AND(LEFT($M2,4)="Very",$K26=0),0,Data!$BH72)</f>
        <v/>
      </c>
      <c r="N26" s="343" t="str">
        <f>Data!$NX72</f>
        <v/>
      </c>
      <c r="O26" s="31">
        <f>IF(Data!$BH62="&lt;11",0,Data!$BH62)</f>
        <v>676</v>
      </c>
      <c r="P26" s="345">
        <f>Data!$NX62</f>
        <v>1E-3</v>
      </c>
      <c r="Q26" s="345"/>
    </row>
    <row r="27" spans="1:49" ht="11.25" customHeight="1" x14ac:dyDescent="0.35">
      <c r="A27" s="328">
        <v>2</v>
      </c>
      <c r="B27" s="355" t="e">
        <f>INDEX($J26:$J58,MATCH($A27,$I26:$I58,0))</f>
        <v>#N/A</v>
      </c>
      <c r="C27" s="356" t="e">
        <f>IF(INDEX($K26:$K58,MATCH($A27,$I26:$I58,0))&lt;11,"&lt;11",INDEX($K26:$K58,MATCH($A27,$I26:$I58,0)))</f>
        <v>#N/A</v>
      </c>
      <c r="D27" s="357" t="e">
        <f>IF($C27="&lt;11","&lt;11",INDEX($L26:$L58,MATCH($A27,$I26:$I58,0)))</f>
        <v>#N/A</v>
      </c>
      <c r="E27" s="466" t="e">
        <f>IF(AND(LEFT($M25,4)="Very",$C27="&lt;11"),"&lt;11",INDEX($M26:$M58,MATCH($A27,$I26:$I58,0)))</f>
        <v>#N/A</v>
      </c>
      <c r="F27" s="357" t="e">
        <f>IF(AND(LEFT($M25,4)="Very",$E27="&lt;11"),"&lt;11",INDEX($N26:$N58,MATCH($A27,$I26:$I58,0)))</f>
        <v>#N/A</v>
      </c>
      <c r="G27" s="356" t="e">
        <f>INDEX($O26:$O58,MATCH($A27,$I26:$I58,0))</f>
        <v>#N/A</v>
      </c>
      <c r="H27" s="357" t="e">
        <f>INDEX($P26:$P58,MATCH($A27,$I26:$I58,0))</f>
        <v>#N/A</v>
      </c>
      <c r="I27" s="338" t="e">
        <f>RANK($K27,$K26:$K58,0)+COUNTIF($K26:$K27,$K27)-1</f>
        <v>#VALUE!</v>
      </c>
      <c r="J27" s="31" t="s">
        <v>103</v>
      </c>
      <c r="K27" s="468" t="str">
        <f>IF(Data!$BI71="&lt;11",0,Data!$BI71)</f>
        <v/>
      </c>
      <c r="L27" s="341" t="str">
        <f>Data!$NY71</f>
        <v/>
      </c>
      <c r="M27" s="358" t="str">
        <f>IF(AND(LEFT($M2,4)="Very",$K27=0),0,Data!$BI72)</f>
        <v/>
      </c>
      <c r="N27" s="343" t="str">
        <f>Data!$NY72</f>
        <v/>
      </c>
      <c r="O27" s="31">
        <f>IF(Data!$BI62="&lt;11",0,Data!$BI62)</f>
        <v>139435</v>
      </c>
      <c r="P27" s="345">
        <f>Data!$NY62</f>
        <v>0.19</v>
      </c>
      <c r="Q27" s="139"/>
      <c r="Y27" s="139"/>
    </row>
    <row r="28" spans="1:49" ht="11.25" customHeight="1" x14ac:dyDescent="0.35">
      <c r="A28" s="328">
        <v>3</v>
      </c>
      <c r="B28" s="355" t="e">
        <f>INDEX($J26:$J58,MATCH($A28,$I26:$I58,0))</f>
        <v>#N/A</v>
      </c>
      <c r="C28" s="356" t="e">
        <f>IF(INDEX($K26:$K58,MATCH($A28,$I26:$I58,0))&lt;11,"&lt;11",INDEX($K26:$K58,MATCH($A28,$I26:$I58,0)))</f>
        <v>#N/A</v>
      </c>
      <c r="D28" s="357" t="e">
        <f>IF($C28="&lt;11","&lt;11",INDEX($L26:$L58,MATCH($A28,$I26:$I58,0)))</f>
        <v>#N/A</v>
      </c>
      <c r="E28" s="466" t="e">
        <f>IF(AND(LEFT($M25,4)="Very",$C28="&lt;11"),"&lt;11",INDEX($M26:$M58,MATCH($A28,$I26:$I58,0)))</f>
        <v>#N/A</v>
      </c>
      <c r="F28" s="357" t="e">
        <f>IF(AND(LEFT($M25,4)="Very",$E28="&lt;11"),"&lt;11",INDEX($N26:$N58,MATCH($A28,$I26:$I58,0)))</f>
        <v>#N/A</v>
      </c>
      <c r="G28" s="356" t="e">
        <f>INDEX($O26:$O58,MATCH($A28,$I26:$I58,0))</f>
        <v>#N/A</v>
      </c>
      <c r="H28" s="357" t="e">
        <f>INDEX($P26:$P58,MATCH($A28,$I26:$I58,0))</f>
        <v>#N/A</v>
      </c>
      <c r="I28" s="338" t="e">
        <f>RANK($K28,$K26:$K58,0)+COUNTIF($K26:$K28,$K28)-1</f>
        <v>#VALUE!</v>
      </c>
      <c r="J28" s="31" t="s">
        <v>104</v>
      </c>
      <c r="K28" s="468" t="str">
        <f>IF(Data!$BJ71="&lt;11",0,Data!$BJ71)</f>
        <v/>
      </c>
      <c r="L28" s="341" t="str">
        <f>Data!$NZ71</f>
        <v/>
      </c>
      <c r="M28" s="358" t="str">
        <f>IF(AND(LEFT($M2,4)="Very",$K28=0),0,Data!$BJ72)</f>
        <v/>
      </c>
      <c r="N28" s="343" t="str">
        <f>Data!$NZ72</f>
        <v/>
      </c>
      <c r="O28" s="31">
        <f>IF(Data!$BJ62="&lt;11",0,Data!$BJ62)</f>
        <v>29122</v>
      </c>
      <c r="P28" s="345">
        <f>Data!$NZ62</f>
        <v>0.04</v>
      </c>
      <c r="Q28" s="139"/>
      <c r="R28" s="340"/>
      <c r="Y28" s="139"/>
    </row>
    <row r="29" spans="1:49" ht="11.25" customHeight="1" x14ac:dyDescent="0.35">
      <c r="A29" s="328">
        <v>4</v>
      </c>
      <c r="B29" s="355" t="e">
        <f>INDEX($J26:$J58,MATCH($A29,$I26:$I58,0))</f>
        <v>#N/A</v>
      </c>
      <c r="C29" s="356" t="e">
        <f>IF(INDEX($K26:$K58,MATCH($A29,$I26:$I58,0))&lt;11,"&lt;11",INDEX($K26:$K58,MATCH($A29,$I26:$I58,0)))</f>
        <v>#N/A</v>
      </c>
      <c r="D29" s="357" t="e">
        <f>IF($C29="&lt;11","&lt;11",INDEX($L26:$L58,MATCH($A29,$I26:$I58,0)))</f>
        <v>#N/A</v>
      </c>
      <c r="E29" s="466" t="e">
        <f>IF(AND(LEFT($M25,4)="Very",$C29="&lt;11"),"&lt;11",INDEX($M26:$M58,MATCH($A29,$I26:$I58,0)))</f>
        <v>#N/A</v>
      </c>
      <c r="F29" s="357" t="e">
        <f>IF(AND(LEFT($M25,4)="Very",$E29="&lt;11"),"&lt;11",INDEX($N26:$N58,MATCH($A29,$I26:$I58,0)))</f>
        <v>#N/A</v>
      </c>
      <c r="G29" s="356" t="e">
        <f>INDEX($O26:$O58,MATCH($A29,$I26:$I58,0))</f>
        <v>#N/A</v>
      </c>
      <c r="H29" s="357" t="e">
        <f>INDEX($P26:$P58,MATCH($A29,$I26:$I58,0))</f>
        <v>#N/A</v>
      </c>
      <c r="I29" s="338" t="e">
        <f>RANK($K29,$K26:$K58,0)+COUNTIF($K26:$K29,$K29)-1</f>
        <v>#VALUE!</v>
      </c>
      <c r="J29" s="31" t="s">
        <v>91</v>
      </c>
      <c r="K29" s="468" t="str">
        <f>IF(Data!$BK71="&lt;11",0,Data!$BK71)</f>
        <v/>
      </c>
      <c r="L29" s="341" t="str">
        <f>Data!$OA71</f>
        <v/>
      </c>
      <c r="M29" s="358" t="str">
        <f>IF(AND(LEFT($M2,4)="Very",$K29=0),0,Data!$BK72)</f>
        <v/>
      </c>
      <c r="N29" s="343" t="str">
        <f>Data!$OA72</f>
        <v/>
      </c>
      <c r="O29" s="31">
        <f>IF(Data!$BK62="&lt;11",0,Data!$BK62)</f>
        <v>210</v>
      </c>
      <c r="P29" s="345">
        <f>Data!$OA62</f>
        <v>0</v>
      </c>
      <c r="Q29" s="139"/>
      <c r="R29" s="340"/>
      <c r="Y29" s="139"/>
    </row>
    <row r="30" spans="1:49" ht="11.25" customHeight="1" x14ac:dyDescent="0.35">
      <c r="A30" s="328">
        <v>5</v>
      </c>
      <c r="B30" s="355" t="e">
        <f>INDEX($J26:$J58,MATCH($A30,$I26:$I58,0))</f>
        <v>#N/A</v>
      </c>
      <c r="C30" s="356" t="e">
        <f>IF(INDEX($K26:$K58,MATCH($A30,$I26:$I58,0))&lt;11,"&lt;11",INDEX($K26:$K58,MATCH($A30,$I26:$I58,0)))</f>
        <v>#N/A</v>
      </c>
      <c r="D30" s="357" t="e">
        <f>IF($C30="&lt;11","&lt;11",INDEX($L26:$L58,MATCH($A30,$I26:$I58,0)))</f>
        <v>#N/A</v>
      </c>
      <c r="E30" s="466" t="e">
        <f>IF(AND(LEFT($M25,4)="Very",$C30="&lt;11"),"&lt;11",INDEX($M26:$M58,MATCH($A30,$I26:$I58,0)))</f>
        <v>#N/A</v>
      </c>
      <c r="F30" s="357" t="e">
        <f>IF(AND(LEFT($M25,4)="Very",$E30="&lt;11"),"&lt;11",INDEX($N26:$N58,MATCH($A30,$I26:$I58,0)))</f>
        <v>#N/A</v>
      </c>
      <c r="G30" s="356" t="e">
        <f>INDEX($O26:$O58,MATCH($A30,$I26:$I58,0))</f>
        <v>#N/A</v>
      </c>
      <c r="H30" s="357" t="e">
        <f>INDEX($P26:$P58,MATCH($A30,$I26:$I58,0))</f>
        <v>#N/A</v>
      </c>
      <c r="I30" s="338" t="e">
        <f>RANK($K30,$K26:$K58,0)+COUNTIF($K26:$K30,$K30)-1</f>
        <v>#VALUE!</v>
      </c>
      <c r="J30" s="44" t="s">
        <v>92</v>
      </c>
      <c r="K30" s="468" t="str">
        <f>IF(Data!$BL71="&lt;11",0,Data!$BL71)</f>
        <v/>
      </c>
      <c r="L30" s="341" t="str">
        <f>Data!$OB71</f>
        <v/>
      </c>
      <c r="M30" s="358" t="str">
        <f>IF(AND(LEFT($M2,4)="Very",$K30=0),0,Data!$BL72)</f>
        <v/>
      </c>
      <c r="N30" s="343" t="str">
        <f>Data!$OB72</f>
        <v/>
      </c>
      <c r="O30" s="31">
        <f>IF(Data!$BL62="&lt;11",0,Data!$BL62)</f>
        <v>12792</v>
      </c>
      <c r="P30" s="345">
        <f>Data!$OB62</f>
        <v>1.7000000000000001E-2</v>
      </c>
      <c r="Q30" s="139"/>
      <c r="R30" s="340"/>
      <c r="S30" s="132"/>
      <c r="U30" s="132"/>
      <c r="V30" s="132"/>
      <c r="W30" s="132"/>
      <c r="X30" s="132"/>
      <c r="Y30" s="139"/>
      <c r="Z30" s="132"/>
      <c r="AA30" s="132"/>
    </row>
    <row r="31" spans="1:49" ht="11.25" customHeight="1" x14ac:dyDescent="0.35">
      <c r="A31" s="328">
        <v>6</v>
      </c>
      <c r="B31" s="355" t="e">
        <f>INDEX($J26:$J58,MATCH($A31,$I26:$I58,0))</f>
        <v>#N/A</v>
      </c>
      <c r="C31" s="356" t="e">
        <f>IF(INDEX($K26:$K58,MATCH($A31,$I26:$I58,0))&lt;11,"&lt;11",INDEX($K26:$K58,MATCH($A31,$I26:$I58,0)))</f>
        <v>#N/A</v>
      </c>
      <c r="D31" s="357" t="e">
        <f>IF($C31="&lt;11","&lt;11",INDEX($L26:$L58,MATCH($A31,$I26:$I58,0)))</f>
        <v>#N/A</v>
      </c>
      <c r="E31" s="466" t="e">
        <f>IF(AND(LEFT($M25,4)="Very",$C31="&lt;11"),"&lt;11",INDEX($M26:$M58,MATCH($A31,$I26:$I58,0)))</f>
        <v>#N/A</v>
      </c>
      <c r="F31" s="357" t="e">
        <f>IF(AND(LEFT($M25,4)="Very",$E31="&lt;11"),"&lt;11",INDEX($N26:$N58,MATCH($A31,$I26:$I58,0)))</f>
        <v>#N/A</v>
      </c>
      <c r="G31" s="356" t="e">
        <f>INDEX($O26:$O58,MATCH($A31,$I26:$I58,0))</f>
        <v>#N/A</v>
      </c>
      <c r="H31" s="357" t="e">
        <f>INDEX($P26:$P58,MATCH($A31,$I26:$I58,0))</f>
        <v>#N/A</v>
      </c>
      <c r="I31" s="338" t="e">
        <f>RANK($K31,$K26:$K58,0)+COUNTIF($K26:$K31,$K31)-1</f>
        <v>#VALUE!</v>
      </c>
      <c r="J31" s="340" t="s">
        <v>105</v>
      </c>
      <c r="K31" s="468" t="str">
        <f>IF(Data!$BM71="&lt;11",0,Data!$BM71)</f>
        <v/>
      </c>
      <c r="L31" s="341" t="str">
        <f>Data!$OC71</f>
        <v/>
      </c>
      <c r="M31" s="358" t="str">
        <f>IF(AND(LEFT($M2,4)="Very",$K31=0),0,Data!$BM72)</f>
        <v/>
      </c>
      <c r="N31" s="343" t="str">
        <f>Data!$OC72</f>
        <v/>
      </c>
      <c r="O31" s="31">
        <f>IF(Data!$BM62="&lt;11",0,Data!$BM62)</f>
        <v>10825</v>
      </c>
      <c r="P31" s="345">
        <f>Data!$OC62</f>
        <v>1.4999999999999999E-2</v>
      </c>
      <c r="Q31" s="139"/>
      <c r="R31" s="340"/>
      <c r="S31" s="44"/>
      <c r="U31" s="340"/>
      <c r="V31" s="44"/>
      <c r="W31" s="44"/>
      <c r="X31" s="44"/>
      <c r="Y31" s="139"/>
      <c r="Z31" s="44"/>
      <c r="AA31" s="44"/>
    </row>
    <row r="32" spans="1:49" ht="11.25" customHeight="1" x14ac:dyDescent="0.35">
      <c r="A32" s="328">
        <v>7</v>
      </c>
      <c r="B32" s="355" t="e">
        <f>INDEX($J26:$J58,MATCH($A32,$I26:$I58,0))</f>
        <v>#N/A</v>
      </c>
      <c r="C32" s="356" t="e">
        <f>IF(INDEX($K26:$K58,MATCH($A32,$I26:$I58,0))&lt;11,"&lt;11",INDEX($K26:$K58,MATCH($A32,$I26:$I58,0)))</f>
        <v>#N/A</v>
      </c>
      <c r="D32" s="357" t="e">
        <f>IF($C32="&lt;11","&lt;11",INDEX($L26:$L58,MATCH($A32,$I26:$I58,0)))</f>
        <v>#N/A</v>
      </c>
      <c r="E32" s="466" t="e">
        <f>IF(AND(LEFT($M25,4)="Very",$C32="&lt;11"),"&lt;11",INDEX($M26:$M58,MATCH($A32,$I26:$I58,0)))</f>
        <v>#N/A</v>
      </c>
      <c r="F32" s="357" t="e">
        <f>IF(AND(LEFT($M25,4)="Very",$E32="&lt;11"),"&lt;11",INDEX($N26:$N58,MATCH($A32,$I26:$I58,0)))</f>
        <v>#N/A</v>
      </c>
      <c r="G32" s="356" t="e">
        <f>INDEX($O26:$O58,MATCH($A32,$I26:$I58,0))</f>
        <v>#N/A</v>
      </c>
      <c r="H32" s="357" t="e">
        <f>INDEX($P26:$P58,MATCH($A32,$I26:$I58,0))</f>
        <v>#N/A</v>
      </c>
      <c r="I32" s="338" t="e">
        <f>RANK($K32,$K26:$K58,0)+COUNTIF($K26:$K32,$K32)-1</f>
        <v>#VALUE!</v>
      </c>
      <c r="J32" s="340" t="s">
        <v>106</v>
      </c>
      <c r="K32" s="468" t="str">
        <f>IF(Data!$BN71="&lt;11",0,Data!$BN71)</f>
        <v/>
      </c>
      <c r="L32" s="341" t="str">
        <f>Data!$OD71</f>
        <v/>
      </c>
      <c r="M32" s="358" t="str">
        <f>IF(AND(LEFT($M2,4)="Very",$K32=0),0,Data!$BN72)</f>
        <v/>
      </c>
      <c r="N32" s="343" t="str">
        <f>Data!$OD72</f>
        <v/>
      </c>
      <c r="O32" s="31">
        <f>IF(Data!$BN62="&lt;11",0,Data!$BN62)</f>
        <v>11572</v>
      </c>
      <c r="P32" s="345">
        <f>Data!$OD62</f>
        <v>1.6E-2</v>
      </c>
      <c r="Q32" s="359"/>
      <c r="R32" s="340"/>
      <c r="S32" s="46"/>
      <c r="W32" s="46"/>
      <c r="X32" s="46"/>
      <c r="Y32" s="359"/>
      <c r="Z32" s="46"/>
      <c r="AA32" s="46"/>
    </row>
    <row r="33" spans="1:27" ht="11.25" customHeight="1" x14ac:dyDescent="0.35">
      <c r="A33" s="328">
        <v>8</v>
      </c>
      <c r="B33" s="355" t="e">
        <f>INDEX($J26:$J58,MATCH($A33,$I26:$I58,0))</f>
        <v>#N/A</v>
      </c>
      <c r="C33" s="356" t="e">
        <f>IF(INDEX($K26:$K58,MATCH($A33,$I26:$I58,0))&lt;11,"&lt;11",INDEX($K26:$K58,MATCH($A33,$I26:$I58,0)))</f>
        <v>#N/A</v>
      </c>
      <c r="D33" s="357" t="e">
        <f>IF($C33="&lt;11","&lt;11",INDEX($L26:$L58,MATCH($A33,$I26:$I58,0)))</f>
        <v>#N/A</v>
      </c>
      <c r="E33" s="466" t="e">
        <f>IF(AND(LEFT($M25,4)="Very",$C33="&lt;11"),"&lt;11",INDEX($M26:$M58,MATCH($A33,$I26:$I58,0)))</f>
        <v>#N/A</v>
      </c>
      <c r="F33" s="357" t="e">
        <f>IF(AND(LEFT($M25,4)="Very",$E33="&lt;11"),"&lt;11",INDEX($N26:$N58,MATCH($A33,$I26:$I58,0)))</f>
        <v>#N/A</v>
      </c>
      <c r="G33" s="356" t="e">
        <f>INDEX($O26:$O58,MATCH($A33,$I26:$I58,0))</f>
        <v>#N/A</v>
      </c>
      <c r="H33" s="357" t="e">
        <f>INDEX($P26:$P58,MATCH($A33,$I26:$I58,0))</f>
        <v>#N/A</v>
      </c>
      <c r="I33" s="338" t="e">
        <f>RANK($K33,$K26:$K58,0)+COUNTIF($K26:$K33,$K33)-1</f>
        <v>#VALUE!</v>
      </c>
      <c r="J33" s="340" t="s">
        <v>107</v>
      </c>
      <c r="K33" s="468" t="str">
        <f>IF(Data!$BO71="&lt;11",0,Data!$BO71)</f>
        <v/>
      </c>
      <c r="L33" s="341" t="str">
        <f>Data!$OE71</f>
        <v/>
      </c>
      <c r="M33" s="358" t="str">
        <f>IF(AND(LEFT($M2,4)="Very",$K33=0),0,Data!$BO72)</f>
        <v/>
      </c>
      <c r="N33" s="343" t="str">
        <f>Data!$OE72</f>
        <v/>
      </c>
      <c r="O33" s="31">
        <f>IF(Data!$BO62="&lt;11",0,Data!$BO62)</f>
        <v>391125</v>
      </c>
      <c r="P33" s="345">
        <f>Data!$OE62</f>
        <v>0.53200000000000003</v>
      </c>
      <c r="Q33" s="359"/>
      <c r="R33" s="340"/>
      <c r="S33" s="46"/>
      <c r="U33" s="46"/>
      <c r="V33" s="46"/>
      <c r="W33" s="46"/>
      <c r="X33" s="46"/>
      <c r="Y33" s="359"/>
      <c r="Z33" s="46"/>
      <c r="AA33" s="46"/>
    </row>
    <row r="34" spans="1:27" ht="11.25" customHeight="1" x14ac:dyDescent="0.35">
      <c r="A34" s="328">
        <v>9</v>
      </c>
      <c r="B34" s="355" t="e">
        <f>INDEX($J26:$J58,MATCH($A34,$I26:$I58,0))</f>
        <v>#N/A</v>
      </c>
      <c r="C34" s="356" t="e">
        <f>IF(INDEX($K26:$K58,MATCH($A34,$I26:$I58,0))&lt;11,"&lt;11",INDEX($K26:$K58,MATCH($A34,$I26:$I58,0)))</f>
        <v>#N/A</v>
      </c>
      <c r="D34" s="357" t="e">
        <f>IF($C34="&lt;11","&lt;11",INDEX($L26:$L58,MATCH($A34,$I26:$I58,0)))</f>
        <v>#N/A</v>
      </c>
      <c r="E34" s="466" t="e">
        <f>IF(AND(LEFT($M25,4)="Very",$C34="&lt;11"),"&lt;11",INDEX($M26:$M58,MATCH($A34,$I26:$I58,0)))</f>
        <v>#N/A</v>
      </c>
      <c r="F34" s="357" t="e">
        <f>IF(AND(LEFT($M25,4)="Very",$E34="&lt;11"),"&lt;11",INDEX($N26:$N58,MATCH($A34,$I26:$I58,0)))</f>
        <v>#N/A</v>
      </c>
      <c r="G34" s="356" t="e">
        <f>INDEX($O26:$O58,MATCH($A34,$I26:$I58,0))</f>
        <v>#N/A</v>
      </c>
      <c r="H34" s="357" t="e">
        <f>INDEX($P26:$P58,MATCH($A34,$I26:$I58,0))</f>
        <v>#N/A</v>
      </c>
      <c r="I34" s="338" t="e">
        <f>RANK($K34,$K26:$K58,0)+COUNTIF($K26:$K34,$K34)-1</f>
        <v>#VALUE!</v>
      </c>
      <c r="J34" s="31" t="s">
        <v>381</v>
      </c>
      <c r="K34" s="469" t="str">
        <f>IF(Data!$BP71="&lt;11",0,Data!$BP71)</f>
        <v/>
      </c>
      <c r="L34" s="341" t="str">
        <f>IF(Data!$OF72="&lt;11",0,Data!$OF72)</f>
        <v/>
      </c>
      <c r="M34" s="358" t="str">
        <f>IF(AND(LEFT($M2,4)="Very",$K34=0),0,Data!$BP72)</f>
        <v/>
      </c>
      <c r="N34" s="343" t="str">
        <f>IF(Data!$OF72="&lt;11",0,Data!$OF72)</f>
        <v/>
      </c>
      <c r="O34" s="31">
        <f>IF(Data!$BP62="&lt;11",0,Data!$BP62)</f>
        <v>356</v>
      </c>
      <c r="P34" s="345">
        <f>Data!$OF62</f>
        <v>0</v>
      </c>
      <c r="Q34" s="359"/>
      <c r="R34" s="340"/>
      <c r="S34" s="188"/>
      <c r="U34" s="46"/>
      <c r="V34" s="46"/>
      <c r="W34" s="188"/>
      <c r="X34" s="188"/>
      <c r="Y34" s="359"/>
      <c r="Z34" s="188"/>
      <c r="AA34" s="188"/>
    </row>
    <row r="35" spans="1:27" ht="11.25" customHeight="1" x14ac:dyDescent="0.35">
      <c r="A35" s="328">
        <v>10</v>
      </c>
      <c r="B35" s="355" t="e">
        <f>INDEX($J26:$J58,MATCH($A35,$I26:$I58,0))</f>
        <v>#N/A</v>
      </c>
      <c r="C35" s="356" t="e">
        <f>IF(INDEX($K26:$K58,MATCH($A35,$I26:$I58,0))&lt;11,"&lt;11",INDEX($K26:$K58,MATCH($A35,$I26:$I58,0)))</f>
        <v>#N/A</v>
      </c>
      <c r="D35" s="357" t="e">
        <f>IF($C35="&lt;11","&lt;11",INDEX($L26:$L58,MATCH($A35,$I26:$I58,0)))</f>
        <v>#N/A</v>
      </c>
      <c r="E35" s="466" t="e">
        <f>IF(AND(LEFT($M25,4)="Very",$C35="&lt;11"),"&lt;11",INDEX($M26:$M58,MATCH($A35,$I26:$I58,0)))</f>
        <v>#N/A</v>
      </c>
      <c r="F35" s="357" t="e">
        <f>IF(AND(LEFT($M25,4)="Very",$E35="&lt;11"),"&lt;11",INDEX($N26:$N58,MATCH($A35,$I26:$I58,0)))</f>
        <v>#N/A</v>
      </c>
      <c r="G35" s="356" t="e">
        <f>INDEX($O26:$O58,MATCH($A35,$I26:$I58,0))</f>
        <v>#N/A</v>
      </c>
      <c r="H35" s="357" t="e">
        <f>INDEX($P26:$P58,MATCH($A35,$I26:$I58,0))</f>
        <v>#N/A</v>
      </c>
      <c r="I35" s="338" t="e">
        <f>RANK($K35,$K26:$K58,0)+COUNTIF($K26:$K35,$K35)-1</f>
        <v>#VALUE!</v>
      </c>
      <c r="J35" s="31" t="s">
        <v>108</v>
      </c>
      <c r="K35" s="468" t="str">
        <f>IF(Data!$BQ71="&lt;11",0,Data!$BQ71)</f>
        <v/>
      </c>
      <c r="L35" s="341" t="str">
        <f>Data!$OG71</f>
        <v/>
      </c>
      <c r="M35" s="358" t="str">
        <f>IF(AND(LEFT($M2,4)="Very",$K36=0),0,Data!$BQ72)</f>
        <v/>
      </c>
      <c r="N35" s="343" t="str">
        <f>Data!$OG72</f>
        <v/>
      </c>
      <c r="O35" s="31">
        <f>IF(Data!$BQ62="&lt;11",0,Data!$BQ62)</f>
        <v>190</v>
      </c>
      <c r="P35" s="345">
        <f>Data!$OG62</f>
        <v>0</v>
      </c>
      <c r="Q35" s="139"/>
      <c r="R35" s="340"/>
      <c r="Y35" s="139"/>
    </row>
    <row r="36" spans="1:27" ht="11.25" customHeight="1" x14ac:dyDescent="0.35">
      <c r="A36" s="328">
        <v>11</v>
      </c>
      <c r="B36" s="355" t="e">
        <f>INDEX($J26:$J58,MATCH($A36,$I26:$I58,0))</f>
        <v>#N/A</v>
      </c>
      <c r="C36" s="356" t="e">
        <f>IF(INDEX($K26:$K58,MATCH($A36,$I26:$I58,0))&lt;11,"&lt;11",INDEX($K26:$K58,MATCH($A36,$I26:$I58,0)))</f>
        <v>#N/A</v>
      </c>
      <c r="D36" s="357" t="e">
        <f>IF($C36="&lt;11","&lt;11",INDEX($L26:$L58,MATCH($A36,$I26:$I58,0)))</f>
        <v>#N/A</v>
      </c>
      <c r="E36" s="466" t="e">
        <f>IF(AND(LEFT($M25,4)="Very",$C36="&lt;11"),"&lt;11",INDEX($M26:$M58,MATCH($A36,$I26:$I58,0)))</f>
        <v>#N/A</v>
      </c>
      <c r="F36" s="357" t="e">
        <f>IF(AND(LEFT($M25,4)="Very",$E36="&lt;11"),"&lt;11",INDEX($N26:$N58,MATCH($A36,$I26:$I58,0)))</f>
        <v>#N/A</v>
      </c>
      <c r="G36" s="356" t="e">
        <f>INDEX($O26:$O58,MATCH($A36,$I26:$I58,0))</f>
        <v>#N/A</v>
      </c>
      <c r="H36" s="357" t="e">
        <f>INDEX($P26:$P58,MATCH($A36,$I26:$I58,0))</f>
        <v>#N/A</v>
      </c>
      <c r="I36" s="338" t="e">
        <f>RANK($K36,$K26:$K58,0)+COUNTIF($K26:$K36,$K36)-1</f>
        <v>#VALUE!</v>
      </c>
      <c r="J36" s="31" t="s">
        <v>109</v>
      </c>
      <c r="K36" s="468" t="str">
        <f>IF(Data!$BR71="&lt;11",0,Data!$BR71)</f>
        <v/>
      </c>
      <c r="L36" s="341" t="str">
        <f>Data!$OH71</f>
        <v/>
      </c>
      <c r="M36" s="358" t="str">
        <f>IF(AND(LEFT($M2,4)="Very",$K37=0),0,Data!$BR72)</f>
        <v/>
      </c>
      <c r="N36" s="343" t="str">
        <f>Data!$OH72</f>
        <v/>
      </c>
      <c r="O36" s="31">
        <f>IF(Data!$BR62="&lt;11",0,Data!$BR62)</f>
        <v>14334</v>
      </c>
      <c r="P36" s="345">
        <f>Data!$OH62</f>
        <v>0.02</v>
      </c>
      <c r="Q36" s="139"/>
      <c r="R36" s="340"/>
      <c r="Y36" s="139"/>
    </row>
    <row r="37" spans="1:27" ht="11.25" customHeight="1" x14ac:dyDescent="0.35">
      <c r="A37" s="328">
        <v>12</v>
      </c>
      <c r="B37" s="355" t="e">
        <f>INDEX($J26:$J58,MATCH($A37,$I26:$I58,0))</f>
        <v>#N/A</v>
      </c>
      <c r="C37" s="356" t="e">
        <f>IF(INDEX($K26:$K58,MATCH($A37,$I26:$I58,0))&lt;11,"&lt;11",INDEX($K26:$K58,MATCH($A37,$I26:$I58,0)))</f>
        <v>#N/A</v>
      </c>
      <c r="D37" s="357" t="e">
        <f>IF($C37="&lt;11","&lt;11",INDEX($L26:$L58,MATCH($A37,$I26:$I58,0)))</f>
        <v>#N/A</v>
      </c>
      <c r="E37" s="466" t="e">
        <f>IF(AND(LEFT($M25,4)="Very",$C37="&lt;11"),"&lt;11",INDEX($M26:$M58,MATCH($A37,$I26:$I58,0)))</f>
        <v>#N/A</v>
      </c>
      <c r="F37" s="357" t="e">
        <f>IF(AND(LEFT($M25,4)="Very",$E37="&lt;11"),"&lt;11",INDEX($N26:$N58,MATCH($A37,$I26:$I58,0)))</f>
        <v>#N/A</v>
      </c>
      <c r="G37" s="356" t="e">
        <f>INDEX($O26:$O58,MATCH($A37,$I26:$I58,0))</f>
        <v>#N/A</v>
      </c>
      <c r="H37" s="357" t="e">
        <f>INDEX($P26:$P58,MATCH($A37,$I26:$I58,0))</f>
        <v>#N/A</v>
      </c>
      <c r="I37" s="338" t="e">
        <f>RANK($K37,$K26:$K58,0)+COUNTIF($K26:$K37,$K37)-1</f>
        <v>#VALUE!</v>
      </c>
      <c r="J37" s="31" t="s">
        <v>110</v>
      </c>
      <c r="K37" s="468" t="str">
        <f>IF(Data!$BS71="&lt;11",0,Data!$BS71)</f>
        <v/>
      </c>
      <c r="L37" s="341" t="str">
        <f>Data!$OI71</f>
        <v/>
      </c>
      <c r="M37" s="358" t="str">
        <f>IF(AND(LEFT($M2,4)="Very",$K38=0),0,Data!$BS72)</f>
        <v/>
      </c>
      <c r="N37" s="343" t="str">
        <f>Data!$OI72</f>
        <v/>
      </c>
      <c r="O37" s="31">
        <f>IF(Data!$BS62="&lt;11",0,Data!$BS62)</f>
        <v>1065</v>
      </c>
      <c r="P37" s="345">
        <f>Data!$OI62</f>
        <v>1E-3</v>
      </c>
      <c r="Q37" s="139"/>
      <c r="R37" s="340"/>
      <c r="Y37" s="139"/>
    </row>
    <row r="38" spans="1:27" ht="11.25" customHeight="1" x14ac:dyDescent="0.35">
      <c r="A38" s="328">
        <v>13</v>
      </c>
      <c r="B38" s="355" t="e">
        <f>INDEX($J26:$J58,MATCH($A38,$I26:$I58,0))</f>
        <v>#N/A</v>
      </c>
      <c r="C38" s="356" t="e">
        <f>IF(INDEX($K26:$K58,MATCH($A38,$I26:$I58,0))&lt;11,"&lt;11",INDEX($K26:$K58,MATCH($A38,$I26:$I58,0)))</f>
        <v>#N/A</v>
      </c>
      <c r="D38" s="357" t="e">
        <f>IF($C38="&lt;11","&lt;11",INDEX($L26:$L58,MATCH($A38,$I26:$I58,0)))</f>
        <v>#N/A</v>
      </c>
      <c r="E38" s="466" t="e">
        <f>IF(AND(LEFT($M25,4)="Very",$C38="&lt;11"),"&lt;11",INDEX($M26:$M58,MATCH($A38,$I26:$I58,0)))</f>
        <v>#N/A</v>
      </c>
      <c r="F38" s="357" t="e">
        <f>IF(AND(LEFT($M25,4)="Very",$E38="&lt;11"),"&lt;11",INDEX($N26:$N58,MATCH($A38,$I26:$I58,0)))</f>
        <v>#N/A</v>
      </c>
      <c r="G38" s="356" t="e">
        <f>INDEX($O26:$O58,MATCH($A38,$I26:$I58,0))</f>
        <v>#N/A</v>
      </c>
      <c r="H38" s="357" t="e">
        <f>INDEX($P26:$P58,MATCH($A38,$I26:$I58,0))</f>
        <v>#N/A</v>
      </c>
      <c r="I38" s="338" t="e">
        <f>RANK($K38,$K26:$K58,0)+COUNTIF($K26:$K38,$K38)-1</f>
        <v>#VALUE!</v>
      </c>
      <c r="J38" s="31" t="s">
        <v>90</v>
      </c>
      <c r="K38" s="468" t="str">
        <f>IF(Data!$BT71="&lt;11",0,Data!$BT71)</f>
        <v/>
      </c>
      <c r="L38" s="341" t="str">
        <f>Data!$OJ71</f>
        <v/>
      </c>
      <c r="M38" s="358" t="str">
        <f>IF(AND(LEFT($M2,4)="Very",$K39=0),0,Data!$BT72)</f>
        <v/>
      </c>
      <c r="N38" s="343" t="str">
        <f>Data!$OJ72</f>
        <v/>
      </c>
      <c r="O38" s="31">
        <f>IF(Data!$BT62="&lt;11",0,Data!$BT62)</f>
        <v>5586</v>
      </c>
      <c r="P38" s="345">
        <f>Data!$OJ62</f>
        <v>8.0000000000000002E-3</v>
      </c>
      <c r="Q38" s="139"/>
      <c r="R38" s="340"/>
      <c r="Y38" s="139"/>
    </row>
    <row r="39" spans="1:27" ht="11.25" customHeight="1" x14ac:dyDescent="0.35">
      <c r="A39" s="328">
        <v>14</v>
      </c>
      <c r="B39" s="355" t="e">
        <f>INDEX($J26:$J58,MATCH($A39,$I26:$I58,0))</f>
        <v>#N/A</v>
      </c>
      <c r="C39" s="356" t="e">
        <f>IF(INDEX($K26:$K58,MATCH($A39,$I26:$I58,0))&lt;11,"&lt;11",INDEX($K26:$K58,MATCH($A39,$I26:$I58,0)))</f>
        <v>#N/A</v>
      </c>
      <c r="D39" s="357" t="e">
        <f>IF($C39="&lt;11","&lt;11",INDEX($L26:$L58,MATCH($A39,$I26:$I58,0)))</f>
        <v>#N/A</v>
      </c>
      <c r="E39" s="466" t="e">
        <f>IF(AND(LEFT($M25,4)="Very",$C39="&lt;11"),"&lt;11",INDEX($M26:$M58,MATCH($A39,$I26:$I58,0)))</f>
        <v>#N/A</v>
      </c>
      <c r="F39" s="357" t="e">
        <f>IF(AND(LEFT($M25,4)="Very",$E39="&lt;11"),"&lt;11",INDEX($N26:$N58,MATCH($A39,$I26:$I58,0)))</f>
        <v>#N/A</v>
      </c>
      <c r="G39" s="356" t="e">
        <f>INDEX($O26:$O58,MATCH($A39,$I26:$I58,0))</f>
        <v>#N/A</v>
      </c>
      <c r="H39" s="357" t="e">
        <f>INDEX($P26:$P58,MATCH($A39,$I26:$I58,0))</f>
        <v>#N/A</v>
      </c>
      <c r="I39" s="338" t="e">
        <f>RANK($K39,$K26:$K58,0)+COUNTIF($K26:$K39,$K39)-1</f>
        <v>#VALUE!</v>
      </c>
      <c r="J39" s="31" t="s">
        <v>111</v>
      </c>
      <c r="K39" s="468" t="str">
        <f>IF(Data!$BU71="&lt;11",0,Data!$BU71)</f>
        <v/>
      </c>
      <c r="L39" s="341" t="str">
        <f>Data!$OK71</f>
        <v/>
      </c>
      <c r="M39" s="358" t="str">
        <f>IF(AND(LEFT($M2,4)="Very",$K40=0),0,Data!$BU72)</f>
        <v/>
      </c>
      <c r="N39" s="343" t="str">
        <f>Data!$OK72</f>
        <v/>
      </c>
      <c r="O39" s="31">
        <f>IF(Data!$BU62="&lt;11",0,Data!$BU62)</f>
        <v>40202</v>
      </c>
      <c r="P39" s="345">
        <f>Data!$OK62</f>
        <v>5.5E-2</v>
      </c>
      <c r="Q39" s="139"/>
      <c r="R39" s="340"/>
      <c r="Y39" s="139"/>
    </row>
    <row r="40" spans="1:27" ht="11.25" customHeight="1" x14ac:dyDescent="0.35">
      <c r="A40" s="328">
        <v>15</v>
      </c>
      <c r="B40" s="355" t="e">
        <f>INDEX($J26:$J58,MATCH($A40,$I26:$I58,0))</f>
        <v>#N/A</v>
      </c>
      <c r="C40" s="356" t="e">
        <f>IF(INDEX($K26:$K58,MATCH($A40,$I26:$I58,0))&lt;11,"&lt;11",INDEX($K26:$K58,MATCH($A40,$I26:$I58,0)))</f>
        <v>#N/A</v>
      </c>
      <c r="D40" s="357" t="e">
        <f>IF($C40="&lt;11","&lt;11",INDEX($L26:$L58,MATCH($A40,$I26:$I58,0)))</f>
        <v>#N/A</v>
      </c>
      <c r="E40" s="466" t="e">
        <f>IF(AND(LEFT($M25,4)="Very",$C40="&lt;11"),"&lt;11",INDEX($M26:$M58,MATCH($A40,$I26:$I58,0)))</f>
        <v>#N/A</v>
      </c>
      <c r="F40" s="357" t="e">
        <f>IF(AND(LEFT($M25,4)="Very",$E40="&lt;11"),"&lt;11",INDEX($N26:$N58,MATCH($A40,$I26:$I58,0)))</f>
        <v>#N/A</v>
      </c>
      <c r="G40" s="356" t="e">
        <f>INDEX($O26:$O58,MATCH($A40,$I26:$I58,0))</f>
        <v>#N/A</v>
      </c>
      <c r="H40" s="357" t="e">
        <f>INDEX($P26:$P58,MATCH($A40,$I26:$I58,0))</f>
        <v>#N/A</v>
      </c>
      <c r="I40" s="338" t="e">
        <f>RANK($K40,$K26:$K58,0)+COUNTIF($K26:$K40,$K40)-1</f>
        <v>#VALUE!</v>
      </c>
      <c r="J40" s="31" t="s">
        <v>112</v>
      </c>
      <c r="K40" s="468" t="str">
        <f>IF(Data!$BV71="&lt;11",0,Data!$BV71)</f>
        <v/>
      </c>
      <c r="L40" s="341" t="str">
        <f>Data!$OL71</f>
        <v/>
      </c>
      <c r="M40" s="358" t="str">
        <f>IF(AND(LEFT($M2,4)="Very",$K41=0),0,Data!$BV72)</f>
        <v/>
      </c>
      <c r="N40" s="343" t="str">
        <f>Data!$OL72</f>
        <v/>
      </c>
      <c r="O40" s="31">
        <f>IF(Data!$BV62="&lt;11",0,Data!$BV62)</f>
        <v>340</v>
      </c>
      <c r="P40" s="345">
        <f>Data!$OL62</f>
        <v>0</v>
      </c>
      <c r="Q40" s="139"/>
      <c r="R40" s="340"/>
      <c r="Y40" s="139"/>
    </row>
    <row r="41" spans="1:27" ht="11.25" customHeight="1" x14ac:dyDescent="0.35">
      <c r="A41" s="328">
        <v>16</v>
      </c>
      <c r="B41" s="355" t="e">
        <f>INDEX($J26:$J58,MATCH($A41,$I26:$I58,0))</f>
        <v>#N/A</v>
      </c>
      <c r="C41" s="356" t="e">
        <f>IF(INDEX($K26:$K58,MATCH($A41,$I26:$I58,0))&lt;11,"&lt;11",INDEX($K26:$K58,MATCH($A41,$I26:$I58,0)))</f>
        <v>#N/A</v>
      </c>
      <c r="D41" s="357" t="e">
        <f>IF($C41="&lt;11","&lt;11",INDEX($L26:$L58,MATCH($A41,$I26:$I58,0)))</f>
        <v>#N/A</v>
      </c>
      <c r="E41" s="466" t="e">
        <f>IF(AND(LEFT($M25,4)="Very",$C41="&lt;11"),"&lt;11",INDEX($M26:$M58,MATCH($A41,$I26:$I58,0)))</f>
        <v>#N/A</v>
      </c>
      <c r="F41" s="357" t="e">
        <f>IF(AND(LEFT($M25,4)="Very",$E41="&lt;11"),"&lt;11",INDEX($N26:$N58,MATCH($A41,$I26:$I58,0)))</f>
        <v>#N/A</v>
      </c>
      <c r="G41" s="356" t="e">
        <f>INDEX($O26:$O58,MATCH($A41,$I26:$I58,0))</f>
        <v>#N/A</v>
      </c>
      <c r="H41" s="357" t="e">
        <f>INDEX($P26:$P58,MATCH($A41,$I26:$I58,0))</f>
        <v>#N/A</v>
      </c>
      <c r="I41" s="338" t="e">
        <f>RANK($K41,$K26:$K58,0)+COUNTIF($K26:$K41,$K41)-1</f>
        <v>#VALUE!</v>
      </c>
      <c r="J41" s="31" t="s">
        <v>113</v>
      </c>
      <c r="K41" s="468" t="str">
        <f>IF(Data!$BW71="&lt;11",0,Data!$BW71)</f>
        <v/>
      </c>
      <c r="L41" s="341" t="str">
        <f>Data!$OM71</f>
        <v/>
      </c>
      <c r="M41" s="358" t="str">
        <f>IF(AND(LEFT($M2,4)="Very",$K42=0),0,Data!$BW72)</f>
        <v/>
      </c>
      <c r="N41" s="343" t="str">
        <f>Data!$OM72</f>
        <v/>
      </c>
      <c r="O41" s="31">
        <f>IF(Data!$BW62="&lt;11",0,Data!$BW62)</f>
        <v>851</v>
      </c>
      <c r="P41" s="345">
        <f>Data!$OM62</f>
        <v>1E-3</v>
      </c>
      <c r="Q41" s="139"/>
      <c r="R41" s="340"/>
      <c r="Y41" s="139"/>
    </row>
    <row r="42" spans="1:27" ht="11.25" customHeight="1" x14ac:dyDescent="0.35">
      <c r="A42" s="328">
        <v>17</v>
      </c>
      <c r="B42" s="355" t="e">
        <f>INDEX($J26:$J58,MATCH($A42,$I26:$I58,0))</f>
        <v>#N/A</v>
      </c>
      <c r="C42" s="356" t="e">
        <f>IF(INDEX($K26:$K58,MATCH($A42,$I26:$I58,0))&lt;11,"&lt;11",INDEX($K26:$K58,MATCH($A42,$I26:$I58,0)))</f>
        <v>#N/A</v>
      </c>
      <c r="D42" s="357" t="e">
        <f>IF($C42="&lt;11","&lt;11",INDEX($L26:$L58,MATCH($A42,$I26:$I58,0)))</f>
        <v>#N/A</v>
      </c>
      <c r="E42" s="466" t="e">
        <f>IF(AND(LEFT($M25,4)="Very",$C42="&lt;11"),"&lt;11",INDEX($M26:$M58,MATCH($A42,$I26:$I58,0)))</f>
        <v>#N/A</v>
      </c>
      <c r="F42" s="357" t="e">
        <f>IF(AND(LEFT($M25,4)="Very",$E42="&lt;11"),"&lt;11",INDEX($N26:$N58,MATCH($A42,$I26:$I58,0)))</f>
        <v>#N/A</v>
      </c>
      <c r="G42" s="356" t="e">
        <f>INDEX($O26:$O58,MATCH($A42,$I26:$I58,0))</f>
        <v>#N/A</v>
      </c>
      <c r="H42" s="357" t="e">
        <f>INDEX($P26:$P58,MATCH($A42,$I26:$I58,0))</f>
        <v>#N/A</v>
      </c>
      <c r="I42" s="338" t="e">
        <f>RANK($K42,$K26:$K58,0)+COUNTIF($K26:$K42,$K42)-1</f>
        <v>#VALUE!</v>
      </c>
      <c r="J42" s="31" t="s">
        <v>114</v>
      </c>
      <c r="K42" s="468" t="str">
        <f>IF(Data!$BX71="&lt;11",0,Data!$BX71)</f>
        <v/>
      </c>
      <c r="L42" s="341" t="str">
        <f>Data!$ON71</f>
        <v/>
      </c>
      <c r="M42" s="358" t="str">
        <f>IF(AND(LEFT($M2,4)="Very",$K43=0),0,Data!$BX72)</f>
        <v/>
      </c>
      <c r="N42" s="343" t="str">
        <f>Data!$ON72</f>
        <v/>
      </c>
      <c r="O42" s="31">
        <f>IF(Data!$BX62="&lt;11",0,Data!$BX62)</f>
        <v>2893</v>
      </c>
      <c r="P42" s="345">
        <f>Data!$ON62</f>
        <v>4.0000000000000001E-3</v>
      </c>
      <c r="Q42" s="139"/>
      <c r="R42" s="340"/>
      <c r="Y42" s="139"/>
    </row>
    <row r="43" spans="1:27" ht="11.25" customHeight="1" x14ac:dyDescent="0.35">
      <c r="A43" s="328">
        <v>18</v>
      </c>
      <c r="B43" s="355" t="e">
        <f>INDEX($J26:$J58,MATCH($A43,$I26:$I58,0))</f>
        <v>#N/A</v>
      </c>
      <c r="C43" s="356" t="e">
        <f>IF(INDEX($K26:$K58,MATCH($A43,$I26:$I58,0))&lt;11,"&lt;11",INDEX($K26:$K58,MATCH($A43,$I26:$I58,0)))</f>
        <v>#N/A</v>
      </c>
      <c r="D43" s="357" t="e">
        <f>IF($C43="&lt;11","&lt;11",INDEX($L26:$L58,MATCH($A43,$I26:$I58,0)))</f>
        <v>#N/A</v>
      </c>
      <c r="E43" s="466" t="e">
        <f>IF(AND(LEFT($M25,4)="Very",$C43="&lt;11"),"&lt;11",INDEX($M26:$M58,MATCH($A43,$I26:$I58,0)))</f>
        <v>#N/A</v>
      </c>
      <c r="F43" s="357" t="e">
        <f>IF(AND(LEFT($M25,4)="Very",$E43="&lt;11"),"&lt;11",INDEX($N26:$N58,MATCH($A43,$I26:$I58,0)))</f>
        <v>#N/A</v>
      </c>
      <c r="G43" s="356" t="e">
        <f>INDEX($O26:$O58,MATCH($A43,$I26:$I58,0))</f>
        <v>#N/A</v>
      </c>
      <c r="H43" s="357" t="e">
        <f>INDEX($P26:$P58,MATCH($A43,$I26:$I58,0))</f>
        <v>#N/A</v>
      </c>
      <c r="I43" s="338" t="e">
        <f>RANK($K43,$K26:$K58,0)+COUNTIF($K26:$K43,$K43)-1</f>
        <v>#VALUE!</v>
      </c>
      <c r="J43" s="31" t="s">
        <v>115</v>
      </c>
      <c r="K43" s="468" t="str">
        <f>IF(Data!$BY71="&lt;11",0,Data!$BY71)</f>
        <v/>
      </c>
      <c r="L43" s="341" t="str">
        <f>Data!$OO71</f>
        <v/>
      </c>
      <c r="M43" s="358" t="str">
        <f>IF(AND(LEFT($M2,4)="Very",$K44=0),0,Data!$BY72)</f>
        <v/>
      </c>
      <c r="N43" s="343" t="str">
        <f>Data!$OO72</f>
        <v/>
      </c>
      <c r="O43" s="31">
        <f>IF(Data!$BY62="&lt;11",0,Data!$BY62)</f>
        <v>2440</v>
      </c>
      <c r="P43" s="345">
        <f>Data!$OO62</f>
        <v>3.0000000000000001E-3</v>
      </c>
      <c r="Q43" s="139"/>
      <c r="R43" s="340"/>
      <c r="Y43" s="139"/>
    </row>
    <row r="44" spans="1:27" ht="11.25" customHeight="1" x14ac:dyDescent="0.35">
      <c r="A44" s="328">
        <v>19</v>
      </c>
      <c r="B44" s="355" t="e">
        <f>INDEX($J26:$J58,MATCH($A44,$I26:$I58,0))</f>
        <v>#N/A</v>
      </c>
      <c r="C44" s="356" t="e">
        <f>IF(INDEX($K26:$K58,MATCH($A44,$I26:$I58,0))&lt;11,"&lt;11",INDEX($K26:$K58,MATCH($A44,$I26:$I58,0)))</f>
        <v>#N/A</v>
      </c>
      <c r="D44" s="357" t="e">
        <f>IF($C44="&lt;11","&lt;11",INDEX($L26:$L58,MATCH($A44,$I26:$I58,0)))</f>
        <v>#N/A</v>
      </c>
      <c r="E44" s="466" t="e">
        <f>IF(AND(LEFT($M25,4)="Very",$C44="&lt;11"),"&lt;11",INDEX($M26:$M58,MATCH($A44,$I26:$I58,0)))</f>
        <v>#N/A</v>
      </c>
      <c r="F44" s="357" t="e">
        <f>IF(AND(LEFT($M25,4)="Very",$E44="&lt;11"),"&lt;11",INDEX($N26:$N58,MATCH($A44,$I26:$I58,0)))</f>
        <v>#N/A</v>
      </c>
      <c r="G44" s="356" t="e">
        <f>INDEX($O26:$O58,MATCH($A44,$I26:$I58,0))</f>
        <v>#N/A</v>
      </c>
      <c r="H44" s="357" t="e">
        <f>INDEX($P26:$P58,MATCH($A44,$I26:$I58,0))</f>
        <v>#N/A</v>
      </c>
      <c r="I44" s="338" t="e">
        <f>RANK($K44,$K26:$K58,0)+COUNTIF($K26:$K44,$K44)-1</f>
        <v>#VALUE!</v>
      </c>
      <c r="J44" s="31" t="s">
        <v>116</v>
      </c>
      <c r="K44" s="468" t="str">
        <f>IF(Data!$BZ71="&lt;11",0,Data!$BZ71)</f>
        <v/>
      </c>
      <c r="L44" s="341" t="str">
        <f>Data!$OP71</f>
        <v/>
      </c>
      <c r="M44" s="358" t="str">
        <f>IF(AND(LEFT($M2,4)="Very",$K45=0),0,Data!$BZ72)</f>
        <v/>
      </c>
      <c r="N44" s="343" t="str">
        <f>Data!$OP72</f>
        <v/>
      </c>
      <c r="O44" s="31">
        <f>IF(Data!$BZ62="&lt;11",0,Data!$BZ62)</f>
        <v>83</v>
      </c>
      <c r="P44" s="345">
        <f>Data!$OP62</f>
        <v>0</v>
      </c>
      <c r="Q44" s="139"/>
      <c r="R44" s="340"/>
      <c r="Y44" s="139"/>
    </row>
    <row r="45" spans="1:27" ht="11.25" customHeight="1" x14ac:dyDescent="0.35">
      <c r="A45" s="328">
        <v>20</v>
      </c>
      <c r="B45" s="355" t="e">
        <f>INDEX($J26:$J58,MATCH($A45,$I26:$I58,0))</f>
        <v>#N/A</v>
      </c>
      <c r="C45" s="356" t="e">
        <f>IF(INDEX($K26:$K58,MATCH($A45,$I26:$I58,0))&lt;11,"&lt;11",INDEX($K26:$K58,MATCH($A45,$I26:$I58,0)))</f>
        <v>#N/A</v>
      </c>
      <c r="D45" s="357" t="e">
        <f>IF($C45="&lt;11","&lt;11",INDEX($L26:$L58,MATCH($A45,$I26:$I58,0)))</f>
        <v>#N/A</v>
      </c>
      <c r="E45" s="466" t="e">
        <f>IF(AND(LEFT($M25,4)="Very",$C45="&lt;11"),"&lt;11",INDEX($M26:$M58,MATCH($A45,$I26:$I58,0)))</f>
        <v>#N/A</v>
      </c>
      <c r="F45" s="357" t="e">
        <f>IF(AND(LEFT($M25,4)="Very",$E45="&lt;11"),"&lt;11",INDEX($N26:$N58,MATCH($A45,$I26:$I58,0)))</f>
        <v>#N/A</v>
      </c>
      <c r="G45" s="356" t="e">
        <f>INDEX($O26:$O58,MATCH($A45,$I26:$I58,0))</f>
        <v>#N/A</v>
      </c>
      <c r="H45" s="357" t="e">
        <f>INDEX($P26:$P58,MATCH($A45,$I26:$I58,0))</f>
        <v>#N/A</v>
      </c>
      <c r="I45" s="338" t="e">
        <f>RANK($K45,$K26:$K58,0)+COUNTIF($K26:$K45,$K45)-1</f>
        <v>#VALUE!</v>
      </c>
      <c r="J45" s="31" t="s">
        <v>117</v>
      </c>
      <c r="K45" s="468" t="str">
        <f>IF(Data!$CA71="&lt;11",0,Data!$CA71)</f>
        <v/>
      </c>
      <c r="L45" s="341" t="str">
        <f>Data!$OQ71</f>
        <v/>
      </c>
      <c r="M45" s="358" t="str">
        <f>IF(AND(LEFT($M2,4)="Very",$K46=0),0,Data!$CA72)</f>
        <v/>
      </c>
      <c r="N45" s="343" t="str">
        <f>Data!$OQ72</f>
        <v/>
      </c>
      <c r="O45" s="31">
        <f>IF(Data!$CA62="&lt;11",0,Data!$CA62)</f>
        <v>50</v>
      </c>
      <c r="P45" s="345">
        <f>Data!$OQ62</f>
        <v>0</v>
      </c>
      <c r="Q45" s="139"/>
      <c r="R45" s="340"/>
      <c r="Y45" s="139"/>
    </row>
    <row r="46" spans="1:27" ht="11.25" customHeight="1" x14ac:dyDescent="0.35">
      <c r="A46" s="328">
        <v>21</v>
      </c>
      <c r="B46" s="355" t="e">
        <f>INDEX($J26:$J58,MATCH($A46,$I26:$I58,0))</f>
        <v>#N/A</v>
      </c>
      <c r="C46" s="356" t="e">
        <f>IF(INDEX($K26:$K58,MATCH($A46,$I26:$I58,0))&lt;11,"&lt;11",INDEX($K26:$K58,MATCH($A46,$I26:$I58,0)))</f>
        <v>#N/A</v>
      </c>
      <c r="D46" s="357" t="e">
        <f>IF($C46="&lt;11","&lt;11",INDEX($L26:$L58,MATCH($A46,$I26:$I58,0)))</f>
        <v>#N/A</v>
      </c>
      <c r="E46" s="466" t="e">
        <f>IF(AND(LEFT($M25,4)="Very",$C46="&lt;11"),"&lt;11",INDEX($M26:$M58,MATCH($A46,$I26:$I58,0)))</f>
        <v>#N/A</v>
      </c>
      <c r="F46" s="357" t="e">
        <f>IF(AND(LEFT($M25,4)="Very",$E46="&lt;11"),"&lt;11",INDEX($N26:$N58,MATCH($A46,$I26:$I58,0)))</f>
        <v>#N/A</v>
      </c>
      <c r="G46" s="356" t="e">
        <f>INDEX($O26:$O58,MATCH($A46,$I26:$I58,0))</f>
        <v>#N/A</v>
      </c>
      <c r="H46" s="357" t="e">
        <f>INDEX($P26:$P58,MATCH($A46,$I26:$I58,0))</f>
        <v>#N/A</v>
      </c>
      <c r="I46" s="338" t="e">
        <f>RANK($K46,$K26:$K58,0)+COUNTIF($K26:$K46,$K46)-1</f>
        <v>#VALUE!</v>
      </c>
      <c r="J46" s="31" t="s">
        <v>118</v>
      </c>
      <c r="K46" s="468" t="str">
        <f>IF(Data!$CB71="&lt;11",0,Data!$CB71)</f>
        <v/>
      </c>
      <c r="L46" s="341" t="str">
        <f>Data!$OR71</f>
        <v/>
      </c>
      <c r="M46" s="358" t="str">
        <f>IF(AND(LEFT($M2,4)="Very",$K47=0),0,Data!$CB72)</f>
        <v/>
      </c>
      <c r="N46" s="343" t="str">
        <f>Data!$OR72</f>
        <v/>
      </c>
      <c r="O46" s="31">
        <f>IF(Data!$CB62="&lt;11",0,Data!$CB62)</f>
        <v>62</v>
      </c>
      <c r="P46" s="345">
        <f>Data!$OR62</f>
        <v>0</v>
      </c>
      <c r="Q46" s="139"/>
      <c r="R46" s="340"/>
      <c r="Y46" s="139"/>
    </row>
    <row r="47" spans="1:27" ht="11.25" customHeight="1" x14ac:dyDescent="0.35">
      <c r="A47" s="328">
        <v>22</v>
      </c>
      <c r="B47" s="355" t="e">
        <f>INDEX($J26:$J58,MATCH($A47,$I26:$I58,0))</f>
        <v>#N/A</v>
      </c>
      <c r="C47" s="356" t="e">
        <f>IF(INDEX($K26:$K58,MATCH($A47,$I26:$I58,0))&lt;11,"&lt;11",INDEX($K26:$K58,MATCH($A47,$I26:$I58,0)))</f>
        <v>#N/A</v>
      </c>
      <c r="D47" s="357" t="e">
        <f>IF($C47="&lt;11","&lt;11",INDEX($L26:$L58,MATCH($A47,$I26:$I58,0)))</f>
        <v>#N/A</v>
      </c>
      <c r="E47" s="466" t="e">
        <f>IF(AND(LEFT($M25,4)="Very",$C47="&lt;11"),"&lt;11",INDEX($M26:$M58,MATCH($A47,$I26:$I58,0)))</f>
        <v>#N/A</v>
      </c>
      <c r="F47" s="357" t="e">
        <f>IF(AND(LEFT($M25,4)="Very",$E47="&lt;11"),"&lt;11",INDEX($N26:$N58,MATCH($A47,$I26:$I58,0)))</f>
        <v>#N/A</v>
      </c>
      <c r="G47" s="356" t="e">
        <f>INDEX($O26:$O58,MATCH($A47,$I26:$I58,0))</f>
        <v>#N/A</v>
      </c>
      <c r="H47" s="357" t="e">
        <f>INDEX($P26:$P58,MATCH($A47,$I26:$I58,0))</f>
        <v>#N/A</v>
      </c>
      <c r="I47" s="338" t="e">
        <f>RANK($K47,$K26:$K58,0)+COUNTIF($K26:$K47,$K47)-1</f>
        <v>#VALUE!</v>
      </c>
      <c r="J47" s="31" t="s">
        <v>119</v>
      </c>
      <c r="K47" s="468" t="str">
        <f>IF(Data!$CC71="&lt;11",0,Data!$CC71)</f>
        <v/>
      </c>
      <c r="L47" s="341" t="str">
        <f>Data!$OS71</f>
        <v/>
      </c>
      <c r="M47" s="358" t="str">
        <f>IF(AND(LEFT($M2,4)="Very",$K48=0),0,Data!$CC72)</f>
        <v/>
      </c>
      <c r="N47" s="343" t="str">
        <f>Data!$OS72</f>
        <v/>
      </c>
      <c r="O47" s="31">
        <f>IF(Data!$CC62="&lt;11",0,Data!$CC62)</f>
        <v>57</v>
      </c>
      <c r="P47" s="345">
        <f>Data!$OS62</f>
        <v>0</v>
      </c>
      <c r="Q47" s="139"/>
      <c r="R47" s="340"/>
      <c r="Y47" s="139"/>
    </row>
    <row r="48" spans="1:27" ht="11.25" customHeight="1" x14ac:dyDescent="0.35">
      <c r="A48" s="328">
        <v>23</v>
      </c>
      <c r="B48" s="355" t="e">
        <f>INDEX($J26:$J58,MATCH($A48,$I26:$I58,0))</f>
        <v>#N/A</v>
      </c>
      <c r="C48" s="356" t="e">
        <f>IF(INDEX($K26:$K58,MATCH($A48,$I26:$I58,0))&lt;11,"&lt;11",INDEX($K26:$K58,MATCH($A48,$I26:$I58,0)))</f>
        <v>#N/A</v>
      </c>
      <c r="D48" s="357" t="e">
        <f>IF($C48="&lt;11","&lt;11",INDEX($L26:$L58,MATCH($A48,$I26:$I58,0)))</f>
        <v>#N/A</v>
      </c>
      <c r="E48" s="466" t="e">
        <f>IF(AND(LEFT($M25,4)="Very",$C48="&lt;11"),"&lt;11",INDEX($M26:$M58,MATCH($A48,$I26:$I58,0)))</f>
        <v>#N/A</v>
      </c>
      <c r="F48" s="357" t="e">
        <f>IF(AND(LEFT($M25,4)="Very",$E48="&lt;11"),"&lt;11",INDEX($N26:$N58,MATCH($A48,$I26:$I58,0)))</f>
        <v>#N/A</v>
      </c>
      <c r="G48" s="356" t="e">
        <f>INDEX($O26:$O58,MATCH($A48,$I26:$I58,0))</f>
        <v>#N/A</v>
      </c>
      <c r="H48" s="357" t="e">
        <f>INDEX($P26:$P58,MATCH($A48,$I26:$I58,0))</f>
        <v>#N/A</v>
      </c>
      <c r="I48" s="338" t="e">
        <f>RANK($K48,$K26:$K58,0)+COUNTIF($K26:$K48,$K48)-1</f>
        <v>#VALUE!</v>
      </c>
      <c r="J48" s="31" t="s">
        <v>120</v>
      </c>
      <c r="K48" s="468" t="str">
        <f>IF(Data!$CD71="&lt;11",0,Data!$CD71)</f>
        <v/>
      </c>
      <c r="L48" s="341" t="str">
        <f>Data!$OT71</f>
        <v/>
      </c>
      <c r="M48" s="358" t="str">
        <f>IF(AND(LEFT($M2,4)="Very",$K49=0),0,Data!$CD72)</f>
        <v/>
      </c>
      <c r="N48" s="343" t="str">
        <f>Data!$OT72</f>
        <v/>
      </c>
      <c r="O48" s="31">
        <f>IF(Data!$CD62="&lt;11",0,Data!$CD62)</f>
        <v>15907</v>
      </c>
      <c r="P48" s="345">
        <f>Data!$OT62</f>
        <v>2.1999999999999999E-2</v>
      </c>
      <c r="Q48" s="139"/>
      <c r="R48" s="340"/>
      <c r="Y48" s="139"/>
    </row>
    <row r="49" spans="1:25" ht="11.25" customHeight="1" x14ac:dyDescent="0.35">
      <c r="A49" s="328">
        <v>24</v>
      </c>
      <c r="B49" s="355" t="e">
        <f>INDEX($J26:$J58,MATCH($A49,$I26:$I58,0))</f>
        <v>#N/A</v>
      </c>
      <c r="C49" s="356" t="e">
        <f>IF(INDEX($K26:$K58,MATCH($A49,$I26:$I58,0))&lt;11,"&lt;11",INDEX($K26:$K58,MATCH($A49,$I26:$I58,0)))</f>
        <v>#N/A</v>
      </c>
      <c r="D49" s="357" t="e">
        <f>IF($C49="&lt;11","&lt;11",INDEX($L26:$L58,MATCH($A49,$I26:$I58,0)))</f>
        <v>#N/A</v>
      </c>
      <c r="E49" s="466" t="e">
        <f>IF(AND(LEFT($M25,4)="Very",$C49="&lt;11"),"&lt;11",INDEX($M26:$M58,MATCH($A49,$I26:$I58,0)))</f>
        <v>#N/A</v>
      </c>
      <c r="F49" s="357" t="e">
        <f>IF(AND(LEFT($M25,4)="Very",$E49="&lt;11"),"&lt;11",INDEX($N26:$N58,MATCH($A49,$I26:$I58,0)))</f>
        <v>#N/A</v>
      </c>
      <c r="G49" s="356" t="e">
        <f>INDEX($O26:$O58,MATCH($A49,$I26:$I58,0))</f>
        <v>#N/A</v>
      </c>
      <c r="H49" s="357" t="e">
        <f>INDEX($P26:$P58,MATCH($A49,$I26:$I58,0))</f>
        <v>#N/A</v>
      </c>
      <c r="I49" s="338" t="e">
        <f>RANK($K49,$K26:$K58,0)+COUNTIF($K26:$K49,$K49)-1</f>
        <v>#VALUE!</v>
      </c>
      <c r="J49" s="31" t="s">
        <v>121</v>
      </c>
      <c r="K49" s="468" t="str">
        <f>IF(Data!$CE71="&lt;11",0,Data!$CE71)</f>
        <v/>
      </c>
      <c r="L49" s="341" t="str">
        <f>Data!$OU71</f>
        <v/>
      </c>
      <c r="M49" s="358" t="str">
        <f>IF(AND(LEFT($M2,4)="Very",$K50=0),0,Data!$CE72)</f>
        <v/>
      </c>
      <c r="N49" s="343" t="str">
        <f>Data!$OU72</f>
        <v/>
      </c>
      <c r="O49" s="31">
        <f>IF(Data!$CE62="&lt;11",0,Data!$CE62)</f>
        <v>402</v>
      </c>
      <c r="P49" s="345">
        <f>Data!$OU62</f>
        <v>1E-3</v>
      </c>
      <c r="Q49" s="139"/>
      <c r="R49" s="340"/>
      <c r="Y49" s="139"/>
    </row>
    <row r="50" spans="1:25" ht="11.25" customHeight="1" x14ac:dyDescent="0.35">
      <c r="A50" s="328">
        <v>25</v>
      </c>
      <c r="B50" s="355" t="e">
        <f>INDEX($J26:$J58,MATCH($A50,$I26:$I58,0))</f>
        <v>#N/A</v>
      </c>
      <c r="C50" s="356" t="e">
        <f>IF(INDEX($K26:$K58,MATCH($A50,$I26:$I58,0))&lt;11,"&lt;11",INDEX($K26:$K58,MATCH($A50,$I26:$I58,0)))</f>
        <v>#N/A</v>
      </c>
      <c r="D50" s="357" t="e">
        <f>IF($C50="&lt;11","&lt;11",INDEX($L26:$L58,MATCH($A50,$I26:$I58,0)))</f>
        <v>#N/A</v>
      </c>
      <c r="E50" s="466" t="e">
        <f>IF(AND(LEFT($M25,4)="Very",$C50="&lt;11"),"&lt;11",INDEX($M26:$M58,MATCH($A50,$I26:$I58,0)))</f>
        <v>#N/A</v>
      </c>
      <c r="F50" s="357" t="e">
        <f>IF(AND(LEFT($M25,4)="Very",$E50="&lt;11"),"&lt;11",INDEX($N26:$N58,MATCH($A50,$I26:$I58,0)))</f>
        <v>#N/A</v>
      </c>
      <c r="G50" s="356" t="e">
        <f>INDEX($O26:$O58,MATCH($A50,$I26:$I58,0))</f>
        <v>#N/A</v>
      </c>
      <c r="H50" s="357" t="e">
        <f>INDEX($P26:$P58,MATCH($A50,$I26:$I58,0))</f>
        <v>#N/A</v>
      </c>
      <c r="I50" s="338" t="e">
        <f>RANK($K50,$K26:$K58,0)+COUNTIF($K26:$K50,$K50)-1</f>
        <v>#VALUE!</v>
      </c>
      <c r="J50" s="31" t="s">
        <v>122</v>
      </c>
      <c r="K50" s="468" t="str">
        <f>IF(Data!$CF71="&lt;11",0,Data!$CF71)</f>
        <v/>
      </c>
      <c r="L50" s="341" t="str">
        <f>Data!$OV71</f>
        <v/>
      </c>
      <c r="M50" s="358" t="str">
        <f>IF(AND(LEFT($M2,4)="Very",$K51=0),0,Data!$CF72)</f>
        <v/>
      </c>
      <c r="N50" s="343" t="str">
        <f>Data!$OV72</f>
        <v/>
      </c>
      <c r="O50" s="31">
        <f>IF(Data!$CF62="&lt;11",0,Data!$CF62)</f>
        <v>65</v>
      </c>
      <c r="P50" s="345">
        <f>Data!$OV62</f>
        <v>0</v>
      </c>
      <c r="Q50" s="139"/>
      <c r="R50" s="340"/>
      <c r="Y50" s="139"/>
    </row>
    <row r="51" spans="1:25" ht="11.25" customHeight="1" x14ac:dyDescent="0.35">
      <c r="A51" s="328">
        <v>26</v>
      </c>
      <c r="B51" s="355" t="e">
        <f>INDEX($J26:$J58,MATCH($A51,$I26:$I58,0))</f>
        <v>#N/A</v>
      </c>
      <c r="C51" s="356" t="e">
        <f>IF(INDEX($K26:$K58,MATCH($A51,$I26:$I58,0))&lt;11,"&lt;11",INDEX($K26:$K58,MATCH($A51,$I26:$I58,0)))</f>
        <v>#N/A</v>
      </c>
      <c r="D51" s="357" t="e">
        <f>IF($C51="&lt;11","&lt;11",INDEX($L26:$L58,MATCH($A51,$I26:$I58,0)))</f>
        <v>#N/A</v>
      </c>
      <c r="E51" s="466" t="e">
        <f>IF(AND(LEFT($M25,4)="Very",$C51="&lt;11"),"&lt;11",INDEX($M26:$M58,MATCH($A51,$I26:$I58,0)))</f>
        <v>#N/A</v>
      </c>
      <c r="F51" s="357" t="e">
        <f>IF(AND(LEFT($M25,4)="Very",$E51="&lt;11"),"&lt;11",INDEX($N26:$N58,MATCH($A51,$I26:$I58,0)))</f>
        <v>#N/A</v>
      </c>
      <c r="G51" s="356" t="e">
        <f>INDEX($O26:$O58,MATCH($A51,$I26:$I58,0))</f>
        <v>#N/A</v>
      </c>
      <c r="H51" s="357" t="e">
        <f>INDEX($P26:$P58,MATCH($A51,$I26:$I58,0))</f>
        <v>#N/A</v>
      </c>
      <c r="I51" s="338" t="e">
        <f>RANK($K51,$K26:$K58,0)+COUNTIF($K26:$K51,$K51)-1</f>
        <v>#VALUE!</v>
      </c>
      <c r="J51" s="31" t="s">
        <v>123</v>
      </c>
      <c r="K51" s="468" t="str">
        <f>IF(Data!$CG71="&lt;11",0,Data!$CG71)</f>
        <v/>
      </c>
      <c r="L51" s="341" t="str">
        <f>Data!$OW71</f>
        <v/>
      </c>
      <c r="M51" s="358" t="str">
        <f>IF(AND(LEFT($M2,4)="Very",$K52=0),0,Data!$CG72)</f>
        <v/>
      </c>
      <c r="N51" s="343" t="str">
        <f>Data!$OW72</f>
        <v/>
      </c>
      <c r="O51" s="31">
        <f>IF(Data!$CG62="&lt;11",0,Data!$CG62)</f>
        <v>8343</v>
      </c>
      <c r="P51" s="345">
        <f>Data!$OW62</f>
        <v>1.0999999999999999E-2</v>
      </c>
      <c r="Q51" s="139"/>
      <c r="R51" s="340"/>
      <c r="U51" s="188"/>
      <c r="V51" s="188"/>
      <c r="Y51" s="139"/>
    </row>
    <row r="52" spans="1:25" ht="11.25" customHeight="1" x14ac:dyDescent="0.35">
      <c r="A52" s="328">
        <v>27</v>
      </c>
      <c r="B52" s="355" t="e">
        <f>INDEX($J26:$J58,MATCH($A52,$I26:$I58,0))</f>
        <v>#N/A</v>
      </c>
      <c r="C52" s="356" t="e">
        <f>IF(INDEX($K26:$K58,MATCH($A52,$I26:$I58,0))&lt;11,"&lt;11",INDEX($K26:$K58,MATCH($A52,$I26:$I58,0)))</f>
        <v>#N/A</v>
      </c>
      <c r="D52" s="357" t="e">
        <f>IF($C52="&lt;11","&lt;11",INDEX($L26:$L58,MATCH($A52,$I26:$I58,0)))</f>
        <v>#N/A</v>
      </c>
      <c r="E52" s="466" t="e">
        <f>IF(AND(LEFT($M25,4)="Very",$C52="&lt;11"),"&lt;11",INDEX($M26:$M58,MATCH($A52,$I26:$I58,0)))</f>
        <v>#N/A</v>
      </c>
      <c r="F52" s="357" t="e">
        <f>IF(AND(LEFT($M25,4)="Very",$E52="&lt;11"),"&lt;11",INDEX($N26:$N58,MATCH($A52,$I26:$I58,0)))</f>
        <v>#N/A</v>
      </c>
      <c r="G52" s="356" t="e">
        <f>INDEX($O26:$O58,MATCH($A52,$I26:$I58,0))</f>
        <v>#N/A</v>
      </c>
      <c r="H52" s="357" t="e">
        <f>INDEX($P26:$P58,MATCH($A52,$I26:$I58,0))</f>
        <v>#N/A</v>
      </c>
      <c r="I52" s="338" t="e">
        <f>RANK($K52,$K26:$K58,0)+COUNTIF($K26:$K52,$K52)-1</f>
        <v>#VALUE!</v>
      </c>
      <c r="J52" s="31" t="s">
        <v>93</v>
      </c>
      <c r="K52" s="468" t="str">
        <f>IF(Data!$CH71="&lt;11",0,Data!$CH71)</f>
        <v/>
      </c>
      <c r="L52" s="341" t="str">
        <f>Data!$OX71</f>
        <v/>
      </c>
      <c r="M52" s="358" t="str">
        <f>IF(AND(LEFT($M2,4)="Very",$K53=0),0,Data!$CH72)</f>
        <v/>
      </c>
      <c r="N52" s="343" t="str">
        <f>Data!$OX72</f>
        <v/>
      </c>
      <c r="O52" s="31">
        <f>IF(Data!$CH62="&lt;11",0,Data!$CH62)</f>
        <v>204</v>
      </c>
      <c r="P52" s="345">
        <f>Data!$OX62</f>
        <v>0</v>
      </c>
      <c r="Q52" s="139"/>
      <c r="R52" s="340"/>
      <c r="Y52" s="139"/>
    </row>
    <row r="53" spans="1:25" ht="11.25" customHeight="1" x14ac:dyDescent="0.35">
      <c r="A53" s="328">
        <v>28</v>
      </c>
      <c r="B53" s="355" t="e">
        <f>INDEX($J26:$J58,MATCH($A53,$I26:$I58,0))</f>
        <v>#N/A</v>
      </c>
      <c r="C53" s="356" t="e">
        <f>IF(INDEX($K26:$K58,MATCH($A53,$I26:$I58,0))&lt;11,"&lt;11",INDEX($K26:$K58,MATCH($A53,$I26:$I58,0)))</f>
        <v>#N/A</v>
      </c>
      <c r="D53" s="357" t="e">
        <f>IF($C53="&lt;11","&lt;11",INDEX($L26:$L58,MATCH($A53,$I26:$I58,0)))</f>
        <v>#N/A</v>
      </c>
      <c r="E53" s="466" t="e">
        <f>IF(AND(LEFT($M25,4)="Very",$C53="&lt;11"),"&lt;11",INDEX($M26:$M58,MATCH($A53,$I26:$I58,0)))</f>
        <v>#N/A</v>
      </c>
      <c r="F53" s="357" t="e">
        <f>IF(AND(LEFT($M25,4)="Very",$E53="&lt;11"),"&lt;11",INDEX($N26:$N58,MATCH($A53,$I26:$I58,0)))</f>
        <v>#N/A</v>
      </c>
      <c r="G53" s="356" t="e">
        <f>INDEX($O26:$O58,MATCH($A53,$I26:$I58,0))</f>
        <v>#N/A</v>
      </c>
      <c r="H53" s="357" t="e">
        <f>INDEX($P26:$P58,MATCH($A53,$I26:$I58,0))</f>
        <v>#N/A</v>
      </c>
      <c r="I53" s="338" t="e">
        <f>RANK($K53,$K26:$K58,0)+COUNTIF($K26:$K53,$K53)-1</f>
        <v>#VALUE!</v>
      </c>
      <c r="J53" s="31" t="s">
        <v>124</v>
      </c>
      <c r="K53" s="468" t="str">
        <f>IF(Data!$CI71="&lt;11",0,Data!$CI71)</f>
        <v/>
      </c>
      <c r="L53" s="341" t="str">
        <f>Data!$OY71</f>
        <v/>
      </c>
      <c r="M53" s="358" t="str">
        <f>IF(AND(LEFT($M2,4)="Very",$K54=0),0,Data!$CI72)</f>
        <v/>
      </c>
      <c r="N53" s="343" t="str">
        <f>Data!$OY72</f>
        <v/>
      </c>
      <c r="O53" s="31">
        <f>IF(Data!$CI62="&lt;11",0,Data!$CI62)</f>
        <v>480</v>
      </c>
      <c r="P53" s="345">
        <f>Data!$OY62</f>
        <v>1E-3</v>
      </c>
      <c r="Q53" s="139"/>
      <c r="R53" s="340"/>
      <c r="Y53" s="139"/>
    </row>
    <row r="54" spans="1:25" ht="11.25" customHeight="1" x14ac:dyDescent="0.35">
      <c r="A54" s="328">
        <v>29</v>
      </c>
      <c r="B54" s="355" t="e">
        <f>INDEX($J26:$J58,MATCH($A54,$I26:$I58,0))</f>
        <v>#N/A</v>
      </c>
      <c r="C54" s="356" t="e">
        <f>IF(INDEX($K26:$K58,MATCH($A54,$I26:$I58,0))&lt;11,"&lt;11",INDEX($K26:$K58,MATCH($A54,$I26:$I58,0)))</f>
        <v>#N/A</v>
      </c>
      <c r="D54" s="357" t="e">
        <f>IF($C54="&lt;11","&lt;11",INDEX($L26:$L58,MATCH($A54,$I26:$I58,0)))</f>
        <v>#N/A</v>
      </c>
      <c r="E54" s="466" t="e">
        <f>IF(AND(LEFT($M25,4)="Very",$C54="&lt;11"),"&lt;11",INDEX($M26:$M58,MATCH($A54,$I26:$I58,0)))</f>
        <v>#N/A</v>
      </c>
      <c r="F54" s="357" t="e">
        <f>IF(AND(LEFT($M25,4)="Very",$E54="&lt;11"),"&lt;11",INDEX($N26:$N58,MATCH($A54,$I26:$I58,0)))</f>
        <v>#N/A</v>
      </c>
      <c r="G54" s="356" t="e">
        <f>INDEX($O26:$O58,MATCH($A54,$I26:$I58,0))</f>
        <v>#N/A</v>
      </c>
      <c r="H54" s="357" t="e">
        <f>INDEX($P26:$P58,MATCH($A54,$I26:$I58,0))</f>
        <v>#N/A</v>
      </c>
      <c r="I54" s="338" t="e">
        <f>RANK($K54,$K26:$K58,0)+COUNTIF($K26:$K54,$K54)-1</f>
        <v>#VALUE!</v>
      </c>
      <c r="J54" s="31" t="s">
        <v>125</v>
      </c>
      <c r="K54" s="468" t="str">
        <f>IF(Data!$CJ71="&lt;11",0,Data!$CJ71)</f>
        <v/>
      </c>
      <c r="L54" s="341" t="str">
        <f>Data!$OZ71</f>
        <v/>
      </c>
      <c r="M54" s="358" t="str">
        <f>IF(AND(LEFT($M2,4)="Very",$K55=0),0,Data!$CJ72)</f>
        <v/>
      </c>
      <c r="N54" s="343" t="str">
        <f>Data!$OZ72</f>
        <v/>
      </c>
      <c r="O54" s="31">
        <f>IF(Data!$CJ62="&lt;11",0,Data!$CJ62)</f>
        <v>14471</v>
      </c>
      <c r="P54" s="345">
        <f>Data!$OZ62</f>
        <v>0.02</v>
      </c>
      <c r="Q54" s="139"/>
      <c r="R54" s="340"/>
      <c r="Y54" s="139"/>
    </row>
    <row r="55" spans="1:25" ht="11.25" customHeight="1" x14ac:dyDescent="0.35">
      <c r="A55" s="328">
        <v>30</v>
      </c>
      <c r="B55" s="355" t="e">
        <f>INDEX($J26:$J58,MATCH($A55,$I26:$I58,0))</f>
        <v>#N/A</v>
      </c>
      <c r="C55" s="356" t="e">
        <f>IF(INDEX($K26:$K58,MATCH($A55,$I26:$I58,0))&lt;11,"&lt;11",INDEX($K26:$K58,MATCH($A55,$I26:$I58,0)))</f>
        <v>#N/A</v>
      </c>
      <c r="D55" s="357" t="e">
        <f>IF($C55="&lt;11","&lt;11",INDEX($L26:$L58,MATCH($A55,$I26:$I58,0)))</f>
        <v>#N/A</v>
      </c>
      <c r="E55" s="466" t="e">
        <f>IF(AND(LEFT($M25,4)="Very",$C55="&lt;11"),"&lt;11",INDEX($M26:$M58,MATCH($A55,$I26:$I58,0)))</f>
        <v>#N/A</v>
      </c>
      <c r="F55" s="357" t="e">
        <f>IF(AND(LEFT($M25,4)="Very",$E55="&lt;11"),"&lt;11",INDEX($N26:$N58,MATCH($A55,$I26:$I58,0)))</f>
        <v>#N/A</v>
      </c>
      <c r="G55" s="356" t="e">
        <f>INDEX($O26:$O58,MATCH($A55,$I26:$I58,0))</f>
        <v>#N/A</v>
      </c>
      <c r="H55" s="357" t="e">
        <f>INDEX($P26:$P58,MATCH($A55,$I26:$I58,0))</f>
        <v>#N/A</v>
      </c>
      <c r="I55" s="338" t="e">
        <f>RANK($K55,$K26:$K58,0)+COUNTIF($K26:$K55,$K55)-1</f>
        <v>#VALUE!</v>
      </c>
      <c r="J55" s="31" t="s">
        <v>97</v>
      </c>
      <c r="K55" s="468" t="str">
        <f>IF(Data!$CK71="&lt;11",0,Data!$CK71)</f>
        <v/>
      </c>
      <c r="L55" s="341" t="str">
        <f>Data!$PA71</f>
        <v/>
      </c>
      <c r="M55" s="358" t="str">
        <f>IF(AND(LEFT($M2,4)="Very",$K55=0),0,Data!$CK72)</f>
        <v/>
      </c>
      <c r="N55" s="343" t="str">
        <f>Data!$PA72</f>
        <v/>
      </c>
      <c r="O55" s="31">
        <f>IF(Data!$CK62="&lt;11",0,Data!$CK62)</f>
        <v>30814</v>
      </c>
      <c r="P55" s="345">
        <f>Data!$PA62</f>
        <v>4.2000000000000003E-2</v>
      </c>
      <c r="Q55" s="139"/>
      <c r="R55" s="340"/>
      <c r="Y55" s="139"/>
    </row>
    <row r="56" spans="1:25" ht="11.25" customHeight="1" x14ac:dyDescent="0.35">
      <c r="A56" s="31">
        <v>31</v>
      </c>
      <c r="B56" s="355" t="e">
        <f>INDEX($J26:$J58,MATCH($A56,$I26:$I58,0))</f>
        <v>#N/A</v>
      </c>
      <c r="C56" s="356" t="e">
        <f>IF(INDEX($K26:$K58,MATCH($A56,$I26:$I58,0))&lt;11,"&lt;11",INDEX($K26:$K58,MATCH($A56,$I26:$I58,0)))</f>
        <v>#N/A</v>
      </c>
      <c r="D56" s="357" t="e">
        <f>IF($C56="&lt;11","&lt;11",INDEX($L26:$L58,MATCH($A56,$I26:$I58,0)))</f>
        <v>#N/A</v>
      </c>
      <c r="E56" s="466" t="e">
        <f>IF(AND(LEFT($M25,4)="Very",$C56="&lt;11"),"&lt;11",INDEX($M26:$M58,MATCH($A56,$I26:$I58,0)))</f>
        <v>#N/A</v>
      </c>
      <c r="F56" s="357" t="e">
        <f>IF(AND(LEFT($M25,4)="Very",$E56="&lt;11"),"&lt;11",INDEX($N26:$N58,MATCH($A56,$I26:$I58,0)))</f>
        <v>#N/A</v>
      </c>
      <c r="G56" s="356" t="e">
        <f>INDEX($O26:$O58,MATCH($A56,$I26:$I58,0))</f>
        <v>#N/A</v>
      </c>
      <c r="H56" s="357" t="e">
        <f>INDEX($P26:$P58,MATCH($A56,$I26:$I58,0))</f>
        <v>#N/A</v>
      </c>
      <c r="I56" s="338" t="e">
        <f>RANK($K56,$K26:$K58,0)+COUNTIF($K26:$K56,$K56)-1</f>
        <v>#VALUE!</v>
      </c>
      <c r="J56" s="465" t="s">
        <v>728</v>
      </c>
      <c r="K56" s="468" t="str">
        <f>IF(Data!$CL71="&lt;11",0,Data!$CL71)</f>
        <v/>
      </c>
      <c r="L56" s="341" t="str">
        <f>Data!$PB71</f>
        <v/>
      </c>
      <c r="M56" s="358" t="str">
        <f>IF(AND(LEFT($M2,4)="Very",$K56=0),0,Data!$CL72)</f>
        <v/>
      </c>
      <c r="N56" s="343" t="str">
        <f>Data!$PB72</f>
        <v/>
      </c>
      <c r="O56" s="31">
        <f>IF(Data!$CL62="&lt;11",0,Data!$CL62)</f>
        <v>436</v>
      </c>
      <c r="P56" s="345">
        <f>Data!$PB62</f>
        <v>1E-3</v>
      </c>
      <c r="Q56" s="139"/>
      <c r="R56" s="340"/>
      <c r="Y56" s="139"/>
    </row>
    <row r="57" spans="1:25" ht="11.25" customHeight="1" x14ac:dyDescent="0.35">
      <c r="A57" s="31">
        <v>32</v>
      </c>
      <c r="B57" s="355" t="e">
        <f>INDEX($J26:$J58,MATCH($A57,$I26:$I58,0))</f>
        <v>#N/A</v>
      </c>
      <c r="C57" s="356" t="e">
        <f>IF(INDEX($K26:$K58,MATCH($A57,$I26:$I58,0))&lt;11,"&lt;11",INDEX($K26:$K58,MATCH($A57,$I26:$I58,0)))</f>
        <v>#N/A</v>
      </c>
      <c r="D57" s="357" t="e">
        <f>IF($C57="&lt;11","&lt;11",INDEX($L26:$L58,MATCH($A57,$I26:$I58,0)))</f>
        <v>#N/A</v>
      </c>
      <c r="E57" s="466" t="e">
        <f>IF(AND(LEFT($M25,4)="Very",$C57="&lt;11"),"&lt;11",INDEX($M26:$M58,MATCH($A57,$I26:$I58,0)))</f>
        <v>#N/A</v>
      </c>
      <c r="F57" s="357" t="e">
        <f>IF(AND(LEFT($M25,4)="Very",$E57="&lt;11"),"&lt;11",INDEX($N26:$N58,MATCH($A57,$I26:$I58,0)))</f>
        <v>#N/A</v>
      </c>
      <c r="G57" s="356" t="e">
        <f>INDEX($O26:$O58,MATCH($A57,$I26:$I58,0))</f>
        <v>#N/A</v>
      </c>
      <c r="H57" s="357" t="e">
        <f>INDEX($P26:$P58,MATCH($A57,$I26:$I58,0))</f>
        <v>#N/A</v>
      </c>
      <c r="I57" s="338" t="e">
        <f>RANK($K57,$K26:$K58,0)+COUNTIF($K26:$K57,$K57)-1</f>
        <v>#VALUE!</v>
      </c>
      <c r="J57" s="465" t="s">
        <v>729</v>
      </c>
      <c r="K57" s="468" t="str">
        <f>IF(Data!$CM71="&lt;11",0,Data!$CM71)</f>
        <v/>
      </c>
      <c r="L57" s="341" t="str">
        <f>Data!$PC71</f>
        <v/>
      </c>
      <c r="M57" s="358" t="str">
        <f>IF(AND(LEFT($M2,4)="Very",$K57=0),0,Data!$CM72)</f>
        <v/>
      </c>
      <c r="N57" s="343" t="str">
        <f>Data!$PC72</f>
        <v/>
      </c>
      <c r="O57" s="31">
        <f>IF(Data!$CM62="&lt;11",0,Data!$CM62)</f>
        <v>1833</v>
      </c>
      <c r="P57" s="345">
        <f>Data!$PC62</f>
        <v>2E-3</v>
      </c>
      <c r="Q57" s="139"/>
      <c r="R57" s="340"/>
      <c r="Y57" s="139"/>
    </row>
    <row r="58" spans="1:25" ht="11.25" customHeight="1" x14ac:dyDescent="0.35">
      <c r="A58" s="31">
        <v>33</v>
      </c>
      <c r="B58" s="355" t="e">
        <f>INDEX($J26:$J58,MATCH($A58,$I26:$I58,0))</f>
        <v>#N/A</v>
      </c>
      <c r="C58" s="356" t="e">
        <f>IF(INDEX($K26:$K58,MATCH($A58,$I26:$I58,0))&lt;11,"&lt;11",INDEX($K26:$K58,MATCH($A58,$I26:$I58,0)))</f>
        <v>#N/A</v>
      </c>
      <c r="D58" s="357" t="e">
        <f>IF($C58="&lt;11","&lt;11",INDEX($L26:$L58,MATCH($A58,$I26:$I58,0)))</f>
        <v>#N/A</v>
      </c>
      <c r="E58" s="466" t="e">
        <f>IF(AND(LEFT($M25,4)="Very",$C58="&lt;11"),"&lt;11",INDEX($M26:$M58,MATCH($A58,$I26:$I58,0)))</f>
        <v>#N/A</v>
      </c>
      <c r="F58" s="357" t="e">
        <f>IF(AND(LEFT($M25,4)="Very",$E58="&lt;11"),"&lt;11",INDEX($N26:$N58,MATCH($A58,$I26:$I58,0)))</f>
        <v>#N/A</v>
      </c>
      <c r="G58" s="356" t="e">
        <f>INDEX($O26:$O58,MATCH($A58,$I26:$I58,0))</f>
        <v>#N/A</v>
      </c>
      <c r="H58" s="357" t="e">
        <f>INDEX($P26:$P58,MATCH($A58,$I26:$I58,0))</f>
        <v>#N/A</v>
      </c>
      <c r="I58" s="338" t="e">
        <f>RANK($K58,$K26:$K58,0)+COUNTIF($K26:$K58,$K58)-1</f>
        <v>#VALUE!</v>
      </c>
      <c r="J58" s="465" t="s">
        <v>730</v>
      </c>
      <c r="K58" s="468" t="str">
        <f>IF(Data!$CN71="&lt;11",0,Data!$CN71)</f>
        <v/>
      </c>
      <c r="L58" s="341" t="str">
        <f>Data!$PD71</f>
        <v/>
      </c>
      <c r="M58" s="358" t="str">
        <f>IF(AND(LEFT($M2,4)="Very",$K58=0),0,Data!$CN72)</f>
        <v/>
      </c>
      <c r="N58" s="343" t="str">
        <f>Data!$PD72</f>
        <v/>
      </c>
      <c r="O58" s="31">
        <f>IF(Data!$CN62="&lt;11",0,Data!$CN62)</f>
        <v>127</v>
      </c>
      <c r="P58" s="345">
        <f>Data!$PD62</f>
        <v>0</v>
      </c>
      <c r="Q58" s="139"/>
      <c r="R58" s="340"/>
      <c r="Y58" s="139"/>
    </row>
    <row r="59" spans="1:25" ht="11.25" customHeight="1" x14ac:dyDescent="0.35">
      <c r="A59" s="28"/>
      <c r="B59" s="28"/>
      <c r="C59" s="28"/>
      <c r="D59" s="311"/>
      <c r="E59" s="28"/>
      <c r="F59" s="28"/>
      <c r="G59" s="28"/>
      <c r="H59" s="28"/>
      <c r="I59" s="338"/>
      <c r="J59" s="465"/>
      <c r="Q59" s="139"/>
      <c r="R59" s="340"/>
      <c r="Y59" s="139"/>
    </row>
    <row r="60" spans="1:25" ht="11.25" customHeight="1" x14ac:dyDescent="0.35">
      <c r="B60" s="56"/>
      <c r="C60" s="348"/>
      <c r="D60" s="311"/>
      <c r="E60" s="361"/>
      <c r="F60" s="238"/>
      <c r="G60" s="361"/>
      <c r="H60" s="238"/>
      <c r="L60" s="341"/>
      <c r="Q60" s="139"/>
      <c r="R60" s="340"/>
      <c r="Y60" s="139"/>
    </row>
    <row r="61" spans="1:25" ht="11.25" customHeight="1" x14ac:dyDescent="0.35">
      <c r="B61" s="56"/>
      <c r="C61" s="361"/>
      <c r="D61" s="311"/>
      <c r="E61" s="361"/>
      <c r="F61" s="238"/>
      <c r="G61" s="361"/>
      <c r="H61" s="238"/>
      <c r="I61" s="325"/>
      <c r="Q61" s="139"/>
      <c r="R61" s="340"/>
      <c r="Y61" s="139"/>
    </row>
    <row r="62" spans="1:25" ht="11.25" customHeight="1" x14ac:dyDescent="0.35">
      <c r="A62" s="323" t="s">
        <v>282</v>
      </c>
      <c r="B62" s="362"/>
      <c r="C62" s="363"/>
      <c r="D62" s="364"/>
      <c r="E62" s="363"/>
      <c r="F62" s="365"/>
      <c r="G62" s="363"/>
      <c r="H62" s="365"/>
      <c r="J62" s="325"/>
      <c r="K62" s="325"/>
      <c r="L62" s="326"/>
      <c r="M62" s="327"/>
      <c r="Q62" s="139"/>
      <c r="R62" s="340"/>
      <c r="Y62" s="139"/>
    </row>
    <row r="63" spans="1:25" ht="11.25" customHeight="1" x14ac:dyDescent="0.35">
      <c r="A63" s="328"/>
      <c r="B63" s="353" t="s">
        <v>138</v>
      </c>
      <c r="C63" s="330" t="str">
        <f>COUNTY_SELECT</f>
        <v>County Name</v>
      </c>
      <c r="D63" s="366"/>
      <c r="E63" s="330" t="str">
        <f>Data!$A72</f>
        <v/>
      </c>
      <c r="F63" s="331"/>
      <c r="G63" s="330" t="s">
        <v>126</v>
      </c>
      <c r="H63" s="331"/>
      <c r="J63" s="323" t="s">
        <v>138</v>
      </c>
      <c r="K63" s="328" t="str">
        <f>COUNTY_SELECT</f>
        <v>County Name</v>
      </c>
      <c r="M63" s="332" t="str">
        <f>Data!$A72</f>
        <v/>
      </c>
      <c r="O63" s="333" t="s">
        <v>126</v>
      </c>
      <c r="P63" s="367"/>
      <c r="Q63" s="341"/>
      <c r="Y63" s="139"/>
    </row>
    <row r="64" spans="1:25" ht="11.25" customHeight="1" x14ac:dyDescent="0.35">
      <c r="A64" s="328">
        <v>1</v>
      </c>
      <c r="B64" s="355" t="e">
        <f>INDEX($J64:$J96,MATCH($A64,$I64:$I96,0))</f>
        <v>#N/A</v>
      </c>
      <c r="C64" s="361" t="e">
        <f>IF(INDEX($K64:$K96,MATCH($A64,$I64:$I96,0))&lt;11,"&lt;11",INDEX($K64:$K96,MATCH($A64,$I64:$I96,0)))</f>
        <v>#N/A</v>
      </c>
      <c r="D64" s="311" t="e">
        <f>IF($C64="&lt;11","&lt;11",INDEX($L64:$L96,MATCH($A64,$I64:$I96,0)))</f>
        <v>#N/A</v>
      </c>
      <c r="E64" s="368" t="e">
        <f>IF(AND(LEFT($M63,4)="Very",$C64="&lt;11"),"&lt;11",INDEX($M64:$M96,MATCH($A64,$I64:$I96,0)))</f>
        <v>#N/A</v>
      </c>
      <c r="F64" s="311" t="e">
        <f>IF(AND(LEFT($M25,4)="Very",$E64="&lt;11"),"&lt;11",INDEX($N64:$N96,MATCH($A64,$I64:$I96,0)))</f>
        <v>#N/A</v>
      </c>
      <c r="G64" s="368" t="e">
        <f>INDEX($O64:$O96,MATCH($A64,$I64:$I96,0))</f>
        <v>#N/A</v>
      </c>
      <c r="H64" s="311" t="e">
        <f>INDEX($P64:$P96,MATCH($A64,$I64:$I96,0))</f>
        <v>#N/A</v>
      </c>
      <c r="I64" s="338" t="e">
        <f>RANK($K64,$K64:$K96,0)+COUNTIF($K64:$K64,$K64)-1</f>
        <v>#VALUE!</v>
      </c>
      <c r="J64" s="31" t="s">
        <v>102</v>
      </c>
      <c r="K64" s="251" t="str">
        <f>IF(Data!$CO71="&lt;11",0,Data!$CO71)</f>
        <v/>
      </c>
      <c r="L64" s="341" t="str">
        <f>Data!$PE71</f>
        <v/>
      </c>
      <c r="M64" s="358" t="str">
        <f>IF(AND(LEFT($M63,4)="Very",$K64=0),0,Data!$CO72)</f>
        <v/>
      </c>
      <c r="N64" s="343" t="str">
        <f>Data!$PE72</f>
        <v/>
      </c>
      <c r="O64" s="369">
        <f>Data!$CO62</f>
        <v>257</v>
      </c>
      <c r="P64" s="341">
        <f>Data!$PE62</f>
        <v>0</v>
      </c>
      <c r="Q64" s="341"/>
      <c r="Y64" s="139"/>
    </row>
    <row r="65" spans="1:48" ht="11.25" customHeight="1" x14ac:dyDescent="0.35">
      <c r="A65" s="328">
        <v>2</v>
      </c>
      <c r="B65" s="355" t="e">
        <f>INDEX($J64:$J96,MATCH($A65,$I64:$I96,0))</f>
        <v>#N/A</v>
      </c>
      <c r="C65" s="361" t="e">
        <f>IF(INDEX($K64:$K96,MATCH($A65,$I64:$I96,0))&lt;11,"&lt;11",INDEX($K64:$K96,MATCH($A65,$I64:$I96,0)))</f>
        <v>#N/A</v>
      </c>
      <c r="D65" s="311" t="e">
        <f>IF($C65="&lt;11","&lt;11",INDEX($L64:$L96,MATCH($A65,$I64:$I96,0)))</f>
        <v>#N/A</v>
      </c>
      <c r="E65" s="368" t="e">
        <f>IF(AND(LEFT($M63,4)="Very",$C65="&lt;11"),"&lt;11",INDEX($M64:$M96,MATCH($A65,$I64:$I96,0)))</f>
        <v>#N/A</v>
      </c>
      <c r="F65" s="311" t="e">
        <f>IF(AND(LEFT($M25,4)="Very",$E65="&lt;11"),"&lt;11",INDEX($N64:$N96,MATCH($A65,$I64:$I96,0)))</f>
        <v>#N/A</v>
      </c>
      <c r="G65" s="368" t="e">
        <f>INDEX($O64:$O96,MATCH($A65,$I64:$I96,0))</f>
        <v>#N/A</v>
      </c>
      <c r="H65" s="311" t="e">
        <f>INDEX($P64:$P96,MATCH($A65,$I64:$I96,0))</f>
        <v>#N/A</v>
      </c>
      <c r="I65" s="338" t="e">
        <f>RANK($K65,$K64:$K96,0)+COUNTIF($K64:$K65,$K65)-1</f>
        <v>#VALUE!</v>
      </c>
      <c r="J65" s="31" t="s">
        <v>103</v>
      </c>
      <c r="K65" s="251" t="str">
        <f>IF(Data!$CP71="&lt;11",0,Data!$CP71)</f>
        <v/>
      </c>
      <c r="L65" s="341" t="str">
        <f>Data!$PF71</f>
        <v/>
      </c>
      <c r="M65" s="358" t="str">
        <f>IF(AND(LEFT($M63,4)="Very",$K65=0),0,Data!$CP72)</f>
        <v/>
      </c>
      <c r="N65" s="343" t="str">
        <f>Data!$PF72</f>
        <v/>
      </c>
      <c r="O65" s="369">
        <f>Data!$CP62</f>
        <v>81512</v>
      </c>
      <c r="P65" s="341">
        <f>Data!$PF62</f>
        <v>0.123</v>
      </c>
      <c r="Q65" s="341"/>
    </row>
    <row r="66" spans="1:48" ht="11.25" customHeight="1" x14ac:dyDescent="0.35">
      <c r="A66" s="328">
        <v>3</v>
      </c>
      <c r="B66" s="355" t="e">
        <f>INDEX($J64:$J96,MATCH($A66,$I64:$I96,0))</f>
        <v>#N/A</v>
      </c>
      <c r="C66" s="361" t="e">
        <f>IF(INDEX($K64:$K96,MATCH($A66,$I64:$I96,0))&lt;11,"&lt;11",INDEX($K64:$K96,MATCH($A66,$I64:$I96,0)))</f>
        <v>#N/A</v>
      </c>
      <c r="D66" s="311" t="e">
        <f>IF($C66="&lt;11","&lt;11",INDEX($L64:$L96,MATCH($A66,$I64:$I96,0)))</f>
        <v>#N/A</v>
      </c>
      <c r="E66" s="368" t="e">
        <f>IF(AND(LEFT($M63,4)="Very",$C66="&lt;11"),"&lt;11",INDEX($M64:$M96,MATCH($A66,$I64:$I96,0)))</f>
        <v>#N/A</v>
      </c>
      <c r="F66" s="311" t="e">
        <f>IF(AND(LEFT($M25,4)="Very",$E66="&lt;11"),"&lt;11",INDEX($N64:$N96,MATCH($A66,$I64:$I96,0)))</f>
        <v>#N/A</v>
      </c>
      <c r="G66" s="368" t="e">
        <f>INDEX($O64:$O96,MATCH($A66,$I64:$I96,0))</f>
        <v>#N/A</v>
      </c>
      <c r="H66" s="311" t="e">
        <f>INDEX($P64:$P96,MATCH($A66,$I64:$I96,0))</f>
        <v>#N/A</v>
      </c>
      <c r="I66" s="338" t="e">
        <f>RANK($K66,$K64:$K96,0)+COUNTIF($K64:$K66,$K66)-1</f>
        <v>#VALUE!</v>
      </c>
      <c r="J66" s="31" t="s">
        <v>104</v>
      </c>
      <c r="K66" s="251" t="str">
        <f>IF(Data!$CQ71="&lt;11",0,Data!$CQ71)</f>
        <v/>
      </c>
      <c r="L66" s="341" t="str">
        <f>Data!$PG71</f>
        <v/>
      </c>
      <c r="M66" s="358" t="str">
        <f>IF(AND(LEFT($M63,4)="Very",$K66=0),0,Data!$CQ72)</f>
        <v/>
      </c>
      <c r="N66" s="343" t="str">
        <f>Data!$PG72</f>
        <v/>
      </c>
      <c r="O66" s="369">
        <f>Data!$CQ62</f>
        <v>19668</v>
      </c>
      <c r="P66" s="341">
        <f>Data!$PG62</f>
        <v>0.03</v>
      </c>
      <c r="Q66" s="341"/>
      <c r="Y66" s="139"/>
      <c r="AC66" s="139"/>
      <c r="AD66" s="139"/>
      <c r="AE66" s="139"/>
      <c r="AF66" s="139"/>
      <c r="AG66" s="139"/>
      <c r="AH66" s="139"/>
      <c r="AI66" s="139"/>
      <c r="AJ66" s="139"/>
      <c r="AK66" s="139"/>
      <c r="AL66" s="139"/>
      <c r="AM66" s="139"/>
      <c r="AN66" s="139"/>
      <c r="AO66" s="139"/>
      <c r="AP66" s="139"/>
      <c r="AQ66" s="139"/>
      <c r="AR66" s="139"/>
      <c r="AS66" s="139"/>
      <c r="AT66" s="139"/>
      <c r="AU66" s="139"/>
      <c r="AV66" s="139"/>
    </row>
    <row r="67" spans="1:48" ht="11.25" customHeight="1" x14ac:dyDescent="0.35">
      <c r="A67" s="328">
        <v>4</v>
      </c>
      <c r="B67" s="355" t="e">
        <f>INDEX($J64:$J96,MATCH($A67,$I64:$I96,0))</f>
        <v>#N/A</v>
      </c>
      <c r="C67" s="361" t="e">
        <f>IF(INDEX($K64:$K96,MATCH($A67,$I64:$I96,0))&lt;11,"&lt;11",INDEX($K64:$K96,MATCH($A67,$I64:$I96,0)))</f>
        <v>#N/A</v>
      </c>
      <c r="D67" s="311" t="e">
        <f>IF($C67="&lt;11","&lt;11",INDEX($L64:$L96,MATCH($A67,$I64:$I96,0)))</f>
        <v>#N/A</v>
      </c>
      <c r="E67" s="368" t="e">
        <f>IF(AND(LEFT($M63,4)="Very",$C67="&lt;11"),"&lt;11",INDEX($M64:$M96,MATCH($A67,$I64:$I96,0)))</f>
        <v>#N/A</v>
      </c>
      <c r="F67" s="311" t="e">
        <f>IF(AND(LEFT($M25,4)="Very",$E67="&lt;11"),"&lt;11",INDEX($N64:$N96,MATCH($A67,$I64:$I96,0)))</f>
        <v>#N/A</v>
      </c>
      <c r="G67" s="368" t="e">
        <f>INDEX($O64:$O96,MATCH($A67,$I64:$I96,0))</f>
        <v>#N/A</v>
      </c>
      <c r="H67" s="311" t="e">
        <f>INDEX($P64:$P96,MATCH($A67,$I64:$I96,0))</f>
        <v>#N/A</v>
      </c>
      <c r="I67" s="338" t="e">
        <f>RANK($K67,$K64:$K96,0)+COUNTIF($K64:$K67,$K67)-1</f>
        <v>#VALUE!</v>
      </c>
      <c r="J67" s="31" t="s">
        <v>91</v>
      </c>
      <c r="K67" s="251" t="str">
        <f>IF(Data!$CR71="&lt;11",0,Data!$CR71)</f>
        <v/>
      </c>
      <c r="L67" s="341" t="str">
        <f>Data!$PH71</f>
        <v/>
      </c>
      <c r="M67" s="358" t="str">
        <f>IF(AND(LEFT($M63,4)="Very",$K67=0),0,Data!$CR72)</f>
        <v/>
      </c>
      <c r="N67" s="343" t="str">
        <f>Data!$PH72</f>
        <v/>
      </c>
      <c r="O67" s="369">
        <f>Data!$CR62</f>
        <v>135</v>
      </c>
      <c r="P67" s="341">
        <f>Data!$PH62</f>
        <v>0</v>
      </c>
      <c r="Q67" s="341"/>
      <c r="Y67" s="139"/>
    </row>
    <row r="68" spans="1:48" ht="11.25" customHeight="1" x14ac:dyDescent="0.35">
      <c r="A68" s="328">
        <v>5</v>
      </c>
      <c r="B68" s="355" t="e">
        <f>INDEX($J64:$J96,MATCH($A68,$I64:$I96,0))</f>
        <v>#N/A</v>
      </c>
      <c r="C68" s="361" t="e">
        <f>IF(INDEX($K64:$K96,MATCH($A68,$I64:$I96,0))&lt;11,"&lt;11",INDEX($K64:$K96,MATCH($A68,$I64:$I96,0)))</f>
        <v>#N/A</v>
      </c>
      <c r="D68" s="311" t="e">
        <f>IF($C68="&lt;11","&lt;11",INDEX($L64:$L96,MATCH($A68,$I64:$I96,0)))</f>
        <v>#N/A</v>
      </c>
      <c r="E68" s="368" t="e">
        <f>IF(AND(LEFT($M63,4)="Very",$C68="&lt;11"),"&lt;11",INDEX($M64:$M96,MATCH($A68,$I64:$I96,0)))</f>
        <v>#N/A</v>
      </c>
      <c r="F68" s="311" t="e">
        <f>IF(AND(LEFT($M25,4)="Very",$E68="&lt;11"),"&lt;11",INDEX($N64:$N96,MATCH($A68,$I64:$I96,0)))</f>
        <v>#N/A</v>
      </c>
      <c r="G68" s="368" t="e">
        <f>INDEX($O64:$O96,MATCH($A68,$I64:$I96,0))</f>
        <v>#N/A</v>
      </c>
      <c r="H68" s="311" t="e">
        <f>INDEX($P64:$P96,MATCH($A68,$I64:$I96,0))</f>
        <v>#N/A</v>
      </c>
      <c r="I68" s="338" t="e">
        <f>RANK($K68,$K64:$K96,0)+COUNTIF($K64:$K68,$K68)-1</f>
        <v>#VALUE!</v>
      </c>
      <c r="J68" s="44" t="s">
        <v>92</v>
      </c>
      <c r="K68" s="251" t="str">
        <f>IF(Data!$CS71="&lt;11",0,Data!$CS71)</f>
        <v/>
      </c>
      <c r="L68" s="341" t="str">
        <f>Data!$PI71</f>
        <v/>
      </c>
      <c r="M68" s="358" t="str">
        <f>IF(AND(LEFT($M63,4)="Very",$K68=0),0,Data!$CS72)</f>
        <v/>
      </c>
      <c r="N68" s="343" t="str">
        <f>Data!$PI72</f>
        <v/>
      </c>
      <c r="O68" s="369">
        <f>Data!$CS62</f>
        <v>5800</v>
      </c>
      <c r="P68" s="341">
        <f>Data!$PI62</f>
        <v>8.9999999999999993E-3</v>
      </c>
      <c r="Q68" s="341"/>
      <c r="Y68" s="139"/>
    </row>
    <row r="69" spans="1:48" ht="11.25" customHeight="1" x14ac:dyDescent="0.35">
      <c r="A69" s="328">
        <v>6</v>
      </c>
      <c r="B69" s="355" t="e">
        <f>INDEX($J64:$J96,MATCH($A69,$I64:$I96,0))</f>
        <v>#N/A</v>
      </c>
      <c r="C69" s="361" t="e">
        <f>IF(INDEX($K64:$K96,MATCH($A69,$I64:$I96,0))&lt;11,"&lt;11",INDEX($K64:$K96,MATCH($A69,$I64:$I96,0)))</f>
        <v>#N/A</v>
      </c>
      <c r="D69" s="311" t="e">
        <f>IF($C69="&lt;11","&lt;11",INDEX($L64:$L96,MATCH($A69,$I64:$I96,0)))</f>
        <v>#N/A</v>
      </c>
      <c r="E69" s="368" t="e">
        <f>IF(AND(LEFT($M63,4)="Very",$C69="&lt;11"),"&lt;11",INDEX($M64:$M96,MATCH($A69,$I64:$I96,0)))</f>
        <v>#N/A</v>
      </c>
      <c r="F69" s="311" t="e">
        <f>IF(AND(LEFT($M25,4)="Very",$E69="&lt;11"),"&lt;11",INDEX($N64:$N96,MATCH($A69,$I64:$I96,0)))</f>
        <v>#N/A</v>
      </c>
      <c r="G69" s="368" t="e">
        <f>INDEX($O64:$O96,MATCH($A69,$I64:$I96,0))</f>
        <v>#N/A</v>
      </c>
      <c r="H69" s="311" t="e">
        <f>INDEX($P64:$P96,MATCH($A69,$I64:$I96,0))</f>
        <v>#N/A</v>
      </c>
      <c r="I69" s="338" t="e">
        <f>RANK($K69,$K64:$K96,0)+COUNTIF($K64:$K69,$K69)-1</f>
        <v>#VALUE!</v>
      </c>
      <c r="J69" s="340" t="s">
        <v>105</v>
      </c>
      <c r="K69" s="251" t="str">
        <f>IF(Data!$CT71="&lt;11",0,Data!$CT71)</f>
        <v/>
      </c>
      <c r="L69" s="341" t="str">
        <f>Data!$PJ71</f>
        <v/>
      </c>
      <c r="M69" s="358" t="str">
        <f>IF(AND(LEFT($M63,4)="Very",$K69=0),0,Data!$CT72)</f>
        <v/>
      </c>
      <c r="N69" s="343" t="str">
        <f>Data!$PJ72</f>
        <v/>
      </c>
      <c r="O69" s="369">
        <f>Data!$CT62</f>
        <v>3655</v>
      </c>
      <c r="P69" s="341">
        <f>Data!$PJ62</f>
        <v>6.0000000000000001E-3</v>
      </c>
      <c r="Q69" s="341"/>
      <c r="S69" s="132"/>
      <c r="U69" s="132"/>
      <c r="V69" s="132"/>
      <c r="W69" s="132"/>
      <c r="X69" s="132"/>
      <c r="Y69" s="139"/>
      <c r="Z69" s="132"/>
      <c r="AA69" s="132"/>
    </row>
    <row r="70" spans="1:48" ht="11.25" customHeight="1" x14ac:dyDescent="0.35">
      <c r="A70" s="328">
        <v>7</v>
      </c>
      <c r="B70" s="355" t="e">
        <f>INDEX($J64:$J96,MATCH($A70,$I64:$I96,0))</f>
        <v>#N/A</v>
      </c>
      <c r="C70" s="361" t="e">
        <f>IF(INDEX($K64:$K96,MATCH($A70,$I64:$I96,0))&lt;11,"&lt;11",INDEX($K64:$K96,MATCH($A70,$I64:$I96,0)))</f>
        <v>#N/A</v>
      </c>
      <c r="D70" s="311" t="e">
        <f>IF($C70="&lt;11","&lt;11",INDEX($L64:$L96,MATCH($A70,$I64:$I96,0)))</f>
        <v>#N/A</v>
      </c>
      <c r="E70" s="368" t="e">
        <f>IF(AND(LEFT($M63,4)="Very",$C70="&lt;11"),"&lt;11",INDEX($M64:$M96,MATCH($A70,$I64:$I96,0)))</f>
        <v>#N/A</v>
      </c>
      <c r="F70" s="311" t="e">
        <f>IF(AND(LEFT($M25,4)="Very",$E70="&lt;11"),"&lt;11",INDEX($N64:$N96,MATCH($A70,$I64:$I96,0)))</f>
        <v>#N/A</v>
      </c>
      <c r="G70" s="368" t="e">
        <f>INDEX($O64:$O96,MATCH($A70,$I64:$I96,0))</f>
        <v>#N/A</v>
      </c>
      <c r="H70" s="311" t="e">
        <f>INDEX($P64:$P96,MATCH($A70,$I64:$I96,0))</f>
        <v>#N/A</v>
      </c>
      <c r="I70" s="338" t="e">
        <f>RANK($K70,$K64:$K96,0)+COUNTIF($K64:$K70,$K70)-1</f>
        <v>#VALUE!</v>
      </c>
      <c r="J70" s="340" t="s">
        <v>106</v>
      </c>
      <c r="K70" s="251" t="str">
        <f>IF(Data!$CU71="&lt;11",0,Data!$CU71)</f>
        <v/>
      </c>
      <c r="L70" s="341" t="str">
        <f>Data!$PK71</f>
        <v/>
      </c>
      <c r="M70" s="358" t="str">
        <f>IF(AND(LEFT($M63,4)="Very",$K70=0),0,Data!$CU72)</f>
        <v/>
      </c>
      <c r="N70" s="343" t="str">
        <f>Data!$PK72</f>
        <v/>
      </c>
      <c r="O70" s="369">
        <f>Data!$CU62</f>
        <v>3583</v>
      </c>
      <c r="P70" s="341">
        <f>Data!$PK62</f>
        <v>5.0000000000000001E-3</v>
      </c>
      <c r="Q70" s="341"/>
      <c r="S70" s="44"/>
      <c r="U70" s="44"/>
      <c r="V70" s="44"/>
      <c r="W70" s="44"/>
      <c r="X70" s="44"/>
      <c r="Y70" s="139"/>
      <c r="Z70" s="44"/>
      <c r="AA70" s="44"/>
    </row>
    <row r="71" spans="1:48" ht="11.25" customHeight="1" x14ac:dyDescent="0.35">
      <c r="A71" s="328">
        <v>8</v>
      </c>
      <c r="B71" s="355" t="e">
        <f>INDEX($J64:$J96,MATCH($A71,$I64:$I96,0))</f>
        <v>#N/A</v>
      </c>
      <c r="C71" s="361" t="e">
        <f>IF(INDEX($K64:$K96,MATCH($A71,$I64:$I96,0))&lt;11,"&lt;11",INDEX($K64:$K96,MATCH($A71,$I64:$I96,0)))</f>
        <v>#N/A</v>
      </c>
      <c r="D71" s="311" t="e">
        <f>IF($C71="&lt;11","&lt;11",INDEX($L64:$L96,MATCH($A71,$I64:$I96,0)))</f>
        <v>#N/A</v>
      </c>
      <c r="E71" s="368" t="e">
        <f>IF(AND(LEFT($M63,4)="Very",$C71="&lt;11"),"&lt;11",INDEX($M64:$M96,MATCH($A71,$I64:$I96,0)))</f>
        <v>#N/A</v>
      </c>
      <c r="F71" s="311" t="e">
        <f>IF(AND(LEFT($M25,4)="Very",$E71="&lt;11"),"&lt;11",INDEX($N64:$N96,MATCH($A71,$I64:$I96,0)))</f>
        <v>#N/A</v>
      </c>
      <c r="G71" s="368" t="e">
        <f>INDEX($O64:$O96,MATCH($A71,$I64:$I96,0))</f>
        <v>#N/A</v>
      </c>
      <c r="H71" s="311" t="e">
        <f>INDEX($P64:$P96,MATCH($A71,$I64:$I96,0))</f>
        <v>#N/A</v>
      </c>
      <c r="I71" s="338" t="e">
        <f>RANK($K71,$K64:$K96,0)+COUNTIF($K64:$K71,$K71)-1</f>
        <v>#VALUE!</v>
      </c>
      <c r="J71" s="340" t="s">
        <v>107</v>
      </c>
      <c r="K71" s="251" t="str">
        <f>IF(Data!$CV71="&lt;11",0,Data!$CV71)</f>
        <v/>
      </c>
      <c r="L71" s="341" t="str">
        <f>Data!$PL71</f>
        <v/>
      </c>
      <c r="M71" s="358" t="str">
        <f>IF(AND(LEFT($M63,4)="Very",$K71=0),0,Data!$CV72)</f>
        <v/>
      </c>
      <c r="N71" s="343" t="str">
        <f>Data!$PL72</f>
        <v/>
      </c>
      <c r="O71" s="369">
        <f>Data!$CV62</f>
        <v>446593</v>
      </c>
      <c r="P71" s="341">
        <f>Data!$PL62</f>
        <v>0.67500000000000004</v>
      </c>
      <c r="Q71" s="341"/>
      <c r="S71" s="46"/>
      <c r="U71" s="46"/>
      <c r="V71" s="46"/>
      <c r="W71" s="46"/>
      <c r="X71" s="46"/>
      <c r="Y71" s="359"/>
      <c r="Z71" s="46"/>
      <c r="AA71" s="46"/>
    </row>
    <row r="72" spans="1:48" ht="11.25" customHeight="1" x14ac:dyDescent="0.35">
      <c r="A72" s="328">
        <v>9</v>
      </c>
      <c r="B72" s="355" t="e">
        <f>INDEX($J64:$J96,MATCH($A72,$I64:$I96,0))</f>
        <v>#N/A</v>
      </c>
      <c r="C72" s="361" t="e">
        <f>IF(INDEX($K64:$K96,MATCH($A72,$I64:$I96,0))&lt;11,"&lt;11",INDEX($K64:$K96,MATCH($A72,$I64:$I96,0)))</f>
        <v>#N/A</v>
      </c>
      <c r="D72" s="311" t="e">
        <f>IF($C72="&lt;11","&lt;11",INDEX($L64:$L96,MATCH($A72,$I64:$I96,0)))</f>
        <v>#N/A</v>
      </c>
      <c r="E72" s="368" t="e">
        <f>IF(AND(LEFT($M63,4)="Very",$C72="&lt;11"),"&lt;11",INDEX($M64:$M96,MATCH($A72,$I64:$I96,0)))</f>
        <v>#N/A</v>
      </c>
      <c r="F72" s="311" t="e">
        <f>IF(AND(LEFT($M25,4)="Very",$E72="&lt;11"),"&lt;11",INDEX($N64:$N96,MATCH($A72,$I64:$I96,0)))</f>
        <v>#N/A</v>
      </c>
      <c r="G72" s="368" t="e">
        <f>INDEX($O64:$O96,MATCH($A72,$I64:$I96,0))</f>
        <v>#N/A</v>
      </c>
      <c r="H72" s="311" t="e">
        <f>INDEX($P64:$P96,MATCH($A72,$I64:$I96,0))</f>
        <v>#N/A</v>
      </c>
      <c r="I72" s="338" t="e">
        <f>RANK($K72,$K64:$K96,0)+COUNTIF($K64:$K72,$K72)-1</f>
        <v>#VALUE!</v>
      </c>
      <c r="J72" s="31" t="s">
        <v>381</v>
      </c>
      <c r="K72" s="251" t="str">
        <f>IF(Data!$CW71="&lt;11",0,Data!$CW71)</f>
        <v/>
      </c>
      <c r="L72" s="341" t="str">
        <f>IF(Data!$PM72="&lt;11",0,Data!$PM72)</f>
        <v/>
      </c>
      <c r="M72" s="358" t="str">
        <f>IF(AND(LEFT($M63,4)="Very",$K71=0),0,Data!$CW72)</f>
        <v/>
      </c>
      <c r="N72" s="343" t="str">
        <f>IF(Data!$PM72="&lt;11",0,Data!$PM72)</f>
        <v/>
      </c>
      <c r="O72" s="369">
        <f>Data!$CW62</f>
        <v>43519</v>
      </c>
      <c r="P72" s="341">
        <f>IFERROR(Data!$PM62,"&lt;11")</f>
        <v>6.6000000000000003E-2</v>
      </c>
      <c r="Q72" s="341"/>
      <c r="S72" s="46"/>
      <c r="U72" s="46"/>
      <c r="V72" s="46"/>
      <c r="W72" s="46"/>
      <c r="X72" s="46"/>
      <c r="Y72" s="359"/>
      <c r="Z72" s="46"/>
      <c r="AA72" s="46"/>
    </row>
    <row r="73" spans="1:48" ht="11.25" customHeight="1" x14ac:dyDescent="0.35">
      <c r="A73" s="328">
        <v>10</v>
      </c>
      <c r="B73" s="355" t="e">
        <f>INDEX($J64:$J96,MATCH($A73,$I64:$I96,0))</f>
        <v>#N/A</v>
      </c>
      <c r="C73" s="361" t="e">
        <f>IF(INDEX($K64:$K96,MATCH($A73,$I64:$I96,0))&lt;11,"&lt;11",INDEX($K64:$K96,MATCH($A73,$I64:$I96,0)))</f>
        <v>#N/A</v>
      </c>
      <c r="D73" s="311" t="e">
        <f>IF($C73="&lt;11","&lt;11",INDEX($L64:$L96,MATCH($A73,$I64:$I96,0)))</f>
        <v>#N/A</v>
      </c>
      <c r="E73" s="368" t="e">
        <f>IF(AND(LEFT($M63,4)="Very",$C73="&lt;11"),"&lt;11",INDEX($M64:$M96,MATCH($A73,$I64:$I96,0)))</f>
        <v>#N/A</v>
      </c>
      <c r="F73" s="311" t="e">
        <f>IF(AND(LEFT($M25,4)="Very",$E73="&lt;11"),"&lt;11",INDEX($N64:$N96,MATCH($A73,$I64:$I96,0)))</f>
        <v>#N/A</v>
      </c>
      <c r="G73" s="368" t="e">
        <f>INDEX($O64:$O96,MATCH($A73,$I64:$I96,0))</f>
        <v>#N/A</v>
      </c>
      <c r="H73" s="311" t="e">
        <f>INDEX($P64:$P96,MATCH($A73,$I64:$I96,0))</f>
        <v>#N/A</v>
      </c>
      <c r="I73" s="338" t="e">
        <f>RANK($K73,$K64:$K96,0)+COUNTIF($K64:$K73,$K73)-1</f>
        <v>#VALUE!</v>
      </c>
      <c r="J73" s="31" t="s">
        <v>108</v>
      </c>
      <c r="K73" s="251" t="str">
        <f>IF(Data!$CX71="&lt;11",0,Data!$CX71)</f>
        <v/>
      </c>
      <c r="L73" s="341" t="str">
        <f>Data!$PN71</f>
        <v/>
      </c>
      <c r="M73" s="358" t="str">
        <f>IF(AND(LEFT($M63,4)="Very",$K73=0),0,Data!$CX72)</f>
        <v/>
      </c>
      <c r="N73" s="343" t="str">
        <f>Data!$PN72</f>
        <v/>
      </c>
      <c r="O73" s="369">
        <f>Data!$CX62</f>
        <v>37</v>
      </c>
      <c r="P73" s="341">
        <f>Data!$PN62</f>
        <v>0</v>
      </c>
      <c r="Q73" s="341"/>
      <c r="S73" s="188"/>
      <c r="U73" s="188"/>
      <c r="V73" s="188"/>
      <c r="W73" s="188"/>
      <c r="X73" s="188"/>
      <c r="Y73" s="359"/>
      <c r="Z73" s="188"/>
      <c r="AA73" s="188"/>
    </row>
    <row r="74" spans="1:48" ht="11.25" customHeight="1" x14ac:dyDescent="0.35">
      <c r="A74" s="328">
        <v>11</v>
      </c>
      <c r="B74" s="355" t="e">
        <f>INDEX($J64:$J96,MATCH($A74,$I64:$I96,0))</f>
        <v>#N/A</v>
      </c>
      <c r="C74" s="361" t="e">
        <f>IF(INDEX($K64:$K96,MATCH($A74,$I64:$I96,0))&lt;11,"&lt;11",INDEX($K64:$K96,MATCH($A74,$I64:$I96,0)))</f>
        <v>#N/A</v>
      </c>
      <c r="D74" s="311" t="e">
        <f>IF($C74="&lt;11","&lt;11",INDEX($L64:$L96,MATCH($A74,$I64:$I96,0)))</f>
        <v>#N/A</v>
      </c>
      <c r="E74" s="368" t="e">
        <f>IF(AND(LEFT($M63,4)="Very",$C74="&lt;11"),"&lt;11",INDEX($M64:$M96,MATCH($A74,$I64:$I96,0)))</f>
        <v>#N/A</v>
      </c>
      <c r="F74" s="311" t="e">
        <f>IF(AND(LEFT($M25,4)="Very",$E74="&lt;11"),"&lt;11",INDEX($N64:$N96,MATCH($A74,$I64:$I96,0)))</f>
        <v>#N/A</v>
      </c>
      <c r="G74" s="368" t="e">
        <f>INDEX($O64:$O96,MATCH($A74,$I64:$I96,0))</f>
        <v>#N/A</v>
      </c>
      <c r="H74" s="311" t="e">
        <f>INDEX($P64:$P96,MATCH($A74,$I64:$I96,0))</f>
        <v>#N/A</v>
      </c>
      <c r="I74" s="338" t="e">
        <f>RANK($K74,$K64:$K96,0)+COUNTIF($K64:$K74,$K74)-1</f>
        <v>#VALUE!</v>
      </c>
      <c r="J74" s="31" t="s">
        <v>109</v>
      </c>
      <c r="K74" s="251" t="str">
        <f>IF(Data!$CY71="&lt;11",0,Data!$CY71)</f>
        <v/>
      </c>
      <c r="L74" s="341" t="str">
        <f>Data!$PO71</f>
        <v/>
      </c>
      <c r="M74" s="358" t="str">
        <f>IF(AND(LEFT($M63,4)="Very",$K74=0),0,Data!$CY72)</f>
        <v/>
      </c>
      <c r="N74" s="343" t="str">
        <f>Data!$PO72</f>
        <v/>
      </c>
      <c r="O74" s="369">
        <f>Data!$CY62</f>
        <v>6873</v>
      </c>
      <c r="P74" s="341">
        <f>Data!$PO62</f>
        <v>0.01</v>
      </c>
      <c r="Q74" s="341"/>
      <c r="Y74" s="139"/>
    </row>
    <row r="75" spans="1:48" ht="11.25" customHeight="1" x14ac:dyDescent="0.35">
      <c r="A75" s="328">
        <v>12</v>
      </c>
      <c r="B75" s="355" t="e">
        <f>INDEX($J64:$J96,MATCH($A75,$I64:$I96,0))</f>
        <v>#N/A</v>
      </c>
      <c r="C75" s="361" t="e">
        <f>IF(INDEX($K64:$K96,MATCH($A75,$I64:$I96,0))&lt;11,"&lt;11",INDEX($K64:$K96,MATCH($A75,$I64:$I96,0)))</f>
        <v>#N/A</v>
      </c>
      <c r="D75" s="311" t="e">
        <f>IF($C75="&lt;11","&lt;11",INDEX($L64:$L96,MATCH($A75,$I64:$I96,0)))</f>
        <v>#N/A</v>
      </c>
      <c r="E75" s="368" t="e">
        <f>IF(AND(LEFT($M63,4)="Very",$C75="&lt;11"),"&lt;11",INDEX($M64:$M96,MATCH($A75,$I64:$I96,0)))</f>
        <v>#N/A</v>
      </c>
      <c r="F75" s="311" t="e">
        <f>IF(AND(LEFT($M25,4)="Very",$E75="&lt;11"),"&lt;11",INDEX($N64:$N96,MATCH($A75,$I64:$I96,0)))</f>
        <v>#N/A</v>
      </c>
      <c r="G75" s="368" t="e">
        <f>INDEX($O64:$O96,MATCH($A75,$I64:$I96,0))</f>
        <v>#N/A</v>
      </c>
      <c r="H75" s="311" t="e">
        <f>INDEX($P64:$P96,MATCH($A75,$I64:$I96,0))</f>
        <v>#N/A</v>
      </c>
      <c r="I75" s="338" t="e">
        <f>RANK($K75,$K64:$K96,0)+COUNTIF($K64:$K75,$K75)-1</f>
        <v>#VALUE!</v>
      </c>
      <c r="J75" s="31" t="s">
        <v>110</v>
      </c>
      <c r="K75" s="251" t="str">
        <f>IF(Data!$CZ71="&lt;11",0,Data!$CZ71)</f>
        <v/>
      </c>
      <c r="L75" s="341" t="str">
        <f>Data!$PP71</f>
        <v/>
      </c>
      <c r="M75" s="358" t="str">
        <f>IF(AND(LEFT($M63,4)="Very",$K75=0),0,Data!$CZ72)</f>
        <v/>
      </c>
      <c r="N75" s="343" t="str">
        <f>Data!$PP72</f>
        <v/>
      </c>
      <c r="O75" s="369">
        <f>Data!$CZ62</f>
        <v>1707</v>
      </c>
      <c r="P75" s="341">
        <f>Data!$PP62</f>
        <v>3.0000000000000001E-3</v>
      </c>
      <c r="Q75" s="341"/>
      <c r="Y75" s="139"/>
    </row>
    <row r="76" spans="1:48" ht="11.25" customHeight="1" x14ac:dyDescent="0.35">
      <c r="A76" s="328">
        <v>13</v>
      </c>
      <c r="B76" s="355" t="e">
        <f>INDEX($J64:$J96,MATCH($A76,$I64:$I96,0))</f>
        <v>#N/A</v>
      </c>
      <c r="C76" s="361" t="e">
        <f>IF(INDEX($K64:$K96,MATCH($A76,$I64:$I96,0))&lt;11,"&lt;11",INDEX($K64:$K96,MATCH($A76,$I64:$I96,0)))</f>
        <v>#N/A</v>
      </c>
      <c r="D76" s="311" t="e">
        <f>IF($C76="&lt;11","&lt;11",INDEX($L64:$L96,MATCH($A76,$I64:$I96,0)))</f>
        <v>#N/A</v>
      </c>
      <c r="E76" s="368" t="e">
        <f>IF(AND(LEFT($M63,4)="Very",$C76="&lt;11"),"&lt;11",INDEX($M64:$M96,MATCH($A76,$I64:$I96,0)))</f>
        <v>#N/A</v>
      </c>
      <c r="F76" s="311" t="e">
        <f>IF(AND(LEFT($M25,4)="Very",$E76="&lt;11"),"&lt;11",INDEX($N64:$N96,MATCH($A76,$I64:$I96,0)))</f>
        <v>#N/A</v>
      </c>
      <c r="G76" s="368" t="e">
        <f>INDEX($O64:$O96,MATCH($A76,$I64:$I96,0))</f>
        <v>#N/A</v>
      </c>
      <c r="H76" s="311" t="e">
        <f>INDEX($P64:$P96,MATCH($A76,$I64:$I96,0))</f>
        <v>#N/A</v>
      </c>
      <c r="I76" s="338" t="e">
        <f>RANK($K76,$K64:$K96,0)+COUNTIF($K64:$K76,$K76)-1</f>
        <v>#VALUE!</v>
      </c>
      <c r="J76" s="31" t="s">
        <v>90</v>
      </c>
      <c r="K76" s="251" t="str">
        <f>IF(Data!$DA71="&lt;11",0,Data!$DA71)</f>
        <v/>
      </c>
      <c r="L76" s="341" t="str">
        <f>Data!$PQ71</f>
        <v/>
      </c>
      <c r="M76" s="358" t="str">
        <f>IF(AND(LEFT($M63,4)="Very",$K76=0),0,Data!$DA72)</f>
        <v/>
      </c>
      <c r="N76" s="343" t="str">
        <f>Data!$PQ72</f>
        <v/>
      </c>
      <c r="O76" s="369">
        <f>Data!$DA62</f>
        <v>1264</v>
      </c>
      <c r="P76" s="341">
        <f>Data!$PQ62</f>
        <v>2E-3</v>
      </c>
      <c r="Q76" s="341"/>
      <c r="Y76" s="139"/>
    </row>
    <row r="77" spans="1:48" ht="11.25" customHeight="1" x14ac:dyDescent="0.35">
      <c r="A77" s="328">
        <v>14</v>
      </c>
      <c r="B77" s="355" t="e">
        <f>INDEX($J64:$J96,MATCH($A77,$I64:$I96,0))</f>
        <v>#N/A</v>
      </c>
      <c r="C77" s="361" t="e">
        <f>IF(INDEX($K64:$K96,MATCH($A77,$I64:$I96,0))&lt;11,"&lt;11",INDEX($K64:$K96,MATCH($A77,$I64:$I96,0)))</f>
        <v>#N/A</v>
      </c>
      <c r="D77" s="311" t="e">
        <f>IF($C77="&lt;11","&lt;11",INDEX($L64:$L96,MATCH($A77,$I64:$I96,0)))</f>
        <v>#N/A</v>
      </c>
      <c r="E77" s="368" t="e">
        <f>IF(AND(LEFT($M63,4)="Very",$C77="&lt;11"),"&lt;11",INDEX($M64:$M96,MATCH($A77,$I64:$I96,0)))</f>
        <v>#N/A</v>
      </c>
      <c r="F77" s="311" t="e">
        <f>IF(AND(LEFT($M25,4)="Very",$E77="&lt;11"),"&lt;11",INDEX($N64:$N96,MATCH($A77,$I64:$I96,0)))</f>
        <v>#N/A</v>
      </c>
      <c r="G77" s="368" t="e">
        <f>INDEX($O64:$O96,MATCH($A77,$I64:$I96,0))</f>
        <v>#N/A</v>
      </c>
      <c r="H77" s="311" t="e">
        <f>INDEX($P64:$P96,MATCH($A77,$I64:$I96,0))</f>
        <v>#N/A</v>
      </c>
      <c r="I77" s="338" t="e">
        <f>RANK($K77,$K64:$K96,0)+COUNTIF($K64:$K77,$K77)-1</f>
        <v>#VALUE!</v>
      </c>
      <c r="J77" s="31" t="s">
        <v>111</v>
      </c>
      <c r="K77" s="251" t="str">
        <f>IF(Data!$DB71="&lt;11",0,Data!$DB71)</f>
        <v/>
      </c>
      <c r="L77" s="341" t="str">
        <f>Data!$PR71</f>
        <v/>
      </c>
      <c r="M77" s="358" t="str">
        <f>IF(AND(LEFT($M63,4)="Very",$K77=0),0,Data!$DB72)</f>
        <v/>
      </c>
      <c r="N77" s="343" t="str">
        <f>Data!$PR72</f>
        <v/>
      </c>
      <c r="O77" s="369">
        <f>Data!$DB62</f>
        <v>15805</v>
      </c>
      <c r="P77" s="341">
        <f>Data!$PR62</f>
        <v>2.4E-2</v>
      </c>
      <c r="Q77" s="341"/>
      <c r="Y77" s="139"/>
    </row>
    <row r="78" spans="1:48" ht="11.25" customHeight="1" x14ac:dyDescent="0.35">
      <c r="A78" s="328">
        <v>15</v>
      </c>
      <c r="B78" s="355" t="e">
        <f>INDEX($J64:$J96,MATCH($A78,$I64:$I96,0))</f>
        <v>#N/A</v>
      </c>
      <c r="C78" s="361" t="e">
        <f>IF(INDEX($K64:$K96,MATCH($A78,$I64:$I96,0))&lt;11,"&lt;11",INDEX($K64:$K96,MATCH($A78,$I64:$I96,0)))</f>
        <v>#N/A</v>
      </c>
      <c r="D78" s="311" t="e">
        <f>IF($C78="&lt;11","&lt;11",INDEX($L64:$L96,MATCH($A78,$I64:$I96,0)))</f>
        <v>#N/A</v>
      </c>
      <c r="E78" s="368" t="e">
        <f>IF(AND(LEFT($M63,4)="Very",$C78="&lt;11"),"&lt;11",INDEX($M64:$M96,MATCH($A78,$I64:$I96,0)))</f>
        <v>#N/A</v>
      </c>
      <c r="F78" s="311" t="e">
        <f>IF(AND(LEFT($M25,4)="Very",$E78="&lt;11"),"&lt;11",INDEX($N64:$N96,MATCH($A78,$I64:$I96,0)))</f>
        <v>#N/A</v>
      </c>
      <c r="G78" s="368" t="e">
        <f>INDEX($O64:$O96,MATCH($A78,$I64:$I96,0))</f>
        <v>#N/A</v>
      </c>
      <c r="H78" s="311" t="e">
        <f>INDEX($P64:$P96,MATCH($A78,$I64:$I96,0))</f>
        <v>#N/A</v>
      </c>
      <c r="I78" s="338" t="e">
        <f>RANK($K78,$K64:$K96,0)+COUNTIF($K64:$K78,$K78)-1</f>
        <v>#VALUE!</v>
      </c>
      <c r="J78" s="31" t="s">
        <v>112</v>
      </c>
      <c r="K78" s="251" t="str">
        <f>IF(Data!$DC71="&lt;11",0,Data!$DC71)</f>
        <v/>
      </c>
      <c r="L78" s="341" t="str">
        <f>Data!$PS71</f>
        <v/>
      </c>
      <c r="M78" s="358" t="str">
        <f>IF(AND(LEFT($M63,4)="Very",$K78=0),0,Data!$DC72)</f>
        <v/>
      </c>
      <c r="N78" s="343" t="str">
        <f>Data!$PS72</f>
        <v/>
      </c>
      <c r="O78" s="369">
        <f>Data!$DC62</f>
        <v>74</v>
      </c>
      <c r="P78" s="341">
        <f>Data!$PS62</f>
        <v>0</v>
      </c>
      <c r="Q78" s="341"/>
      <c r="Y78" s="139"/>
    </row>
    <row r="79" spans="1:48" ht="11.25" customHeight="1" x14ac:dyDescent="0.35">
      <c r="A79" s="328">
        <v>16</v>
      </c>
      <c r="B79" s="355" t="e">
        <f>INDEX($J64:$J96,MATCH($A79,$I64:$I96,0))</f>
        <v>#N/A</v>
      </c>
      <c r="C79" s="361" t="e">
        <f>IF(INDEX($K64:$K96,MATCH($A79,$I64:$I96,0))&lt;11,"&lt;11",INDEX($K64:$K96,MATCH($A79,$I64:$I96,0)))</f>
        <v>#N/A</v>
      </c>
      <c r="D79" s="311" t="e">
        <f>IF($C79="&lt;11","&lt;11",INDEX($L64:$L96,MATCH($A79,$I64:$I96,0)))</f>
        <v>#N/A</v>
      </c>
      <c r="E79" s="368" t="e">
        <f>IF(AND(LEFT($M63,4)="Very",$C79="&lt;11"),"&lt;11",INDEX($M64:$M96,MATCH($A79,$I64:$I96,0)))</f>
        <v>#N/A</v>
      </c>
      <c r="F79" s="311" t="e">
        <f>IF(AND(LEFT($M25,4)="Very",$E79="&lt;11"),"&lt;11",INDEX($N64:$N96,MATCH($A79,$I64:$I96,0)))</f>
        <v>#N/A</v>
      </c>
      <c r="G79" s="368" t="e">
        <f>INDEX($O64:$O96,MATCH($A79,$I64:$I96,0))</f>
        <v>#N/A</v>
      </c>
      <c r="H79" s="311" t="e">
        <f>INDEX($P64:$P96,MATCH($A79,$I64:$I96,0))</f>
        <v>#N/A</v>
      </c>
      <c r="I79" s="338" t="e">
        <f>RANK($K79,$K64:$K96,0)+COUNTIF($K64:$K79,$K79)-1</f>
        <v>#VALUE!</v>
      </c>
      <c r="J79" s="31" t="s">
        <v>113</v>
      </c>
      <c r="K79" s="251" t="str">
        <f>IF(Data!$DD71="&lt;11",0,Data!$DD71)</f>
        <v/>
      </c>
      <c r="L79" s="341" t="str">
        <f>Data!$PT71</f>
        <v/>
      </c>
      <c r="M79" s="358" t="str">
        <f>IF(AND(LEFT($M63,4)="Very",$K79=0),0,Data!$DD72)</f>
        <v/>
      </c>
      <c r="N79" s="343" t="str">
        <f>Data!$PT72</f>
        <v/>
      </c>
      <c r="O79" s="369">
        <f>Data!$DD62</f>
        <v>116</v>
      </c>
      <c r="P79" s="341">
        <f>Data!$PT62</f>
        <v>0</v>
      </c>
      <c r="Q79" s="341"/>
      <c r="Y79" s="139"/>
    </row>
    <row r="80" spans="1:48" ht="11.25" customHeight="1" x14ac:dyDescent="0.35">
      <c r="A80" s="328">
        <v>17</v>
      </c>
      <c r="B80" s="355" t="e">
        <f>INDEX($J64:$J96,MATCH($A80,$I64:$I96,0))</f>
        <v>#N/A</v>
      </c>
      <c r="C80" s="361" t="e">
        <f>IF(INDEX($K64:$K96,MATCH($A80,$I64:$I96,0))&lt;11,"&lt;11",INDEX($K64:$K96,MATCH($A80,$I64:$I96,0)))</f>
        <v>#N/A</v>
      </c>
      <c r="D80" s="311" t="e">
        <f>IF($C80="&lt;11","&lt;11",INDEX($L64:$L96,MATCH($A80,$I64:$I96,0)))</f>
        <v>#N/A</v>
      </c>
      <c r="E80" s="368" t="e">
        <f>IF(AND(LEFT($M63,4)="Very",$C80="&lt;11"),"&lt;11",INDEX($M64:$M96,MATCH($A80,$I64:$I96,0)))</f>
        <v>#N/A</v>
      </c>
      <c r="F80" s="311" t="e">
        <f>IF(AND(LEFT($M25,4)="Very",$E80="&lt;11"),"&lt;11",INDEX($N64:$N96,MATCH($A80,$I64:$I96,0)))</f>
        <v>#N/A</v>
      </c>
      <c r="G80" s="368" t="e">
        <f>INDEX($O64:$O96,MATCH($A80,$I64:$I96,0))</f>
        <v>#N/A</v>
      </c>
      <c r="H80" s="311" t="e">
        <f>INDEX($P64:$P96,MATCH($A80,$I64:$I96,0))</f>
        <v>#N/A</v>
      </c>
      <c r="I80" s="338" t="e">
        <f>RANK($K80,$K64:$K96,0)+COUNTIF($K64:$K80,$K80)-1</f>
        <v>#VALUE!</v>
      </c>
      <c r="J80" s="31" t="s">
        <v>114</v>
      </c>
      <c r="K80" s="251" t="str">
        <f>IF(Data!$DE71="&lt;11",0,Data!$DE71)</f>
        <v/>
      </c>
      <c r="L80" s="341" t="str">
        <f>Data!$PU71</f>
        <v/>
      </c>
      <c r="M80" s="358" t="str">
        <f>IF(AND(LEFT($M63,4)="Very",$K80=0),0,Data!$DE72)</f>
        <v/>
      </c>
      <c r="N80" s="343" t="str">
        <f>Data!$PU72</f>
        <v/>
      </c>
      <c r="O80" s="369">
        <f>Data!$DE62</f>
        <v>903</v>
      </c>
      <c r="P80" s="341">
        <f>Data!$PU62</f>
        <v>1E-3</v>
      </c>
      <c r="Q80" s="341"/>
      <c r="Y80" s="139"/>
    </row>
    <row r="81" spans="1:25" ht="11.25" customHeight="1" x14ac:dyDescent="0.35">
      <c r="A81" s="328">
        <v>18</v>
      </c>
      <c r="B81" s="355" t="e">
        <f>INDEX($J64:$J96,MATCH($A81,$I64:$I96,0))</f>
        <v>#N/A</v>
      </c>
      <c r="C81" s="361" t="e">
        <f>IF(INDEX($K64:$K96,MATCH($A81,$I64:$I96,0))&lt;11,"&lt;11",INDEX($K64:$K96,MATCH($A81,$I64:$I96,0)))</f>
        <v>#N/A</v>
      </c>
      <c r="D81" s="311" t="e">
        <f>IF($C81="&lt;11","&lt;11",INDEX($L64:$L96,MATCH($A81,$I64:$I96,0)))</f>
        <v>#N/A</v>
      </c>
      <c r="E81" s="368" t="e">
        <f>IF(AND(LEFT($M63,4)="Very",$C81="&lt;11"),"&lt;11",INDEX($M64:$M96,MATCH($A81,$I64:$I96,0)))</f>
        <v>#N/A</v>
      </c>
      <c r="F81" s="311" t="e">
        <f>IF(AND(LEFT($M25,4)="Very",$E81="&lt;11"),"&lt;11",INDEX($N64:$N96,MATCH($A81,$I64:$I96,0)))</f>
        <v>#N/A</v>
      </c>
      <c r="G81" s="368" t="e">
        <f>INDEX($O64:$O96,MATCH($A81,$I64:$I96,0))</f>
        <v>#N/A</v>
      </c>
      <c r="H81" s="311" t="e">
        <f>INDEX($P64:$P96,MATCH($A81,$I64:$I96,0))</f>
        <v>#N/A</v>
      </c>
      <c r="I81" s="338" t="e">
        <f>RANK($K81,$K64:$K96,0)+COUNTIF($K64:$K81,$K81)-1</f>
        <v>#VALUE!</v>
      </c>
      <c r="J81" s="31" t="s">
        <v>115</v>
      </c>
      <c r="K81" s="251" t="str">
        <f>IF(Data!$DF71="&lt;11",0,Data!$DF71)</f>
        <v/>
      </c>
      <c r="L81" s="341" t="str">
        <f>Data!$PV71</f>
        <v/>
      </c>
      <c r="M81" s="358" t="str">
        <f>IF(AND(LEFT($M63,4)="Very",$K81=0),0,Data!$DF72)</f>
        <v/>
      </c>
      <c r="N81" s="343" t="str">
        <f>Data!$PV72</f>
        <v/>
      </c>
      <c r="O81" s="369">
        <f>Data!$DF62</f>
        <v>506</v>
      </c>
      <c r="P81" s="341">
        <f>Data!$PV62</f>
        <v>1E-3</v>
      </c>
      <c r="Q81" s="341"/>
      <c r="Y81" s="139"/>
    </row>
    <row r="82" spans="1:25" ht="11.25" customHeight="1" x14ac:dyDescent="0.35">
      <c r="A82" s="328">
        <v>19</v>
      </c>
      <c r="B82" s="355" t="e">
        <f>INDEX($J64:$J96,MATCH($A82,$I64:$I96,0))</f>
        <v>#N/A</v>
      </c>
      <c r="C82" s="361" t="e">
        <f>IF(INDEX($K64:$K96,MATCH($A82,$I64:$I96,0))&lt;11,"&lt;11",INDEX($K64:$K96,MATCH($A82,$I64:$I96,0)))</f>
        <v>#N/A</v>
      </c>
      <c r="D82" s="311" t="e">
        <f>IF($C82="&lt;11","&lt;11",INDEX($L64:$L96,MATCH($A82,$I64:$I96,0)))</f>
        <v>#N/A</v>
      </c>
      <c r="E82" s="368" t="e">
        <f>IF(AND(LEFT($M63,4)="Very",$C82="&lt;11"),"&lt;11",INDEX($M64:$M96,MATCH($A82,$I64:$I96,0)))</f>
        <v>#N/A</v>
      </c>
      <c r="F82" s="311" t="e">
        <f>IF(AND(LEFT($M25,4)="Very",$E82="&lt;11"),"&lt;11",INDEX($N64:$N96,MATCH($A82,$I64:$I96,0)))</f>
        <v>#N/A</v>
      </c>
      <c r="G82" s="368" t="e">
        <f>INDEX($O64:$O96,MATCH($A82,$I64:$I96,0))</f>
        <v>#N/A</v>
      </c>
      <c r="H82" s="311" t="e">
        <f>INDEX($P64:$P96,MATCH($A82,$I64:$I96,0))</f>
        <v>#N/A</v>
      </c>
      <c r="I82" s="338" t="e">
        <f>RANK($K82,$K64:$K96,0)+COUNTIF($K64:$K82,$K82)-1</f>
        <v>#VALUE!</v>
      </c>
      <c r="J82" s="31" t="s">
        <v>116</v>
      </c>
      <c r="K82" s="251" t="str">
        <f>IF(Data!$DG71="&lt;11",0,Data!$DG71)</f>
        <v/>
      </c>
      <c r="L82" s="341" t="str">
        <f>Data!$PW71</f>
        <v/>
      </c>
      <c r="M82" s="358" t="str">
        <f>IF(AND(LEFT($M63,4)="Very",$K82=0),0,Data!$DG72)</f>
        <v/>
      </c>
      <c r="N82" s="343" t="str">
        <f>Data!$PW72</f>
        <v/>
      </c>
      <c r="O82" s="369">
        <f>Data!$DG62</f>
        <v>21</v>
      </c>
      <c r="P82" s="341">
        <f>Data!$PW62</f>
        <v>0</v>
      </c>
      <c r="Q82" s="341"/>
      <c r="Y82" s="139"/>
    </row>
    <row r="83" spans="1:25" ht="11.25" customHeight="1" x14ac:dyDescent="0.35">
      <c r="A83" s="328">
        <v>20</v>
      </c>
      <c r="B83" s="355" t="e">
        <f>INDEX($J64:$J96,MATCH($A83,$I64:$I96,0))</f>
        <v>#N/A</v>
      </c>
      <c r="C83" s="361" t="e">
        <f>IF(INDEX($K64:$K96,MATCH($A83,$I64:$I96,0))&lt;11,"&lt;11",INDEX($K64:$K96,MATCH($A83,$I64:$I96,0)))</f>
        <v>#N/A</v>
      </c>
      <c r="D83" s="311" t="e">
        <f>IF($C83="&lt;11","&lt;11",INDEX($L64:$L96,MATCH($A83,$I64:$I96,0)))</f>
        <v>#N/A</v>
      </c>
      <c r="E83" s="368" t="e">
        <f>IF(AND(LEFT($M63,4)="Very",$C83="&lt;11"),"&lt;11",INDEX($M64:$M96,MATCH($A83,$I64:$I96,0)))</f>
        <v>#N/A</v>
      </c>
      <c r="F83" s="311" t="e">
        <f>IF(AND(LEFT($M25,4)="Very",$E83="&lt;11"),"&lt;11",INDEX($N64:$N96,MATCH($A83,$I64:$I96,0)))</f>
        <v>#N/A</v>
      </c>
      <c r="G83" s="368" t="e">
        <f>INDEX($O64:$O96,MATCH($A83,$I64:$I96,0))</f>
        <v>#N/A</v>
      </c>
      <c r="H83" s="311" t="e">
        <f>INDEX($P64:$P96,MATCH($A83,$I64:$I96,0))</f>
        <v>#N/A</v>
      </c>
      <c r="I83" s="338" t="e">
        <f>RANK($K83,$K64:$K96,0)+COUNTIF($K64:$K83,$K83)-1</f>
        <v>#VALUE!</v>
      </c>
      <c r="J83" s="31" t="s">
        <v>117</v>
      </c>
      <c r="K83" s="251" t="str">
        <f>IF(Data!$DH71="&lt;11",0,Data!$DH71)</f>
        <v/>
      </c>
      <c r="L83" s="341" t="str">
        <f>Data!$PX71</f>
        <v/>
      </c>
      <c r="M83" s="358" t="str">
        <f>IF(AND(LEFT($M63,4)="Very",$K83=0),0,Data!$DH72)</f>
        <v/>
      </c>
      <c r="N83" s="343" t="str">
        <f>Data!$PX72</f>
        <v/>
      </c>
      <c r="O83" s="369">
        <f>Data!$DH62</f>
        <v>28</v>
      </c>
      <c r="P83" s="341">
        <f>Data!$PX62</f>
        <v>0</v>
      </c>
      <c r="Q83" s="341"/>
      <c r="Y83" s="139"/>
    </row>
    <row r="84" spans="1:25" ht="11.25" customHeight="1" x14ac:dyDescent="0.35">
      <c r="A84" s="328">
        <v>21</v>
      </c>
      <c r="B84" s="355" t="e">
        <f>INDEX($J64:$J96,MATCH($A84,$I64:$I96,0))</f>
        <v>#N/A</v>
      </c>
      <c r="C84" s="361" t="e">
        <f>IF(INDEX($K64:$K96,MATCH($A84,$I64:$I96,0))&lt;11,"&lt;11",INDEX($K64:$K96,MATCH($A84,$I64:$I96,0)))</f>
        <v>#N/A</v>
      </c>
      <c r="D84" s="311" t="e">
        <f>IF($C84="&lt;11","&lt;11",INDEX($L64:$L96,MATCH($A84,$I64:$I96,0)))</f>
        <v>#N/A</v>
      </c>
      <c r="E84" s="368" t="e">
        <f>IF(AND(LEFT($M63,4)="Very",$C84="&lt;11"),"&lt;11",INDEX($M64:$M96,MATCH($A84,$I64:$I96,0)))</f>
        <v>#N/A</v>
      </c>
      <c r="F84" s="311" t="e">
        <f>IF(AND(LEFT($M25,4)="Very",$E84="&lt;11"),"&lt;11",INDEX($N64:$N96,MATCH($A84,$I64:$I96,0)))</f>
        <v>#N/A</v>
      </c>
      <c r="G84" s="368" t="e">
        <f>INDEX($O64:$O96,MATCH($A84,$I64:$I96,0))</f>
        <v>#N/A</v>
      </c>
      <c r="H84" s="311" t="e">
        <f>INDEX($P64:$P96,MATCH($A84,$I64:$I96,0))</f>
        <v>#N/A</v>
      </c>
      <c r="I84" s="338" t="e">
        <f>RANK($K84,$K64:$K96,0)+COUNTIF($K64:$K84,$K84)-1</f>
        <v>#VALUE!</v>
      </c>
      <c r="J84" s="31" t="s">
        <v>118</v>
      </c>
      <c r="K84" s="251" t="str">
        <f>IF(Data!$DI71="&lt;11",0,Data!$DI71)</f>
        <v/>
      </c>
      <c r="L84" s="341" t="str">
        <f>Data!$PY71</f>
        <v/>
      </c>
      <c r="M84" s="358" t="str">
        <f>IF(AND(LEFT($M63,4)="Very",$K84=0),0,Data!$DI72)</f>
        <v/>
      </c>
      <c r="N84" s="343" t="str">
        <f>Data!$PY72</f>
        <v/>
      </c>
      <c r="O84" s="369">
        <f>Data!$DI62</f>
        <v>62</v>
      </c>
      <c r="P84" s="341">
        <f>Data!$PY62</f>
        <v>0</v>
      </c>
      <c r="Q84" s="341"/>
      <c r="Y84" s="139"/>
    </row>
    <row r="85" spans="1:25" ht="11.25" customHeight="1" x14ac:dyDescent="0.35">
      <c r="A85" s="328">
        <v>22</v>
      </c>
      <c r="B85" s="355" t="e">
        <f>INDEX($J64:$J96,MATCH($A85,$I64:$I96,0))</f>
        <v>#N/A</v>
      </c>
      <c r="C85" s="361" t="e">
        <f>IF(INDEX($K64:$K96,MATCH($A85,$I64:$I96,0))&lt;11,"&lt;11",INDEX($K64:$K96,MATCH($A85,$I64:$I96,0)))</f>
        <v>#N/A</v>
      </c>
      <c r="D85" s="311" t="e">
        <f>IF($C85="&lt;11","&lt;11",INDEX($L64:$L96,MATCH($A85,$I64:$I96,0)))</f>
        <v>#N/A</v>
      </c>
      <c r="E85" s="368" t="e">
        <f>IF(AND(LEFT($M63,4)="Very",$C85="&lt;11"),"&lt;11",INDEX($M64:$M96,MATCH($A85,$I64:$I96,0)))</f>
        <v>#N/A</v>
      </c>
      <c r="F85" s="311" t="e">
        <f>IF(AND(LEFT($M25,4)="Very",$E85="&lt;11"),"&lt;11",INDEX($N64:$N96,MATCH($A85,$I64:$I96,0)))</f>
        <v>#N/A</v>
      </c>
      <c r="G85" s="368" t="e">
        <f>INDEX($O64:$O96,MATCH($A85,$I64:$I96,0))</f>
        <v>#N/A</v>
      </c>
      <c r="H85" s="311" t="e">
        <f>INDEX($P64:$P96,MATCH($A85,$I64:$I96,0))</f>
        <v>#N/A</v>
      </c>
      <c r="I85" s="338" t="e">
        <f>RANK($K85,$K64:$K96,0)+COUNTIF($K64:$K85,$K85)-1</f>
        <v>#VALUE!</v>
      </c>
      <c r="J85" s="31" t="s">
        <v>119</v>
      </c>
      <c r="K85" s="251" t="str">
        <f>IF(Data!$DJ71="&lt;11",0,Data!$DJ71)</f>
        <v/>
      </c>
      <c r="L85" s="341" t="str">
        <f>Data!$PZ71</f>
        <v/>
      </c>
      <c r="M85" s="358" t="str">
        <f>IF(AND(LEFT($M63,4)="Very",$K85=0),0,Data!$DJ72)</f>
        <v/>
      </c>
      <c r="N85" s="343" t="str">
        <f>Data!$PZ72</f>
        <v/>
      </c>
      <c r="O85" s="369">
        <f>Data!$DJ62</f>
        <v>31</v>
      </c>
      <c r="P85" s="341">
        <f>Data!$PZ62</f>
        <v>0</v>
      </c>
      <c r="Q85" s="341"/>
      <c r="Y85" s="139"/>
    </row>
    <row r="86" spans="1:25" ht="11.25" customHeight="1" x14ac:dyDescent="0.35">
      <c r="A86" s="328">
        <v>23</v>
      </c>
      <c r="B86" s="355" t="e">
        <f>INDEX($J64:$J96,MATCH($A86,$I64:$I96,0))</f>
        <v>#N/A</v>
      </c>
      <c r="C86" s="361" t="e">
        <f>IF(INDEX($K64:$K96,MATCH($A86,$I64:$I96,0))&lt;11,"&lt;11",INDEX($K64:$K96,MATCH($A86,$I64:$I96,0)))</f>
        <v>#N/A</v>
      </c>
      <c r="D86" s="311" t="e">
        <f>IF($C86="&lt;11","&lt;11",INDEX($L64:$L96,MATCH($A86,$I64:$I96,0)))</f>
        <v>#N/A</v>
      </c>
      <c r="E86" s="368" t="e">
        <f>IF(AND(LEFT($M63,4)="Very",$C86="&lt;11"),"&lt;11",INDEX($M64:$M96,MATCH($A86,$I64:$I96,0)))</f>
        <v>#N/A</v>
      </c>
      <c r="F86" s="311" t="e">
        <f>IF(AND(LEFT($M25,4)="Very",$E86="&lt;11"),"&lt;11",INDEX($N64:$N96,MATCH($A86,$I64:$I96,0)))</f>
        <v>#N/A</v>
      </c>
      <c r="G86" s="368" t="e">
        <f>INDEX($O64:$O96,MATCH($A86,$I64:$I96,0))</f>
        <v>#N/A</v>
      </c>
      <c r="H86" s="311" t="e">
        <f>INDEX($P64:$P96,MATCH($A86,$I64:$I96,0))</f>
        <v>#N/A</v>
      </c>
      <c r="I86" s="338" t="e">
        <f>RANK($K86,$K64:$K96,0)+COUNTIF($K64:$K86,$K86)-1</f>
        <v>#VALUE!</v>
      </c>
      <c r="J86" s="31" t="s">
        <v>120</v>
      </c>
      <c r="K86" s="251" t="str">
        <f>IF(Data!$DK71="&lt;11",0,Data!$DK71)</f>
        <v/>
      </c>
      <c r="L86" s="341" t="str">
        <f>Data!$QA71</f>
        <v/>
      </c>
      <c r="M86" s="358" t="str">
        <f>IF(AND(LEFT($M63,4)="Very",$K86=0),0,Data!$DK72)</f>
        <v/>
      </c>
      <c r="N86" s="343" t="str">
        <f>Data!$QA72</f>
        <v/>
      </c>
      <c r="O86" s="369">
        <f>Data!$DK62</f>
        <v>6420</v>
      </c>
      <c r="P86" s="341">
        <f>Data!$QA62</f>
        <v>0.01</v>
      </c>
      <c r="Q86" s="341"/>
      <c r="Y86" s="139"/>
    </row>
    <row r="87" spans="1:25" ht="11.25" customHeight="1" x14ac:dyDescent="0.35">
      <c r="A87" s="328">
        <v>24</v>
      </c>
      <c r="B87" s="355" t="e">
        <f>INDEX($J64:$J96,MATCH($A87,$I64:$I96,0))</f>
        <v>#N/A</v>
      </c>
      <c r="C87" s="361" t="e">
        <f>IF(INDEX($K64:$K96,MATCH($A87,$I64:$I96,0))&lt;11,"&lt;11",INDEX($K64:$K96,MATCH($A87,$I64:$I96,0)))</f>
        <v>#N/A</v>
      </c>
      <c r="D87" s="311" t="e">
        <f>IF($C87="&lt;11","&lt;11",INDEX($L64:$L96,MATCH($A87,$I64:$I96,0)))</f>
        <v>#N/A</v>
      </c>
      <c r="E87" s="368" t="e">
        <f>IF(AND(LEFT($M63,4)="Very",$C87="&lt;11"),"&lt;11",INDEX($M64:$M96,MATCH($A87,$I64:$I96,0)))</f>
        <v>#N/A</v>
      </c>
      <c r="F87" s="311" t="e">
        <f>IF(AND(LEFT($M25,4)="Very",$E87="&lt;11"),"&lt;11",INDEX($N64:$N96,MATCH($A87,$I64:$I96,0)))</f>
        <v>#N/A</v>
      </c>
      <c r="G87" s="368" t="e">
        <f>INDEX($O64:$O96,MATCH($A87,$I64:$I96,0))</f>
        <v>#N/A</v>
      </c>
      <c r="H87" s="311" t="e">
        <f>INDEX($P64:$P96,MATCH($A87,$I64:$I96,0))</f>
        <v>#N/A</v>
      </c>
      <c r="I87" s="338" t="e">
        <f>RANK($K87,$K64:$K96,0)+COUNTIF($K64:$K87,$K87)-1</f>
        <v>#VALUE!</v>
      </c>
      <c r="J87" s="31" t="s">
        <v>121</v>
      </c>
      <c r="K87" s="251" t="str">
        <f>IF(Data!$DL71="&lt;11",0,Data!$DL71)</f>
        <v/>
      </c>
      <c r="L87" s="341" t="str">
        <f>Data!$QB71</f>
        <v/>
      </c>
      <c r="M87" s="358" t="str">
        <f>IF(AND(LEFT($M63,4)="Very",$K87=0),0,Data!$DL72)</f>
        <v/>
      </c>
      <c r="N87" s="343" t="str">
        <f>Data!$QB72</f>
        <v/>
      </c>
      <c r="O87" s="369">
        <f>Data!$DL62</f>
        <v>136</v>
      </c>
      <c r="P87" s="341">
        <f>Data!$QB62</f>
        <v>0</v>
      </c>
      <c r="Q87" s="341"/>
      <c r="Y87" s="139"/>
    </row>
    <row r="88" spans="1:25" ht="11.25" customHeight="1" x14ac:dyDescent="0.35">
      <c r="A88" s="328">
        <v>25</v>
      </c>
      <c r="B88" s="355" t="e">
        <f>INDEX($J64:$J96,MATCH($A88,$I64:$I96,0))</f>
        <v>#N/A</v>
      </c>
      <c r="C88" s="361" t="e">
        <f>IF(INDEX($K64:$K96,MATCH($A88,$I64:$I96,0))&lt;11,"&lt;11",INDEX($K64:$K96,MATCH($A88,$I64:$I96,0)))</f>
        <v>#N/A</v>
      </c>
      <c r="D88" s="311" t="e">
        <f>IF($C88="&lt;11","&lt;11",INDEX($L64:$L96,MATCH($A88,$I64:$I96,0)))</f>
        <v>#N/A</v>
      </c>
      <c r="E88" s="368" t="e">
        <f>IF(AND(LEFT($M63,4)="Very",$C88="&lt;11"),"&lt;11",INDEX($M64:$M96,MATCH($A88,$I64:$I96,0)))</f>
        <v>#N/A</v>
      </c>
      <c r="F88" s="311" t="e">
        <f>IF(AND(LEFT($M25,4)="Very",$E88="&lt;11"),"&lt;11",INDEX($N64:$N96,MATCH($A88,$I64:$I96,0)))</f>
        <v>#N/A</v>
      </c>
      <c r="G88" s="368" t="e">
        <f>INDEX($O64:$O96,MATCH($A88,$I64:$I96,0))</f>
        <v>#N/A</v>
      </c>
      <c r="H88" s="311" t="e">
        <f>INDEX($P64:$P96,MATCH($A88,$I64:$I96,0))</f>
        <v>#N/A</v>
      </c>
      <c r="I88" s="338" t="e">
        <f>RANK($K88,$K64:$K96,0)+COUNTIF($K64:$K88,$K88)-1</f>
        <v>#VALUE!</v>
      </c>
      <c r="J88" s="31" t="s">
        <v>122</v>
      </c>
      <c r="K88" s="251" t="str">
        <f>IF(Data!$DM71="&lt;11",0,Data!$DM71)</f>
        <v/>
      </c>
      <c r="L88" s="341" t="str">
        <f>Data!$QC71</f>
        <v/>
      </c>
      <c r="M88" s="358" t="str">
        <f>IF(AND(LEFT($M63,4)="Very",$K88=0),0,Data!$DM72)</f>
        <v/>
      </c>
      <c r="N88" s="343" t="str">
        <f>Data!$QC72</f>
        <v/>
      </c>
      <c r="O88" s="369">
        <f>Data!$DM62</f>
        <v>17</v>
      </c>
      <c r="P88" s="341">
        <f>Data!$QC62</f>
        <v>0</v>
      </c>
      <c r="Q88" s="341"/>
      <c r="Y88" s="139"/>
    </row>
    <row r="89" spans="1:25" ht="11.25" customHeight="1" x14ac:dyDescent="0.35">
      <c r="A89" s="328">
        <v>26</v>
      </c>
      <c r="B89" s="355" t="e">
        <f>INDEX($J64:$J96,MATCH($A89,$I64:$I96,0))</f>
        <v>#N/A</v>
      </c>
      <c r="C89" s="361" t="e">
        <f>IF(INDEX($K64:$K96,MATCH($A89,$I64:$I96,0))&lt;11,"&lt;11",INDEX($K64:$K96,MATCH($A89,$I64:$I96,0)))</f>
        <v>#N/A</v>
      </c>
      <c r="D89" s="311" t="e">
        <f>IF($C89="&lt;11","&lt;11",INDEX($L64:$L96,MATCH($A89,$I64:$I96,0)))</f>
        <v>#N/A</v>
      </c>
      <c r="E89" s="368" t="e">
        <f>IF(AND(LEFT($M63,4)="Very",$C89="&lt;11"),"&lt;11",INDEX($M64:$M96,MATCH($A89,$I64:$I96,0)))</f>
        <v>#N/A</v>
      </c>
      <c r="F89" s="311" t="e">
        <f>IF(AND(LEFT($M25,4)="Very",$E89="&lt;11"),"&lt;11",INDEX($N64:$N96,MATCH($A89,$I64:$I96,0)))</f>
        <v>#N/A</v>
      </c>
      <c r="G89" s="368" t="e">
        <f>INDEX($O64:$O96,MATCH($A89,$I64:$I96,0))</f>
        <v>#N/A</v>
      </c>
      <c r="H89" s="311" t="e">
        <f>INDEX($P64:$P96,MATCH($A89,$I64:$I96,0))</f>
        <v>#N/A</v>
      </c>
      <c r="I89" s="338" t="e">
        <f>RANK($K89,$K64:$K96,0)+COUNTIF($K64:$K89,$K89)-1</f>
        <v>#VALUE!</v>
      </c>
      <c r="J89" s="31" t="s">
        <v>123</v>
      </c>
      <c r="K89" s="251" t="str">
        <f>IF(Data!$DN71="&lt;11",0,Data!$DN71)</f>
        <v/>
      </c>
      <c r="L89" s="341" t="str">
        <f>Data!$QD71</f>
        <v/>
      </c>
      <c r="M89" s="358" t="str">
        <f>IF(AND(LEFT($M63,4)="Very",$K89=0),0,Data!$DN72)</f>
        <v/>
      </c>
      <c r="N89" s="343" t="str">
        <f>Data!$QD72</f>
        <v/>
      </c>
      <c r="O89" s="369">
        <f>Data!$DN62</f>
        <v>3278</v>
      </c>
      <c r="P89" s="341">
        <f>Data!$QD62</f>
        <v>5.0000000000000001E-3</v>
      </c>
      <c r="Q89" s="341"/>
      <c r="Y89" s="139"/>
    </row>
    <row r="90" spans="1:25" ht="11.25" customHeight="1" x14ac:dyDescent="0.35">
      <c r="A90" s="328">
        <v>27</v>
      </c>
      <c r="B90" s="355" t="e">
        <f>INDEX($J64:$J96,MATCH($A90,$I64:$I96,0))</f>
        <v>#N/A</v>
      </c>
      <c r="C90" s="361" t="e">
        <f>IF(INDEX($K64:$K96,MATCH($A90,$I64:$I96,0))&lt;11,"&lt;11",INDEX($K64:$K96,MATCH($A90,$I64:$I96,0)))</f>
        <v>#N/A</v>
      </c>
      <c r="D90" s="311" t="e">
        <f>IF($C90="&lt;11","&lt;11",INDEX($L64:$L96,MATCH($A90,$I64:$I96,0)))</f>
        <v>#N/A</v>
      </c>
      <c r="E90" s="368" t="e">
        <f>IF(AND(LEFT($M63,4)="Very",$C90="&lt;11"),"&lt;11",INDEX($M64:$M96,MATCH($A90,$I64:$I96,0)))</f>
        <v>#N/A</v>
      </c>
      <c r="F90" s="311" t="e">
        <f>IF(AND(LEFT($M25,4)="Very",$E90="&lt;11"),"&lt;11",INDEX($N64:$N96,MATCH($A90,$I64:$I96,0)))</f>
        <v>#N/A</v>
      </c>
      <c r="G90" s="368" t="e">
        <f>INDEX($O64:$O96,MATCH($A90,$I64:$I96,0))</f>
        <v>#N/A</v>
      </c>
      <c r="H90" s="311" t="e">
        <f>INDEX($P64:$P96,MATCH($A90,$I64:$I96,0))</f>
        <v>#N/A</v>
      </c>
      <c r="I90" s="338" t="e">
        <f>RANK($K90,$K64:$K96,0)+COUNTIF($K64:$K90,$K90)-1</f>
        <v>#VALUE!</v>
      </c>
      <c r="J90" s="31" t="s">
        <v>93</v>
      </c>
      <c r="K90" s="251" t="str">
        <f>IF(Data!$DO71="&lt;11",0,Data!$DO71)</f>
        <v/>
      </c>
      <c r="L90" s="341" t="str">
        <f>Data!$QE71</f>
        <v/>
      </c>
      <c r="M90" s="358" t="str">
        <f>IF(AND(LEFT($M63,4)="Very",$K90=0),0,Data!$DO72)</f>
        <v/>
      </c>
      <c r="N90" s="343" t="str">
        <f>Data!$QE72</f>
        <v/>
      </c>
      <c r="O90" s="369">
        <f>Data!$DO62</f>
        <v>67</v>
      </c>
      <c r="P90" s="341">
        <f>Data!$QE62</f>
        <v>0</v>
      </c>
      <c r="Q90" s="341"/>
      <c r="Y90" s="139"/>
    </row>
    <row r="91" spans="1:25" ht="11.25" customHeight="1" x14ac:dyDescent="0.35">
      <c r="A91" s="328">
        <v>28</v>
      </c>
      <c r="B91" s="355" t="e">
        <f>INDEX($J64:$J96,MATCH($A91,$I64:$I96,0))</f>
        <v>#N/A</v>
      </c>
      <c r="C91" s="361" t="e">
        <f>IF(INDEX($K64:$K96,MATCH($A91,$I64:$I96,0))&lt;11,"&lt;11",INDEX($K64:$K96,MATCH($A91,$I64:$I96,0)))</f>
        <v>#N/A</v>
      </c>
      <c r="D91" s="311" t="e">
        <f>IF($C91="&lt;11","&lt;11",INDEX($L64:$L96,MATCH($A91,$I64:$I96,0)))</f>
        <v>#N/A</v>
      </c>
      <c r="E91" s="368" t="e">
        <f>IF(AND(LEFT($M63,4)="Very",$C91="&lt;11"),"&lt;11",INDEX($M64:$M96,MATCH($A91,$I64:$I96,0)))</f>
        <v>#N/A</v>
      </c>
      <c r="F91" s="311" t="e">
        <f>IF(AND(LEFT($M25,4)="Very",$E91="&lt;11"),"&lt;11",INDEX($N64:$N96,MATCH($A91,$I64:$I96,0)))</f>
        <v>#N/A</v>
      </c>
      <c r="G91" s="368" t="e">
        <f>INDEX($O64:$O96,MATCH($A91,$I64:$I96,0))</f>
        <v>#N/A</v>
      </c>
      <c r="H91" s="311" t="e">
        <f>INDEX($P64:$P96,MATCH($A91,$I64:$I96,0))</f>
        <v>#N/A</v>
      </c>
      <c r="I91" s="338" t="e">
        <f>RANK($K91,$K64:$K96,0)+COUNTIF($K64:$K91,$K91)-1</f>
        <v>#VALUE!</v>
      </c>
      <c r="J91" s="31" t="s">
        <v>124</v>
      </c>
      <c r="K91" s="251" t="str">
        <f>IF(Data!$DP71="&lt;11",0,Data!$DP71)</f>
        <v/>
      </c>
      <c r="L91" s="341" t="str">
        <f>Data!$QF71</f>
        <v/>
      </c>
      <c r="M91" s="358" t="str">
        <f>IF(AND(LEFT($M63,4)="Very",$K91=0),0,Data!$DP72)</f>
        <v/>
      </c>
      <c r="N91" s="343" t="str">
        <f>Data!$QF72</f>
        <v/>
      </c>
      <c r="O91" s="369">
        <f>Data!$DP62</f>
        <v>199</v>
      </c>
      <c r="P91" s="341">
        <f>Data!$QF62</f>
        <v>0</v>
      </c>
      <c r="Q91" s="341"/>
      <c r="Y91" s="139"/>
    </row>
    <row r="92" spans="1:25" ht="11.25" customHeight="1" x14ac:dyDescent="0.35">
      <c r="A92" s="328">
        <v>29</v>
      </c>
      <c r="B92" s="355" t="e">
        <f>INDEX($J64:$J96,MATCH($A92,$I64:$I96,0))</f>
        <v>#N/A</v>
      </c>
      <c r="C92" s="361" t="e">
        <f>IF(INDEX($K64:$K96,MATCH($A92,$I64:$I96,0))&lt;11,"&lt;11",INDEX($K64:$K96,MATCH($A92,$I64:$I96,0)))</f>
        <v>#N/A</v>
      </c>
      <c r="D92" s="311" t="e">
        <f>IF($C92="&lt;11","&lt;11",INDEX($L64:$L96,MATCH($A92,$I64:$I96,0)))</f>
        <v>#N/A</v>
      </c>
      <c r="E92" s="368" t="e">
        <f>IF(AND(LEFT($M63,4)="Very",$C92="&lt;11"),"&lt;11",INDEX($M64:$M96,MATCH($A92,$I64:$I96,0)))</f>
        <v>#N/A</v>
      </c>
      <c r="F92" s="311" t="e">
        <f>IF(AND(LEFT($M25,4)="Very",$E92="&lt;11"),"&lt;11",INDEX($N64:$N96,MATCH($A92,$I64:$I96,0)))</f>
        <v>#N/A</v>
      </c>
      <c r="G92" s="368" t="e">
        <f>INDEX($O64:$O96,MATCH($A92,$I64:$I96,0))</f>
        <v>#N/A</v>
      </c>
      <c r="H92" s="311" t="e">
        <f>INDEX($P64:$P96,MATCH($A92,$I64:$I96,0))</f>
        <v>#N/A</v>
      </c>
      <c r="I92" s="338" t="e">
        <f>RANK($K92,$K64:$K96,0)+COUNTIF($K64:$K92,$K92)-1</f>
        <v>#VALUE!</v>
      </c>
      <c r="J92" s="31" t="s">
        <v>125</v>
      </c>
      <c r="K92" s="251" t="str">
        <f>IF(Data!$DQ71="&lt;11",0,Data!$DQ71)</f>
        <v/>
      </c>
      <c r="L92" s="341" t="str">
        <f>Data!$QG71</f>
        <v/>
      </c>
      <c r="M92" s="358" t="str">
        <f>IF(AND(LEFT($M63,4)="Very",$K92=0),0,Data!$DQ72)</f>
        <v/>
      </c>
      <c r="N92" s="343" t="str">
        <f>Data!$QG72</f>
        <v/>
      </c>
      <c r="O92" s="369">
        <f>Data!$DQ62</f>
        <v>4535</v>
      </c>
      <c r="P92" s="341">
        <f>Data!$QG62</f>
        <v>7.0000000000000001E-3</v>
      </c>
      <c r="Q92" s="341"/>
      <c r="Y92" s="139"/>
    </row>
    <row r="93" spans="1:25" ht="11.25" customHeight="1" x14ac:dyDescent="0.35">
      <c r="A93" s="328">
        <v>30</v>
      </c>
      <c r="B93" s="355" t="e">
        <f>INDEX($J64:$J96,MATCH($A93,$I64:$I96,0))</f>
        <v>#N/A</v>
      </c>
      <c r="C93" s="361" t="e">
        <f>IF(INDEX($K64:$K96,MATCH($A93,$I64:$I96,0))&lt;11,"&lt;11",INDEX($K64:$K96,MATCH($A93,$I64:$I96,0)))</f>
        <v>#N/A</v>
      </c>
      <c r="D93" s="311" t="e">
        <f>IF($C93="&lt;11","&lt;11",INDEX($L64:$L96,MATCH($A93,$I64:$I96,0)))</f>
        <v>#N/A</v>
      </c>
      <c r="E93" s="368" t="e">
        <f>IF(AND(LEFT($M63,4)="Very",$C93="&lt;11"),"&lt;11",INDEX($M64:$M96,MATCH($A93,$I64:$I96,0)))</f>
        <v>#N/A</v>
      </c>
      <c r="F93" s="311" t="e">
        <f>IF(AND(LEFT($M25,4)="Very",$E93="&lt;11"),"&lt;11",INDEX($N64:$N96,MATCH($A93,$I64:$I96,0)))</f>
        <v>#N/A</v>
      </c>
      <c r="G93" s="368" t="e">
        <f>INDEX($O64:$O96,MATCH($A93,$I64:$I96,0))</f>
        <v>#N/A</v>
      </c>
      <c r="H93" s="311" t="e">
        <f>INDEX($P64:$P96,MATCH($A93,$I64:$I96,0))</f>
        <v>#N/A</v>
      </c>
      <c r="I93" s="338" t="e">
        <f>RANK($K93,$K64:$K96,0)+COUNTIF($K64:$K93,$K93)-1</f>
        <v>#VALUE!</v>
      </c>
      <c r="J93" s="31" t="s">
        <v>97</v>
      </c>
      <c r="K93" s="251" t="str">
        <f>IF(Data!$DR71="&lt;11",0,Data!$DR71)</f>
        <v/>
      </c>
      <c r="L93" s="341" t="str">
        <f>Data!$QH71</f>
        <v/>
      </c>
      <c r="M93" s="358" t="str">
        <f>IF(AND(LEFT($M63,4)="Very",$K93=0),0,Data!$DR72)</f>
        <v/>
      </c>
      <c r="N93" s="343" t="str">
        <f>Data!$QH72</f>
        <v/>
      </c>
      <c r="O93" s="369">
        <f>Data!$DR62</f>
        <v>14405</v>
      </c>
      <c r="P93" s="341">
        <f>Data!$QH62</f>
        <v>2.1999999999999999E-2</v>
      </c>
      <c r="Q93" s="341"/>
      <c r="Y93" s="139"/>
    </row>
    <row r="94" spans="1:25" ht="11.25" customHeight="1" x14ac:dyDescent="0.35">
      <c r="A94" s="328">
        <v>31</v>
      </c>
      <c r="B94" s="355" t="e">
        <f>INDEX($J64:$J96,MATCH($A94,$I64:$I96,0))</f>
        <v>#N/A</v>
      </c>
      <c r="C94" s="361" t="e">
        <f>IF(INDEX($K64:$K96,MATCH($A94,$I64:$I96,0))&lt;11,"&lt;11",INDEX($K64:$K96,MATCH($A94,$I64:$I96,0)))</f>
        <v>#N/A</v>
      </c>
      <c r="D94" s="238" t="e">
        <f>IF($C94="&lt;11","&lt;11",INDEX($L64:$L96,MATCH($A94,$I64:$I96,0)))</f>
        <v>#N/A</v>
      </c>
      <c r="E94" s="361" t="e">
        <f>IF(AND(LEFT($M63,4)="Very",$C94="&lt;11"),"&lt;11",INDEX($M64:$M96,MATCH($A94,$I64:$I96,0)))</f>
        <v>#N/A</v>
      </c>
      <c r="F94" s="238" t="e">
        <f>IF(AND(LEFT($M25,4)="Very",$E94="&lt;11"),"&lt;11",INDEX($N64:$N96,MATCH($A94,$I64:$I96,0)))</f>
        <v>#N/A</v>
      </c>
      <c r="G94" s="361" t="e">
        <f>INDEX($O64:$O96,MATCH($A94,$I64:$I96,0))</f>
        <v>#N/A</v>
      </c>
      <c r="H94" s="238" t="e">
        <f>INDEX($P64:$P96,MATCH($A94,$I64:$I96,0))</f>
        <v>#N/A</v>
      </c>
      <c r="I94" s="338" t="e">
        <f>RANK($K94,$K64:$K96,0)+COUNTIF($K64:$K94,$K94)-1</f>
        <v>#VALUE!</v>
      </c>
      <c r="J94" s="31" t="s">
        <v>728</v>
      </c>
      <c r="K94" s="251" t="str">
        <f>IF(Data!$DS71="&lt;11",0,Data!$DS71)</f>
        <v/>
      </c>
      <c r="L94" s="341" t="str">
        <f>Data!$QI71</f>
        <v/>
      </c>
      <c r="M94" s="358" t="str">
        <f>IF(AND(LEFT($M63,4)="Very",$K94=0),0,Data!$DS72)</f>
        <v/>
      </c>
      <c r="N94" s="343" t="str">
        <f>Data!$QI72</f>
        <v/>
      </c>
      <c r="O94" s="369">
        <f>Data!$DS62</f>
        <v>16</v>
      </c>
      <c r="P94" s="341">
        <f>Data!$QI62</f>
        <v>0</v>
      </c>
      <c r="Q94" s="341"/>
      <c r="Y94" s="139"/>
    </row>
    <row r="95" spans="1:25" ht="11.25" customHeight="1" x14ac:dyDescent="0.35">
      <c r="A95" s="328">
        <v>32</v>
      </c>
      <c r="B95" s="355" t="e">
        <f>INDEX($J64:$J96,MATCH($A95,$I64:$I96,0))</f>
        <v>#N/A</v>
      </c>
      <c r="C95" s="361" t="e">
        <f>IF(INDEX($K64:$K96,MATCH($A95,$I64:$I96,0))&lt;11,"&lt;11",INDEX($K64:$K96,MATCH($A95,$I64:$I96,0)))</f>
        <v>#N/A</v>
      </c>
      <c r="D95" s="238" t="e">
        <f>IF($C95="&lt;11","&lt;11",INDEX($L64:$L96,MATCH($A95,$I64:$I96,0)))</f>
        <v>#N/A</v>
      </c>
      <c r="E95" s="361" t="e">
        <f>IF(AND(LEFT($M63,4)="Very",$C95="&lt;11"),"&lt;11",INDEX($M64:$M96,MATCH($A95,$I64:$I96,0)))</f>
        <v>#N/A</v>
      </c>
      <c r="F95" s="238" t="e">
        <f>IF(AND(LEFT($M25,4)="Very",$E95="&lt;11"),"&lt;11",INDEX($N64:$N96,MATCH($A95,$I64:$I96,0)))</f>
        <v>#N/A</v>
      </c>
      <c r="G95" s="361" t="e">
        <f>INDEX($O64:$O96,MATCH($A95,$I64:$I96,0))</f>
        <v>#N/A</v>
      </c>
      <c r="H95" s="238" t="e">
        <f>INDEX($P64:$P96,MATCH($A95,$I64:$I96,0))</f>
        <v>#N/A</v>
      </c>
      <c r="I95" s="338" t="e">
        <f>RANK($K95,$K64:$K96,0)+COUNTIF($K64:$K95,$K95)-1</f>
        <v>#VALUE!</v>
      </c>
      <c r="J95" s="31" t="s">
        <v>729</v>
      </c>
      <c r="K95" s="251" t="str">
        <f>IF(Data!$DT71="&lt;11",0,Data!$DT71)</f>
        <v/>
      </c>
      <c r="L95" s="341" t="str">
        <f>Data!$QJ71</f>
        <v/>
      </c>
      <c r="M95" s="358" t="str">
        <f>IF(AND(LEFT($M63,4)="Very",$K95=0),0,Data!$DT72)</f>
        <v/>
      </c>
      <c r="N95" s="343" t="str">
        <f>Data!$QJ72</f>
        <v/>
      </c>
      <c r="O95" s="369">
        <f>Data!$DT62</f>
        <v>63</v>
      </c>
      <c r="P95" s="341">
        <f>Data!$QJ62</f>
        <v>0</v>
      </c>
      <c r="Q95" s="341"/>
      <c r="Y95" s="139"/>
    </row>
    <row r="96" spans="1:25" ht="11.25" customHeight="1" x14ac:dyDescent="0.35">
      <c r="A96" s="328">
        <v>33</v>
      </c>
      <c r="B96" s="355" t="e">
        <f>INDEX($J64:$J96,MATCH($A96,$I64:$I96,0))</f>
        <v>#N/A</v>
      </c>
      <c r="C96" s="361" t="e">
        <f>IF(INDEX($K64:$K96,MATCH($A96,$I64:$I96,0))&lt;11,"&lt;11",INDEX($K64:$K96,MATCH($A96,$I64:$I96,0)))</f>
        <v>#N/A</v>
      </c>
      <c r="D96" s="238" t="e">
        <f>IF($C96="&lt;11","&lt;11",INDEX($L64:$L96,MATCH($A96,$I64:$I96,0)))</f>
        <v>#N/A</v>
      </c>
      <c r="E96" s="361" t="e">
        <f>IF(AND(LEFT($M63,4)="Very",$C96="&lt;11"),"&lt;11",INDEX($M64:$M96,MATCH($A96,$I64:$I96,0)))</f>
        <v>#N/A</v>
      </c>
      <c r="F96" s="238" t="e">
        <f>IF(AND(LEFT($M25,4)="Very",$E96="&lt;11"),"&lt;11",INDEX($N64:$N96,MATCH($A96,$I64:$I96,0)))</f>
        <v>#N/A</v>
      </c>
      <c r="G96" s="361" t="e">
        <f>INDEX($O64:$O96,MATCH($A96,$I64:$I96,0))</f>
        <v>#N/A</v>
      </c>
      <c r="H96" s="238" t="e">
        <f>INDEX($P64:$P96,MATCH($A96,$I64:$I96,0))</f>
        <v>#N/A</v>
      </c>
      <c r="I96" s="338" t="e">
        <f>RANK($K96,$K64:$K96,0)+COUNTIF($K64:$K96,$K96)-1</f>
        <v>#VALUE!</v>
      </c>
      <c r="J96" s="31" t="s">
        <v>730</v>
      </c>
      <c r="K96" s="251" t="str">
        <f>IF(Data!$DU71="&lt;11",0,Data!$DU71)</f>
        <v/>
      </c>
      <c r="L96" s="341" t="str">
        <f>Data!$QK71</f>
        <v/>
      </c>
      <c r="M96" s="358" t="str">
        <f>IF(AND(LEFT($M63,4)="Very",$K96=0),0,Data!$DU72)</f>
        <v/>
      </c>
      <c r="N96" s="343" t="str">
        <f>Data!$QK72</f>
        <v/>
      </c>
      <c r="O96" s="369">
        <f>Data!$DU62</f>
        <v>14</v>
      </c>
      <c r="P96" s="341">
        <f>Data!$QK62</f>
        <v>0</v>
      </c>
      <c r="Q96" s="341"/>
      <c r="Y96" s="139"/>
    </row>
    <row r="97" spans="1:48" ht="11.25" customHeight="1" x14ac:dyDescent="0.35">
      <c r="A97" s="28"/>
      <c r="B97" s="28"/>
      <c r="C97" s="28"/>
      <c r="D97" s="28"/>
      <c r="E97" s="28"/>
      <c r="F97" s="28"/>
      <c r="G97" s="28"/>
      <c r="H97" s="28"/>
      <c r="I97" s="338"/>
      <c r="J97" s="28"/>
      <c r="K97" s="28"/>
      <c r="L97" s="341"/>
      <c r="M97" s="370"/>
      <c r="Q97" s="341"/>
      <c r="Y97" s="139"/>
    </row>
    <row r="98" spans="1:48" ht="11.25" customHeight="1" x14ac:dyDescent="0.35">
      <c r="Q98" s="139"/>
      <c r="Y98" s="139"/>
    </row>
    <row r="99" spans="1:48" ht="11.25" customHeight="1" x14ac:dyDescent="0.35">
      <c r="A99" s="464" t="s">
        <v>712</v>
      </c>
      <c r="B99" s="362"/>
      <c r="C99" s="363"/>
      <c r="D99" s="364"/>
      <c r="E99" s="363"/>
      <c r="F99" s="365"/>
      <c r="G99" s="363"/>
      <c r="H99" s="365"/>
      <c r="J99" s="325"/>
      <c r="K99" s="325"/>
      <c r="L99" s="326"/>
      <c r="M99" s="327"/>
      <c r="Q99" s="139"/>
      <c r="R99" s="340"/>
      <c r="Y99" s="139"/>
    </row>
    <row r="100" spans="1:48" ht="11.25" customHeight="1" x14ac:dyDescent="0.35">
      <c r="A100" s="328"/>
      <c r="B100" s="353" t="s">
        <v>138</v>
      </c>
      <c r="C100" s="330" t="str">
        <f>COUNTY_SELECT</f>
        <v>County Name</v>
      </c>
      <c r="D100" s="366"/>
      <c r="E100" s="330" t="str">
        <f>Data!$A72</f>
        <v/>
      </c>
      <c r="F100" s="331"/>
      <c r="G100" s="330" t="s">
        <v>126</v>
      </c>
      <c r="H100" s="331"/>
      <c r="J100" s="410" t="s">
        <v>696</v>
      </c>
      <c r="K100" s="328" t="str">
        <f>COUNTY_SELECT</f>
        <v>County Name</v>
      </c>
      <c r="M100" s="332" t="str">
        <f>Data!$A72</f>
        <v/>
      </c>
      <c r="O100" s="333" t="s">
        <v>126</v>
      </c>
      <c r="P100" s="367"/>
      <c r="Q100" s="341"/>
      <c r="Y100" s="139"/>
    </row>
    <row r="101" spans="1:48" ht="11.25" customHeight="1" x14ac:dyDescent="0.35">
      <c r="A101" s="411"/>
      <c r="B101" s="412"/>
      <c r="C101" s="413"/>
      <c r="D101" s="414"/>
      <c r="E101" s="415"/>
      <c r="F101" s="416"/>
      <c r="G101" s="415"/>
      <c r="H101" s="416"/>
      <c r="J101" s="407" t="s">
        <v>695</v>
      </c>
      <c r="K101" s="408">
        <f>SUM($K102:$K125)</f>
        <v>0</v>
      </c>
      <c r="L101" s="408"/>
      <c r="M101" s="408">
        <f>SUM($M102:$M125)</f>
        <v>0</v>
      </c>
      <c r="N101" s="408"/>
      <c r="O101" s="408">
        <f>SUM($O102:$O125)</f>
        <v>3942</v>
      </c>
      <c r="P101" s="408"/>
      <c r="Q101" s="341"/>
      <c r="Y101" s="139"/>
    </row>
    <row r="102" spans="1:48" ht="11.25" customHeight="1" x14ac:dyDescent="0.35">
      <c r="A102" s="328">
        <v>1</v>
      </c>
      <c r="B102" s="355" t="e">
        <f>INDEX($J102:$J125,MATCH($A102,$I102:$I125,0))</f>
        <v>#N/A</v>
      </c>
      <c r="C102" s="361" t="e">
        <f>INDEX($K102:$K125,MATCH($A102,$I102:$I125,0))</f>
        <v>#N/A</v>
      </c>
      <c r="D102" s="417" t="e">
        <f>INDEX($L102:$L125,MATCH($A102,$I102:$I125,0))</f>
        <v>#N/A</v>
      </c>
      <c r="E102" s="361" t="e">
        <f>INDEX($M102:$M125,MATCH($A102,$I102:$I125,0))</f>
        <v>#N/A</v>
      </c>
      <c r="F102" s="417" t="e">
        <f>INDEX($N102:$N125,MATCH($A102,$I102:$I125,0))</f>
        <v>#N/A</v>
      </c>
      <c r="G102" s="361" t="e">
        <f>INDEX($O102:$O125,MATCH($A102,$I102:$I125,0))</f>
        <v>#N/A</v>
      </c>
      <c r="H102" s="417" t="e">
        <f>INDEX($P102:$P125,MATCH($A102,$I102:$I125,0))</f>
        <v>#N/A</v>
      </c>
      <c r="I102" s="338" t="e">
        <f>RANK($K102,$K102:$K125,0)+COUNTIF($K102:$K102,$K102)-1</f>
        <v>#VALUE!</v>
      </c>
      <c r="J102" s="82" t="s">
        <v>671</v>
      </c>
      <c r="K102" s="408" t="str">
        <f>Data!$HB71</f>
        <v/>
      </c>
      <c r="L102" s="409" t="str">
        <f>IFERROR($K102/$K101,"0.0%")</f>
        <v>0.0%</v>
      </c>
      <c r="M102" s="408" t="str">
        <f>Data!$HB72</f>
        <v/>
      </c>
      <c r="N102" s="409" t="str">
        <f>IFERROR($M102/$M101,"0.0%")</f>
        <v>0.0%</v>
      </c>
      <c r="O102" s="408">
        <f>Data!$HB62</f>
        <v>86</v>
      </c>
      <c r="P102" s="409">
        <f>IFERROR($O102/$O101,"0.0%")</f>
        <v>2.1816336884830034E-2</v>
      </c>
      <c r="Q102" s="341"/>
    </row>
    <row r="103" spans="1:48" ht="11.25" customHeight="1" x14ac:dyDescent="0.35">
      <c r="A103" s="328">
        <v>2</v>
      </c>
      <c r="B103" s="355" t="e">
        <f>INDEX($J102:$J125,MATCH($A103,$I102:$I125,0))</f>
        <v>#N/A</v>
      </c>
      <c r="C103" s="361" t="e">
        <f>INDEX($K102:$K125,MATCH($A103,$I102:$I125,0))</f>
        <v>#N/A</v>
      </c>
      <c r="D103" s="417" t="e">
        <f>INDEX($L102:$L125,MATCH($A103,$I102:$I125,0))</f>
        <v>#N/A</v>
      </c>
      <c r="E103" s="361" t="e">
        <f>INDEX($M102:$M125,MATCH($A103,$I102:$I125,0))</f>
        <v>#N/A</v>
      </c>
      <c r="F103" s="417" t="e">
        <f>INDEX($N102:$N125,MATCH($A103,$I102:$I125,0))</f>
        <v>#N/A</v>
      </c>
      <c r="G103" s="361" t="e">
        <f>INDEX($O102:$O125,MATCH($A103,$I102:$I125,0))</f>
        <v>#N/A</v>
      </c>
      <c r="H103" s="417" t="e">
        <f>INDEX($P102:$P125,MATCH($A103,$I102:$I125,0))</f>
        <v>#N/A</v>
      </c>
      <c r="I103" s="338" t="e">
        <f>RANK($K103,$K102:$K125,0)+COUNTIF($K102:$K103,$K103)-1</f>
        <v>#VALUE!</v>
      </c>
      <c r="J103" s="9" t="s">
        <v>672</v>
      </c>
      <c r="K103" s="408" t="str">
        <f>Data!$HC71</f>
        <v/>
      </c>
      <c r="L103" s="409" t="str">
        <f>IFERROR($K103/$K101,"0.0%")</f>
        <v>0.0%</v>
      </c>
      <c r="M103" s="408" t="str">
        <f>Data!$HC72</f>
        <v/>
      </c>
      <c r="N103" s="409" t="str">
        <f>IFERROR($M103/$M101,"0.0%")</f>
        <v>0.0%</v>
      </c>
      <c r="O103" s="408">
        <f>Data!$HC62</f>
        <v>216</v>
      </c>
      <c r="P103" s="409">
        <f>IFERROR($O103/$O101,"0.0%")</f>
        <v>5.4794520547945202E-2</v>
      </c>
      <c r="Q103" s="341"/>
      <c r="Y103" s="139"/>
      <c r="AC103" s="139"/>
      <c r="AD103" s="139"/>
      <c r="AE103" s="139"/>
      <c r="AF103" s="139"/>
      <c r="AG103" s="139"/>
      <c r="AH103" s="139"/>
      <c r="AI103" s="139"/>
      <c r="AJ103" s="139"/>
      <c r="AK103" s="139"/>
      <c r="AL103" s="139"/>
      <c r="AM103" s="139"/>
      <c r="AN103" s="139"/>
      <c r="AO103" s="139"/>
      <c r="AP103" s="139"/>
      <c r="AQ103" s="139"/>
      <c r="AR103" s="139"/>
      <c r="AS103" s="139"/>
      <c r="AT103" s="139"/>
      <c r="AU103" s="139"/>
      <c r="AV103" s="139"/>
    </row>
    <row r="104" spans="1:48" ht="11.25" customHeight="1" x14ac:dyDescent="0.35">
      <c r="A104" s="328">
        <v>3</v>
      </c>
      <c r="B104" s="355" t="e">
        <f>INDEX($J102:$J125,MATCH($A104,$I102:$I125,0))</f>
        <v>#N/A</v>
      </c>
      <c r="C104" s="361" t="e">
        <f>INDEX($K102:$K125,MATCH($A104,$I102:$I125,0))</f>
        <v>#N/A</v>
      </c>
      <c r="D104" s="417" t="e">
        <f>INDEX($L102:$L125,MATCH($A104,$I102:$I125,0))</f>
        <v>#N/A</v>
      </c>
      <c r="E104" s="361" t="e">
        <f>INDEX($M102:$M125,MATCH($A104,$I102:$I125,0))</f>
        <v>#N/A</v>
      </c>
      <c r="F104" s="417" t="e">
        <f>INDEX($N102:$N125,MATCH($A104,$I102:$I125,0))</f>
        <v>#N/A</v>
      </c>
      <c r="G104" s="361" t="e">
        <f>INDEX($O102:$O125,MATCH($A104,$I102:$I125,0))</f>
        <v>#N/A</v>
      </c>
      <c r="H104" s="417" t="e">
        <f>INDEX($P102:$P125,MATCH($A104,$I102:$I125,0))</f>
        <v>#N/A</v>
      </c>
      <c r="I104" s="338" t="e">
        <f>RANK($K104,$K102:$K125,0)+COUNTIF($K102:$K104,$K104)-1</f>
        <v>#VALUE!</v>
      </c>
      <c r="J104" s="9" t="s">
        <v>673</v>
      </c>
      <c r="K104" s="408" t="str">
        <f>Data!$HD71</f>
        <v/>
      </c>
      <c r="L104" s="409" t="str">
        <f>IFERROR($K104/$K101,"0.0%")</f>
        <v>0.0%</v>
      </c>
      <c r="M104" s="408" t="str">
        <f>Data!$HD72</f>
        <v/>
      </c>
      <c r="N104" s="409" t="str">
        <f>IFERROR($M104/$M101,"0.0%")</f>
        <v>0.0%</v>
      </c>
      <c r="O104" s="408">
        <f>Data!$HD62</f>
        <v>0</v>
      </c>
      <c r="P104" s="409">
        <f>IFERROR($O104/$O101,"0.0%")</f>
        <v>0</v>
      </c>
      <c r="Q104" s="341"/>
      <c r="Y104" s="139"/>
    </row>
    <row r="105" spans="1:48" ht="11.25" customHeight="1" x14ac:dyDescent="0.35">
      <c r="A105" s="328">
        <v>4</v>
      </c>
      <c r="B105" s="355" t="e">
        <f>INDEX($J102:$J125,MATCH($A105,$I102:$I125,0))</f>
        <v>#N/A</v>
      </c>
      <c r="C105" s="361" t="e">
        <f>INDEX($K102:$K125,MATCH($A105,$I102:$I125,0))</f>
        <v>#N/A</v>
      </c>
      <c r="D105" s="417" t="e">
        <f>INDEX($L102:$L125,MATCH($A105,$I102:$I125,0))</f>
        <v>#N/A</v>
      </c>
      <c r="E105" s="361" t="e">
        <f>INDEX($M102:$M125,MATCH($A105,$I102:$I125,0))</f>
        <v>#N/A</v>
      </c>
      <c r="F105" s="417" t="e">
        <f>INDEX($N102:$N125,MATCH($A105,$I102:$I125,0))</f>
        <v>#N/A</v>
      </c>
      <c r="G105" s="361" t="e">
        <f>INDEX($O102:$O125,MATCH($A105,$I102:$I125,0))</f>
        <v>#N/A</v>
      </c>
      <c r="H105" s="417" t="e">
        <f>INDEX($P102:$P125,MATCH($A105,$I102:$I125,0))</f>
        <v>#N/A</v>
      </c>
      <c r="I105" s="338" t="e">
        <f>RANK($K105,$K102:$K125,0)+COUNTIF($K102:$K105,$K105)-1</f>
        <v>#VALUE!</v>
      </c>
      <c r="J105" s="9" t="s">
        <v>674</v>
      </c>
      <c r="K105" s="408" t="str">
        <f>Data!$HE71</f>
        <v/>
      </c>
      <c r="L105" s="409" t="str">
        <f>IFERROR($K105/$K101,"0.0%")</f>
        <v>0.0%</v>
      </c>
      <c r="M105" s="408" t="str">
        <f>Data!$HE72</f>
        <v/>
      </c>
      <c r="N105" s="409" t="str">
        <f>IFERROR($M105/$M101,"0.0%")</f>
        <v>0.0%</v>
      </c>
      <c r="O105" s="408">
        <f>Data!$HE62</f>
        <v>27</v>
      </c>
      <c r="P105" s="409">
        <f>IFERROR($O105/$O101,"0.0%")</f>
        <v>6.8493150684931503E-3</v>
      </c>
      <c r="Q105" s="341"/>
      <c r="Y105" s="139"/>
    </row>
    <row r="106" spans="1:48" ht="11.25" customHeight="1" x14ac:dyDescent="0.35">
      <c r="A106" s="328">
        <v>5</v>
      </c>
      <c r="B106" s="355" t="e">
        <f>INDEX($J102:$J125,MATCH($A106,$I102:$I125,0))</f>
        <v>#N/A</v>
      </c>
      <c r="C106" s="361" t="e">
        <f>INDEX($K102:$K125,MATCH($A106,$I102:$I125,0))</f>
        <v>#N/A</v>
      </c>
      <c r="D106" s="417" t="e">
        <f>INDEX($L102:$L125,MATCH($A106,$I102:$I125,0))</f>
        <v>#N/A</v>
      </c>
      <c r="E106" s="361" t="e">
        <f>INDEX($M102:$M125,MATCH($A106,$I102:$I125,0))</f>
        <v>#N/A</v>
      </c>
      <c r="F106" s="417" t="e">
        <f>INDEX($N102:$N125,MATCH($A106,$I102:$I125,0))</f>
        <v>#N/A</v>
      </c>
      <c r="G106" s="361" t="e">
        <f>INDEX($O102:$O125,MATCH($A106,$I102:$I125,0))</f>
        <v>#N/A</v>
      </c>
      <c r="H106" s="417" t="e">
        <f>INDEX($P102:$P125,MATCH($A106,$I102:$I125,0))</f>
        <v>#N/A</v>
      </c>
      <c r="I106" s="338" t="e">
        <f>RANK($K106,$K102:$K125,0)+COUNTIF($K102:$K106,$K106)-1</f>
        <v>#VALUE!</v>
      </c>
      <c r="J106" s="9" t="s">
        <v>675</v>
      </c>
      <c r="K106" s="408" t="str">
        <f>Data!$HF71</f>
        <v/>
      </c>
      <c r="L106" s="409" t="str">
        <f>IFERROR($K106/$K101,"0.0%")</f>
        <v>0.0%</v>
      </c>
      <c r="M106" s="408" t="str">
        <f>Data!$HF72</f>
        <v/>
      </c>
      <c r="N106" s="409" t="str">
        <f>IFERROR($M106/$M101,"0.0%")</f>
        <v>0.0%</v>
      </c>
      <c r="O106" s="408">
        <f>Data!$HF62</f>
        <v>40</v>
      </c>
      <c r="P106" s="409">
        <f>IFERROR($O106/$O101,"0.0%")</f>
        <v>1.0147133434804667E-2</v>
      </c>
      <c r="Q106" s="341"/>
      <c r="S106" s="132"/>
      <c r="U106" s="132"/>
      <c r="V106" s="132"/>
      <c r="W106" s="132"/>
      <c r="X106" s="132"/>
      <c r="Y106" s="139"/>
      <c r="Z106" s="132"/>
      <c r="AA106" s="132"/>
    </row>
    <row r="107" spans="1:48" ht="11.25" customHeight="1" x14ac:dyDescent="0.35">
      <c r="A107" s="328">
        <v>6</v>
      </c>
      <c r="B107" s="355" t="e">
        <f>INDEX($J102:$J125,MATCH($A107,$I102:$I125,0))</f>
        <v>#N/A</v>
      </c>
      <c r="C107" s="361" t="e">
        <f>INDEX($K102:$K125,MATCH($A107,$I102:$I125,0))</f>
        <v>#N/A</v>
      </c>
      <c r="D107" s="417" t="e">
        <f>INDEX($L102:$L125,MATCH($A107,$I102:$I125,0))</f>
        <v>#N/A</v>
      </c>
      <c r="E107" s="361" t="e">
        <f>INDEX($M102:$M125,MATCH($A107,$I102:$I125,0))</f>
        <v>#N/A</v>
      </c>
      <c r="F107" s="417" t="e">
        <f>INDEX($N102:$N125,MATCH($A107,$I102:$I125,0))</f>
        <v>#N/A</v>
      </c>
      <c r="G107" s="361" t="e">
        <f>INDEX($O102:$O125,MATCH($A107,$I102:$I125,0))</f>
        <v>#N/A</v>
      </c>
      <c r="H107" s="417" t="e">
        <f>INDEX($P102:$P125,MATCH($A107,$I102:$I125,0))</f>
        <v>#N/A</v>
      </c>
      <c r="I107" s="338" t="e">
        <f>RANK($K107,$K102:$K125,0)+COUNTIF($K102:$K107,$K107)-1</f>
        <v>#VALUE!</v>
      </c>
      <c r="J107" s="9" t="s">
        <v>676</v>
      </c>
      <c r="K107" s="408" t="str">
        <f>Data!$HG71</f>
        <v/>
      </c>
      <c r="L107" s="409" t="str">
        <f>IFERROR($K107/$K101,"0.0%")</f>
        <v>0.0%</v>
      </c>
      <c r="M107" s="408" t="str">
        <f>Data!$HG72</f>
        <v/>
      </c>
      <c r="N107" s="409" t="str">
        <f>IFERROR($M107/$M101,"0.0%")</f>
        <v>0.0%</v>
      </c>
      <c r="O107" s="408">
        <f>Data!$HG62</f>
        <v>86</v>
      </c>
      <c r="P107" s="409">
        <f>IFERROR($O107/$O101,"0.0%")</f>
        <v>2.1816336884830034E-2</v>
      </c>
      <c r="Q107" s="341"/>
      <c r="S107" s="44"/>
      <c r="U107" s="44"/>
      <c r="V107" s="44"/>
      <c r="W107" s="44"/>
      <c r="X107" s="44"/>
      <c r="Y107" s="139"/>
      <c r="Z107" s="44"/>
      <c r="AA107" s="44"/>
    </row>
    <row r="108" spans="1:48" ht="11.25" customHeight="1" x14ac:dyDescent="0.35">
      <c r="A108" s="328">
        <v>7</v>
      </c>
      <c r="B108" s="355" t="e">
        <f>INDEX($J102:$J125,MATCH($A108,$I102:$I125,0))</f>
        <v>#N/A</v>
      </c>
      <c r="C108" s="361" t="e">
        <f>INDEX($K102:$K125,MATCH($A108,$I102:$I125,0))</f>
        <v>#N/A</v>
      </c>
      <c r="D108" s="417" t="e">
        <f>INDEX($L102:$L125,MATCH($A108,$I102:$I125,0))</f>
        <v>#N/A</v>
      </c>
      <c r="E108" s="361" t="e">
        <f>INDEX($M102:$M125,MATCH($A108,$I102:$I125,0))</f>
        <v>#N/A</v>
      </c>
      <c r="F108" s="417" t="e">
        <f>INDEX($N102:$N125,MATCH($A108,$I102:$I125,0))</f>
        <v>#N/A</v>
      </c>
      <c r="G108" s="361" t="e">
        <f>INDEX($O102:$O125,MATCH($A108,$I102:$I125,0))</f>
        <v>#N/A</v>
      </c>
      <c r="H108" s="417" t="e">
        <f>INDEX($P102:$P125,MATCH($A108,$I102:$I125,0))</f>
        <v>#N/A</v>
      </c>
      <c r="I108" s="338" t="e">
        <f>RANK($K108,$K102:$K125,0)+COUNTIF($K102:$K108,$K108)-1</f>
        <v>#VALUE!</v>
      </c>
      <c r="J108" s="9" t="s">
        <v>677</v>
      </c>
      <c r="K108" s="408" t="str">
        <f>Data!$HH71</f>
        <v/>
      </c>
      <c r="L108" s="409" t="str">
        <f>IFERROR($K108/$K101,"0.0%")</f>
        <v>0.0%</v>
      </c>
      <c r="M108" s="408" t="str">
        <f>Data!$HH72</f>
        <v/>
      </c>
      <c r="N108" s="409" t="str">
        <f>IFERROR($M108/$M101,"0.0%")</f>
        <v>0.0%</v>
      </c>
      <c r="O108" s="408">
        <f>Data!$HH62</f>
        <v>222</v>
      </c>
      <c r="P108" s="409">
        <f>IFERROR($O108/$O101,"0.0%")</f>
        <v>5.6316590563165903E-2</v>
      </c>
      <c r="Q108" s="341"/>
      <c r="S108" s="46"/>
      <c r="U108" s="46"/>
      <c r="V108" s="46"/>
      <c r="W108" s="46"/>
      <c r="X108" s="46"/>
      <c r="Y108" s="359"/>
      <c r="Z108" s="46"/>
      <c r="AA108" s="46"/>
    </row>
    <row r="109" spans="1:48" ht="11.25" customHeight="1" x14ac:dyDescent="0.35">
      <c r="A109" s="328">
        <v>8</v>
      </c>
      <c r="B109" s="355" t="e">
        <f>INDEX($J102:$J125,MATCH($A109,$I102:$I125,0))</f>
        <v>#N/A</v>
      </c>
      <c r="C109" s="361" t="e">
        <f>INDEX($K102:$K125,MATCH($A109,$I102:$I125,0))</f>
        <v>#N/A</v>
      </c>
      <c r="D109" s="417" t="e">
        <f>INDEX($L102:$L125,MATCH($A109,$I102:$I125,0))</f>
        <v>#N/A</v>
      </c>
      <c r="E109" s="361" t="e">
        <f>INDEX($M102:$M125,MATCH($A109,$I102:$I125,0))</f>
        <v>#N/A</v>
      </c>
      <c r="F109" s="417" t="e">
        <f>INDEX($N102:$N125,MATCH($A109,$I102:$I125,0))</f>
        <v>#N/A</v>
      </c>
      <c r="G109" s="361" t="e">
        <f>INDEX($O102:$O125,MATCH($A109,$I102:$I125,0))</f>
        <v>#N/A</v>
      </c>
      <c r="H109" s="417" t="e">
        <f>INDEX($P102:$P125,MATCH($A109,$I102:$I125,0))</f>
        <v>#N/A</v>
      </c>
      <c r="I109" s="338" t="e">
        <f>RANK($K109,$K102:$K125,0)+COUNTIF($K102:$K109,$K109)-1</f>
        <v>#VALUE!</v>
      </c>
      <c r="J109" s="9" t="s">
        <v>678</v>
      </c>
      <c r="K109" s="408" t="str">
        <f>Data!$HI71</f>
        <v/>
      </c>
      <c r="L109" s="409" t="str">
        <f>IFERROR($K109/$K101,"0.0%")</f>
        <v>0.0%</v>
      </c>
      <c r="M109" s="408" t="str">
        <f>Data!$HI72</f>
        <v/>
      </c>
      <c r="N109" s="409" t="str">
        <f>IFERROR($M109/$M101,"0.0%")</f>
        <v>0.0%</v>
      </c>
      <c r="O109" s="408">
        <f>Data!$HI62</f>
        <v>0</v>
      </c>
      <c r="P109" s="409">
        <f>IFERROR($O109/$O101,"0.0%")</f>
        <v>0</v>
      </c>
      <c r="Q109" s="341"/>
      <c r="S109" s="46"/>
      <c r="U109" s="46"/>
      <c r="V109" s="46"/>
      <c r="W109" s="46"/>
      <c r="X109" s="46"/>
      <c r="Y109" s="359"/>
      <c r="Z109" s="46"/>
      <c r="AA109" s="46"/>
    </row>
    <row r="110" spans="1:48" ht="11.25" customHeight="1" x14ac:dyDescent="0.35">
      <c r="A110" s="328">
        <v>9</v>
      </c>
      <c r="B110" s="355" t="e">
        <f>INDEX($J102:$J125,MATCH($A110,$I102:$I125,0))</f>
        <v>#N/A</v>
      </c>
      <c r="C110" s="361" t="e">
        <f>INDEX($K102:$K125,MATCH($A110,$I102:$I125,0))</f>
        <v>#N/A</v>
      </c>
      <c r="D110" s="417" t="e">
        <f>INDEX($L102:$L125,MATCH($A110,$I102:$I125,0))</f>
        <v>#N/A</v>
      </c>
      <c r="E110" s="361" t="e">
        <f>INDEX($M102:$M125,MATCH($A110,$I102:$I125,0))</f>
        <v>#N/A</v>
      </c>
      <c r="F110" s="417" t="e">
        <f>INDEX($N102:$N125,MATCH($A110,$I102:$I125,0))</f>
        <v>#N/A</v>
      </c>
      <c r="G110" s="361" t="e">
        <f>INDEX($O102:$O125,MATCH($A110,$I102:$I125,0))</f>
        <v>#N/A</v>
      </c>
      <c r="H110" s="417" t="e">
        <f>INDEX($P102:$P125,MATCH($A110,$I102:$I125,0))</f>
        <v>#N/A</v>
      </c>
      <c r="I110" s="338" t="e">
        <f>RANK($K110,$K102:$K125,0)+COUNTIF($K102:$K110,$K110)-1</f>
        <v>#VALUE!</v>
      </c>
      <c r="J110" s="9" t="s">
        <v>679</v>
      </c>
      <c r="K110" s="408" t="str">
        <f>Data!$HJ71</f>
        <v/>
      </c>
      <c r="L110" s="409" t="str">
        <f>IFERROR($K110/$K101,"0.0%")</f>
        <v>0.0%</v>
      </c>
      <c r="M110" s="408" t="str">
        <f>Data!$HJ72</f>
        <v/>
      </c>
      <c r="N110" s="409" t="str">
        <f>IFERROR($M110/$M101,"0.0%")</f>
        <v>0.0%</v>
      </c>
      <c r="O110" s="408">
        <f>Data!$HJ$62</f>
        <v>1</v>
      </c>
      <c r="P110" s="409">
        <f>IFERROR($O$110/$O$101,"0.0%")</f>
        <v>2.5367833587011668E-4</v>
      </c>
      <c r="Q110" s="341"/>
      <c r="S110" s="188"/>
      <c r="U110" s="188"/>
      <c r="V110" s="188"/>
      <c r="W110" s="188"/>
      <c r="X110" s="188"/>
      <c r="Y110" s="359"/>
      <c r="Z110" s="188"/>
      <c r="AA110" s="188"/>
    </row>
    <row r="111" spans="1:48" ht="11.25" customHeight="1" x14ac:dyDescent="0.35">
      <c r="A111" s="328">
        <v>10</v>
      </c>
      <c r="B111" s="355" t="e">
        <f>INDEX($J102:$J125,MATCH($A111,$I102:$I125,0))</f>
        <v>#N/A</v>
      </c>
      <c r="C111" s="361" t="e">
        <f>INDEX($K102:$K125,MATCH($A111,$I102:$I125,0))</f>
        <v>#N/A</v>
      </c>
      <c r="D111" s="417" t="e">
        <f>INDEX($L102:$L125,MATCH($A111,$I102:$I125,0))</f>
        <v>#N/A</v>
      </c>
      <c r="E111" s="361" t="e">
        <f>INDEX($M102:$M125,MATCH($A111,$I102:$I125,0))</f>
        <v>#N/A</v>
      </c>
      <c r="F111" s="417" t="e">
        <f>INDEX($N102:$N125,MATCH($A111,$I102:$I125,0))</f>
        <v>#N/A</v>
      </c>
      <c r="G111" s="361" t="e">
        <f>INDEX($O102:$O125,MATCH($A111,$I102:$I125,0))</f>
        <v>#N/A</v>
      </c>
      <c r="H111" s="417" t="e">
        <f>INDEX($P102:$P125,MATCH($A111,$I102:$I125,0))</f>
        <v>#N/A</v>
      </c>
      <c r="I111" s="338" t="e">
        <f>RANK($K111,$K102:$K125,0)+COUNTIF($K102:$K111,$K111)-1</f>
        <v>#VALUE!</v>
      </c>
      <c r="J111" s="9" t="s">
        <v>680</v>
      </c>
      <c r="K111" s="408" t="str">
        <f>Data!$HK$71</f>
        <v/>
      </c>
      <c r="L111" s="409" t="str">
        <f>IFERROR($K$111/$K$101,"0.0%")</f>
        <v>0.0%</v>
      </c>
      <c r="M111" s="408" t="str">
        <f>Data!$HK$72</f>
        <v/>
      </c>
      <c r="N111" s="409" t="str">
        <f>IFERROR($M$111/$M$101,"0.0%")</f>
        <v>0.0%</v>
      </c>
      <c r="O111" s="408">
        <f>Data!$HK$62</f>
        <v>1</v>
      </c>
      <c r="P111" s="409">
        <f>IFERROR($O$111/$O$101,"0.0%")</f>
        <v>2.5367833587011668E-4</v>
      </c>
      <c r="Q111" s="341"/>
      <c r="Y111" s="139"/>
    </row>
    <row r="112" spans="1:48" ht="11.25" customHeight="1" x14ac:dyDescent="0.35">
      <c r="A112" s="328">
        <v>11</v>
      </c>
      <c r="B112" s="355" t="e">
        <f>INDEX($J102:$J125,MATCH($A112,$I102:$I125,0))</f>
        <v>#N/A</v>
      </c>
      <c r="C112" s="361" t="e">
        <f>INDEX($K102:$K125,MATCH($A112,$I102:$I125,0))</f>
        <v>#N/A</v>
      </c>
      <c r="D112" s="417" t="e">
        <f>INDEX($L102:$L125,MATCH($A112,$I102:$I125,0))</f>
        <v>#N/A</v>
      </c>
      <c r="E112" s="361" t="e">
        <f>INDEX($M102:$M125,MATCH($A112,$I102:$I125,0))</f>
        <v>#N/A</v>
      </c>
      <c r="F112" s="417" t="e">
        <f>INDEX($N102:$N125,MATCH($A112,$I102:$I125,0))</f>
        <v>#N/A</v>
      </c>
      <c r="G112" s="361" t="e">
        <f>INDEX($O102:$O125,MATCH($A112,$I102:$I125,0))</f>
        <v>#N/A</v>
      </c>
      <c r="H112" s="417" t="e">
        <f>INDEX($P102:$P125,MATCH($A112,$I102:$I125,0))</f>
        <v>#N/A</v>
      </c>
      <c r="I112" s="338" t="e">
        <f>RANK($K112,$K102:$K125,0)+COUNTIF($K102:$K112,$K112)-1</f>
        <v>#VALUE!</v>
      </c>
      <c r="J112" s="9" t="s">
        <v>681</v>
      </c>
      <c r="K112" s="408" t="str">
        <f>Data!$HL$71</f>
        <v/>
      </c>
      <c r="L112" s="409" t="str">
        <f>IFERROR($K$112/$K$101,"0.0%")</f>
        <v>0.0%</v>
      </c>
      <c r="M112" s="408" t="str">
        <f>Data!$HL$72</f>
        <v/>
      </c>
      <c r="N112" s="409" t="str">
        <f>IFERROR($M$112/$M$101,"0.0%")</f>
        <v>0.0%</v>
      </c>
      <c r="O112" s="408">
        <f>Data!$HL$62</f>
        <v>172</v>
      </c>
      <c r="P112" s="409">
        <f>IFERROR($O$112/$O$101,"0.0%")</f>
        <v>4.3632673769660069E-2</v>
      </c>
      <c r="Q112" s="341"/>
      <c r="Y112" s="139"/>
    </row>
    <row r="113" spans="1:27" ht="11.25" customHeight="1" x14ac:dyDescent="0.35">
      <c r="A113" s="328">
        <v>12</v>
      </c>
      <c r="B113" s="355" t="e">
        <f>INDEX($J102:$J125,MATCH($A113,$I102:$I125,0))</f>
        <v>#N/A</v>
      </c>
      <c r="C113" s="361" t="e">
        <f>INDEX($K102:$K125,MATCH($A113,$I102:$I125,0))</f>
        <v>#N/A</v>
      </c>
      <c r="D113" s="417" t="e">
        <f>INDEX($L102:$L125,MATCH($A113,$I102:$I125,0))</f>
        <v>#N/A</v>
      </c>
      <c r="E113" s="361" t="e">
        <f>INDEX($M102:$M125,MATCH($A113,$I102:$I125,0))</f>
        <v>#N/A</v>
      </c>
      <c r="F113" s="417" t="e">
        <f>INDEX($N102:$N125,MATCH($A113,$I102:$I125,0))</f>
        <v>#N/A</v>
      </c>
      <c r="G113" s="361" t="e">
        <f>INDEX($O102:$O125,MATCH($A113,$I102:$I125,0))</f>
        <v>#N/A</v>
      </c>
      <c r="H113" s="417" t="e">
        <f>INDEX($P102:$P125,MATCH($A113,$I102:$I125,0))</f>
        <v>#N/A</v>
      </c>
      <c r="I113" s="338" t="e">
        <f>RANK($K113,$K102:$K125,0)+COUNTIF($K102:$K113,$K113)-1</f>
        <v>#VALUE!</v>
      </c>
      <c r="J113" s="9" t="s">
        <v>682</v>
      </c>
      <c r="K113" s="408" t="str">
        <f>Data!$HM$71</f>
        <v/>
      </c>
      <c r="L113" s="409" t="str">
        <f>IFERROR($K$113/$K$101,"0.0%")</f>
        <v>0.0%</v>
      </c>
      <c r="M113" s="408" t="str">
        <f>Data!$HM$72</f>
        <v/>
      </c>
      <c r="N113" s="409" t="str">
        <f>IFERROR($M$113/$M$101,"0.0%")</f>
        <v>0.0%</v>
      </c>
      <c r="O113" s="408">
        <f>Data!$HM$62</f>
        <v>56</v>
      </c>
      <c r="P113" s="409">
        <f>IFERROR($O$113/$O$101,"0.0%")</f>
        <v>1.4205986808726534E-2</v>
      </c>
      <c r="Q113" s="341"/>
      <c r="Y113" s="139"/>
    </row>
    <row r="114" spans="1:27" ht="11.25" customHeight="1" x14ac:dyDescent="0.35">
      <c r="A114" s="328">
        <v>13</v>
      </c>
      <c r="B114" s="355" t="e">
        <f>INDEX($J102:$J125,MATCH($A114,$I102:$I125,0))</f>
        <v>#N/A</v>
      </c>
      <c r="C114" s="361" t="e">
        <f>INDEX($K102:$K125,MATCH($A114,$I102:$I125,0))</f>
        <v>#N/A</v>
      </c>
      <c r="D114" s="417" t="e">
        <f>INDEX($L102:$L125,MATCH($A114,$I102:$I125,0))</f>
        <v>#N/A</v>
      </c>
      <c r="E114" s="361" t="e">
        <f>INDEX($M102:$M125,MATCH($A114,$I102:$I125,0))</f>
        <v>#N/A</v>
      </c>
      <c r="F114" s="417" t="e">
        <f>INDEX($N102:$N125,MATCH($A114,$I102:$I125,0))</f>
        <v>#N/A</v>
      </c>
      <c r="G114" s="361" t="e">
        <f>INDEX($O102:$O125,MATCH($A114,$I102:$I125,0))</f>
        <v>#N/A</v>
      </c>
      <c r="H114" s="417" t="e">
        <f>INDEX($P102:$P125,MATCH($A114,$I102:$I125,0))</f>
        <v>#N/A</v>
      </c>
      <c r="I114" s="338" t="e">
        <f>RANK($K114,$K102:$K125,0)+COUNTIF($K102:$K114,$K114)-1</f>
        <v>#VALUE!</v>
      </c>
      <c r="J114" s="9" t="s">
        <v>683</v>
      </c>
      <c r="K114" s="408" t="str">
        <f>Data!$HN$71</f>
        <v/>
      </c>
      <c r="L114" s="409" t="str">
        <f>IFERROR($K$114/$K$101,"0.0%")</f>
        <v>0.0%</v>
      </c>
      <c r="M114" s="408" t="str">
        <f>Data!$HN$72</f>
        <v/>
      </c>
      <c r="N114" s="409" t="str">
        <f>IFERROR($M$114/$M$101,"0.0%")</f>
        <v>0.0%</v>
      </c>
      <c r="O114" s="408">
        <f>Data!$HN$62</f>
        <v>3</v>
      </c>
      <c r="P114" s="409">
        <f>IFERROR($O$114/$O$101,"0.0%")</f>
        <v>7.6103500761035003E-4</v>
      </c>
      <c r="Q114" s="341"/>
      <c r="Y114" s="139"/>
    </row>
    <row r="115" spans="1:27" ht="11.25" customHeight="1" x14ac:dyDescent="0.35">
      <c r="A115" s="328">
        <v>14</v>
      </c>
      <c r="B115" s="355" t="e">
        <f>INDEX($J102:$J125,MATCH($A115,$I102:$I125,0))</f>
        <v>#N/A</v>
      </c>
      <c r="C115" s="361" t="e">
        <f>INDEX($K102:$K125,MATCH($A115,$I102:$I125,0))</f>
        <v>#N/A</v>
      </c>
      <c r="D115" s="417" t="e">
        <f>INDEX($L102:$L125,MATCH($A115,$I102:$I125,0))</f>
        <v>#N/A</v>
      </c>
      <c r="E115" s="361" t="e">
        <f>INDEX($M102:$M125,MATCH($A115,$I102:$I125,0))</f>
        <v>#N/A</v>
      </c>
      <c r="F115" s="417" t="e">
        <f>INDEX($N102:$N125,MATCH($A115,$I102:$I125,0))</f>
        <v>#N/A</v>
      </c>
      <c r="G115" s="361" t="e">
        <f>INDEX($O102:$O125,MATCH($A115,$I102:$I125,0))</f>
        <v>#N/A</v>
      </c>
      <c r="H115" s="417" t="e">
        <f>INDEX($P102:$P125,MATCH($A115,$I102:$I125,0))</f>
        <v>#N/A</v>
      </c>
      <c r="I115" s="338" t="e">
        <f>RANK($K115,$K102:$K125,0)+COUNTIF($K102:$K115,$K115)-1</f>
        <v>#VALUE!</v>
      </c>
      <c r="J115" s="9" t="s">
        <v>684</v>
      </c>
      <c r="K115" s="408" t="str">
        <f>Data!$HO$71</f>
        <v/>
      </c>
      <c r="L115" s="409" t="str">
        <f>IFERROR($K$115/$K$101,"0.0%")</f>
        <v>0.0%</v>
      </c>
      <c r="M115" s="408" t="str">
        <f>Data!$HO$72</f>
        <v/>
      </c>
      <c r="N115" s="409" t="str">
        <f>IFERROR($M$115/$M$101,"0.0%")</f>
        <v>0.0%</v>
      </c>
      <c r="O115" s="408">
        <f>Data!$HO$62</f>
        <v>129</v>
      </c>
      <c r="P115" s="409">
        <f>IFERROR($O$115/$O$101,"0.0%")</f>
        <v>3.2724505327245051E-2</v>
      </c>
      <c r="Q115" s="341"/>
      <c r="Y115" s="139"/>
    </row>
    <row r="116" spans="1:27" ht="11.25" customHeight="1" x14ac:dyDescent="0.35">
      <c r="A116" s="328">
        <v>15</v>
      </c>
      <c r="B116" s="355" t="e">
        <f>INDEX($J102:$J125,MATCH($A116,$I102:$I125,0))</f>
        <v>#N/A</v>
      </c>
      <c r="C116" s="361" t="e">
        <f>INDEX($K102:$K125,MATCH($A116,$I102:$I125,0))</f>
        <v>#N/A</v>
      </c>
      <c r="D116" s="417" t="e">
        <f>INDEX($L102:$L125,MATCH($A116,$I102:$I125,0))</f>
        <v>#N/A</v>
      </c>
      <c r="E116" s="361" t="e">
        <f>INDEX($M102:$M125,MATCH($A116,$I102:$I125,0))</f>
        <v>#N/A</v>
      </c>
      <c r="F116" s="417" t="e">
        <f>INDEX($N102:$N125,MATCH($A116,$I102:$I125,0))</f>
        <v>#N/A</v>
      </c>
      <c r="G116" s="361" t="e">
        <f>INDEX($O102:$O125,MATCH($A116,$I102:$I125,0))</f>
        <v>#N/A</v>
      </c>
      <c r="H116" s="417" t="e">
        <f>INDEX($P102:$P125,MATCH($A116,$I102:$I125,0))</f>
        <v>#N/A</v>
      </c>
      <c r="I116" s="338" t="e">
        <f>RANK($K116,$K102:$K125,0)+COUNTIF($K102:$K116,$K116)-1</f>
        <v>#VALUE!</v>
      </c>
      <c r="J116" s="9" t="s">
        <v>685</v>
      </c>
      <c r="K116" s="408" t="str">
        <f>Data!$HP$71</f>
        <v/>
      </c>
      <c r="L116" s="409" t="str">
        <f>IFERROR($K$116/$K$101,"0.0%")</f>
        <v>0.0%</v>
      </c>
      <c r="M116" s="408" t="str">
        <f>Data!$HP$72</f>
        <v/>
      </c>
      <c r="N116" s="409" t="str">
        <f>IFERROR($M$116/$M$101,"0.0%")</f>
        <v>0.0%</v>
      </c>
      <c r="O116" s="408">
        <f>Data!$HP$62</f>
        <v>10</v>
      </c>
      <c r="P116" s="409">
        <f>IFERROR($O$116/$O$101,"0.0%")</f>
        <v>2.5367833587011668E-3</v>
      </c>
      <c r="Q116" s="341"/>
      <c r="Y116" s="139"/>
    </row>
    <row r="117" spans="1:27" ht="11.25" customHeight="1" x14ac:dyDescent="0.35">
      <c r="A117" s="328">
        <v>16</v>
      </c>
      <c r="B117" s="355" t="e">
        <f>INDEX($J102:$J125,MATCH($A117,$I102:$I125,0))</f>
        <v>#N/A</v>
      </c>
      <c r="C117" s="361" t="e">
        <f>INDEX($K102:$K125,MATCH($A117,$I102:$I125,0))</f>
        <v>#N/A</v>
      </c>
      <c r="D117" s="417" t="e">
        <f>INDEX($L102:$L125,MATCH($A117,$I102:$I125,0))</f>
        <v>#N/A</v>
      </c>
      <c r="E117" s="361" t="e">
        <f>INDEX($M102:$M125,MATCH($A117,$I102:$I125,0))</f>
        <v>#N/A</v>
      </c>
      <c r="F117" s="417" t="e">
        <f>INDEX($N102:$N125,MATCH($A117,$I102:$I125,0))</f>
        <v>#N/A</v>
      </c>
      <c r="G117" s="361" t="e">
        <f>INDEX($O102:$O125,MATCH($A117,$I102:$I125,0))</f>
        <v>#N/A</v>
      </c>
      <c r="H117" s="417" t="e">
        <f>INDEX($P102:$P125,MATCH($A117,$I102:$I125,0))</f>
        <v>#N/A</v>
      </c>
      <c r="I117" s="338" t="e">
        <f>RANK($K117,$K102:$K125,0)+COUNTIF($K102:$K117,$K117)-1</f>
        <v>#VALUE!</v>
      </c>
      <c r="J117" s="9" t="s">
        <v>686</v>
      </c>
      <c r="K117" s="408" t="str">
        <f>Data!$HQ$71</f>
        <v/>
      </c>
      <c r="L117" s="409" t="str">
        <f>IFERROR($K$117/$K$101,"0.0%")</f>
        <v>0.0%</v>
      </c>
      <c r="M117" s="408" t="str">
        <f>Data!$HQ$72</f>
        <v/>
      </c>
      <c r="N117" s="409" t="str">
        <f>IFERROR($M$117/$M$101,"0.0%")</f>
        <v>0.0%</v>
      </c>
      <c r="O117" s="408">
        <f>Data!$HQ$62</f>
        <v>99</v>
      </c>
      <c r="P117" s="409">
        <f>IFERROR($O$117/$O$101,"0.0%")</f>
        <v>2.5114155251141551E-2</v>
      </c>
      <c r="Q117" s="341"/>
      <c r="Y117" s="139"/>
    </row>
    <row r="118" spans="1:27" ht="11.25" customHeight="1" x14ac:dyDescent="0.35">
      <c r="A118" s="328">
        <v>17</v>
      </c>
      <c r="B118" s="355" t="e">
        <f>INDEX($J102:$J125,MATCH($A118,$I102:$I125,0))</f>
        <v>#N/A</v>
      </c>
      <c r="C118" s="361" t="e">
        <f>INDEX($K102:$K125,MATCH($A118,$I102:$I125,0))</f>
        <v>#N/A</v>
      </c>
      <c r="D118" s="417" t="e">
        <f>INDEX($L102:$L125,MATCH($A118,$I102:$I125,0))</f>
        <v>#N/A</v>
      </c>
      <c r="E118" s="361" t="e">
        <f>INDEX($M102:$M125,MATCH($A118,$I102:$I125,0))</f>
        <v>#N/A</v>
      </c>
      <c r="F118" s="417" t="e">
        <f>INDEX($N102:$N125,MATCH($A118,$I102:$I125,0))</f>
        <v>#N/A</v>
      </c>
      <c r="G118" s="361" t="e">
        <f>INDEX($O102:$O125,MATCH($A118,$I102:$I125,0))</f>
        <v>#N/A</v>
      </c>
      <c r="H118" s="417" t="e">
        <f>INDEX($P102:$P125,MATCH($A118,$I102:$I125,0))</f>
        <v>#N/A</v>
      </c>
      <c r="I118" s="338" t="e">
        <f>RANK($K118,$K102:$K125,0)+COUNTIF($K102:$K118,$K118)-1</f>
        <v>#VALUE!</v>
      </c>
      <c r="J118" s="9" t="s">
        <v>687</v>
      </c>
      <c r="K118" s="408" t="str">
        <f>Data!$HR$71</f>
        <v/>
      </c>
      <c r="L118" s="409" t="str">
        <f>IFERROR($K$118/$K$101,"0.0%")</f>
        <v>0.0%</v>
      </c>
      <c r="M118" s="408" t="str">
        <f>Data!$HR$72</f>
        <v/>
      </c>
      <c r="N118" s="409" t="str">
        <f>IFERROR($M$118/$M$101,"0.0%")</f>
        <v>0.0%</v>
      </c>
      <c r="O118" s="408">
        <f>Data!$HR$62</f>
        <v>2751</v>
      </c>
      <c r="P118" s="409">
        <f>IFERROR($O$118/$O$101,"0.0%")</f>
        <v>0.69786910197869101</v>
      </c>
      <c r="Q118" s="341"/>
      <c r="Y118" s="139"/>
    </row>
    <row r="119" spans="1:27" ht="11.25" customHeight="1" x14ac:dyDescent="0.35">
      <c r="A119" s="328">
        <v>18</v>
      </c>
      <c r="B119" s="355" t="e">
        <f>INDEX($J102:$J125,MATCH($A119,$I102:$I125,0))</f>
        <v>#N/A</v>
      </c>
      <c r="C119" s="361" t="e">
        <f>INDEX($K102:$K125,MATCH($A119,$I102:$I125,0))</f>
        <v>#N/A</v>
      </c>
      <c r="D119" s="417" t="e">
        <f>INDEX($L102:$L125,MATCH($A119,$I102:$I125,0))</f>
        <v>#N/A</v>
      </c>
      <c r="E119" s="361" t="e">
        <f>INDEX($M102:$M125,MATCH($A119,$I102:$I125,0))</f>
        <v>#N/A</v>
      </c>
      <c r="F119" s="417" t="e">
        <f>INDEX($N102:$N125,MATCH($A119,$I102:$I125,0))</f>
        <v>#N/A</v>
      </c>
      <c r="G119" s="361" t="e">
        <f>INDEX($O102:$O125,MATCH($A119,$I102:$I125,0))</f>
        <v>#N/A</v>
      </c>
      <c r="H119" s="417" t="e">
        <f>INDEX($P102:$P125,MATCH($A119,$I102:$I125,0))</f>
        <v>#N/A</v>
      </c>
      <c r="I119" s="338" t="e">
        <f>RANK($K119,$K102:$K125,0)+COUNTIF($K102:$K119,$K119)-1</f>
        <v>#VALUE!</v>
      </c>
      <c r="J119" s="9" t="s">
        <v>688</v>
      </c>
      <c r="K119" s="408" t="str">
        <f>Data!$HS$71</f>
        <v/>
      </c>
      <c r="L119" s="409" t="str">
        <f>IFERROR($K$119/$K$101,"0.0%")</f>
        <v>0.0%</v>
      </c>
      <c r="M119" s="408" t="str">
        <f>Data!$HS$72</f>
        <v/>
      </c>
      <c r="N119" s="409" t="str">
        <f>IFERROR($M$119/$M$101,"0.0%")</f>
        <v>0.0%</v>
      </c>
      <c r="O119" s="408">
        <f>Data!$HS$62</f>
        <v>0</v>
      </c>
      <c r="P119" s="409">
        <f>IFERROR($O$119/$O$101,"0.0%")</f>
        <v>0</v>
      </c>
      <c r="Q119" s="341"/>
      <c r="Y119" s="139"/>
    </row>
    <row r="120" spans="1:27" ht="11.25" customHeight="1" x14ac:dyDescent="0.35">
      <c r="A120" s="328">
        <v>19</v>
      </c>
      <c r="B120" s="355" t="e">
        <f>INDEX($J102:$J125,MATCH($A120,$I102:$I125,0))</f>
        <v>#N/A</v>
      </c>
      <c r="C120" s="361" t="e">
        <f>INDEX($K102:$K125,MATCH($A120,$I102:$I125,0))</f>
        <v>#N/A</v>
      </c>
      <c r="D120" s="417" t="e">
        <f>INDEX($L102:$L125,MATCH($A120,$I102:$I125,0))</f>
        <v>#N/A</v>
      </c>
      <c r="E120" s="361" t="e">
        <f>INDEX($M102:$M125,MATCH($A120,$I102:$I125,0))</f>
        <v>#N/A</v>
      </c>
      <c r="F120" s="417" t="e">
        <f>INDEX($N102:$N125,MATCH($A120,$I102:$I125,0))</f>
        <v>#N/A</v>
      </c>
      <c r="G120" s="361" t="e">
        <f>INDEX($O102:$O125,MATCH($A120,$I102:$I125,0))</f>
        <v>#N/A</v>
      </c>
      <c r="H120" s="417" t="e">
        <f>INDEX($P102:$P125,MATCH($A120,$I102:$I125,0))</f>
        <v>#N/A</v>
      </c>
      <c r="I120" s="338" t="e">
        <f>RANK($K120,$K102:$K125,0)+COUNTIF($K102:$K120,$K120)-1</f>
        <v>#VALUE!</v>
      </c>
      <c r="J120" s="9" t="s">
        <v>689</v>
      </c>
      <c r="K120" s="408" t="str">
        <f>Data!$HT$71</f>
        <v/>
      </c>
      <c r="L120" s="409" t="str">
        <f>IFERROR($K$120/$K$101,"0.0%")</f>
        <v>0.0%</v>
      </c>
      <c r="M120" s="408" t="str">
        <f>Data!$HT$72</f>
        <v/>
      </c>
      <c r="N120" s="409" t="str">
        <f>IFERROR($M$120/$M$101,"0.0%")</f>
        <v>0.0%</v>
      </c>
      <c r="O120" s="408">
        <f>Data!$HT$62</f>
        <v>0</v>
      </c>
      <c r="P120" s="409">
        <f>IFERROR($O$120/$O$101,"0.0%")</f>
        <v>0</v>
      </c>
      <c r="Q120" s="341"/>
      <c r="Y120" s="139"/>
    </row>
    <row r="121" spans="1:27" ht="11.25" customHeight="1" x14ac:dyDescent="0.35">
      <c r="A121" s="328">
        <v>20</v>
      </c>
      <c r="B121" s="355" t="e">
        <f>INDEX($J102:$J125,MATCH($A121,$I102:$I125,0))</f>
        <v>#N/A</v>
      </c>
      <c r="C121" s="361" t="e">
        <f>INDEX($K102:$K125,MATCH($A121,$I102:$I125,0))</f>
        <v>#N/A</v>
      </c>
      <c r="D121" s="417" t="e">
        <f>INDEX($L102:$L125,MATCH($A121,$I102:$I125,0))</f>
        <v>#N/A</v>
      </c>
      <c r="E121" s="361" t="e">
        <f>INDEX($M102:$M125,MATCH($A121,$I102:$I125,0))</f>
        <v>#N/A</v>
      </c>
      <c r="F121" s="417" t="e">
        <f>INDEX($N102:$N125,MATCH($A121,$I102:$I125,0))</f>
        <v>#N/A</v>
      </c>
      <c r="G121" s="361" t="e">
        <f>INDEX($O102:$O125,MATCH($A121,$I102:$I125,0))</f>
        <v>#N/A</v>
      </c>
      <c r="H121" s="417" t="e">
        <f>INDEX($P102:$P125,MATCH($A121,$I102:$I125,0))</f>
        <v>#N/A</v>
      </c>
      <c r="I121" s="338" t="e">
        <f>RANK($K121,$K102:$K125,0)+COUNTIF($K102:$K121,$K121)-1</f>
        <v>#VALUE!</v>
      </c>
      <c r="J121" s="9" t="s">
        <v>690</v>
      </c>
      <c r="K121" s="408" t="str">
        <f>Data!$HU$71</f>
        <v/>
      </c>
      <c r="L121" s="409" t="str">
        <f>IFERROR($K$121/$K$101,"0.0%")</f>
        <v>0.0%</v>
      </c>
      <c r="M121" s="408" t="str">
        <f>Data!$HU$72</f>
        <v/>
      </c>
      <c r="N121" s="409" t="str">
        <f>IFERROR($M$121/$M$101,"0.0%")</f>
        <v>0.0%</v>
      </c>
      <c r="O121" s="408">
        <f>Data!$HU$62</f>
        <v>0</v>
      </c>
      <c r="P121" s="409">
        <f>IFERROR($O$121/$O$101,"0.0%")</f>
        <v>0</v>
      </c>
      <c r="Q121" s="341"/>
      <c r="Y121" s="139"/>
    </row>
    <row r="122" spans="1:27" ht="11.25" customHeight="1" x14ac:dyDescent="0.35">
      <c r="A122" s="328">
        <v>21</v>
      </c>
      <c r="B122" s="355" t="e">
        <f>INDEX($J102:$J125,MATCH($A122,$I102:$I125,0))</f>
        <v>#N/A</v>
      </c>
      <c r="C122" s="361" t="e">
        <f>INDEX($K102:$K125,MATCH($A122,$I102:$I125,0))</f>
        <v>#N/A</v>
      </c>
      <c r="D122" s="417" t="e">
        <f>INDEX($L102:$L125,MATCH($A122,$I102:$I125,0))</f>
        <v>#N/A</v>
      </c>
      <c r="E122" s="361" t="e">
        <f>INDEX($M102:$M125,MATCH($A122,$I102:$I125,0))</f>
        <v>#N/A</v>
      </c>
      <c r="F122" s="417" t="e">
        <f>INDEX($N102:$N125,MATCH($A122,$I102:$I125,0))</f>
        <v>#N/A</v>
      </c>
      <c r="G122" s="361" t="e">
        <f>INDEX($O102:$O125,MATCH($A122,$I102:$I125,0))</f>
        <v>#N/A</v>
      </c>
      <c r="H122" s="417" t="e">
        <f>INDEX($P102:$P125,MATCH($A122,$I102:$I125,0))</f>
        <v>#N/A</v>
      </c>
      <c r="I122" s="338" t="e">
        <f>RANK($K122,$K102:$K125,0)+COUNTIF($K102:$K122,$K122)-1</f>
        <v>#VALUE!</v>
      </c>
      <c r="J122" s="9" t="s">
        <v>691</v>
      </c>
      <c r="K122" s="408" t="str">
        <f>Data!$HV$71</f>
        <v/>
      </c>
      <c r="L122" s="409" t="str">
        <f>IFERROR($K$122/$K$101,"0.0%")</f>
        <v>0.0%</v>
      </c>
      <c r="M122" s="408" t="str">
        <f>Data!$HV$72</f>
        <v/>
      </c>
      <c r="N122" s="409" t="str">
        <f>IFERROR($M$122/$M$101,"0.0%")</f>
        <v>0.0%</v>
      </c>
      <c r="O122" s="408">
        <f>Data!$HV$62</f>
        <v>0</v>
      </c>
      <c r="P122" s="409">
        <f>IFERROR($O$122/$O$101,"0.0%")</f>
        <v>0</v>
      </c>
      <c r="Q122" s="341"/>
      <c r="Y122" s="139"/>
    </row>
    <row r="123" spans="1:27" x14ac:dyDescent="0.35">
      <c r="A123" s="328">
        <v>22</v>
      </c>
      <c r="B123" s="355" t="e">
        <f>INDEX($J102:$J125,MATCH($A123,$I102:$I125,0))</f>
        <v>#N/A</v>
      </c>
      <c r="C123" s="361" t="e">
        <f>INDEX($K102:$K125,MATCH($A123,$I102:$I125,0))</f>
        <v>#N/A</v>
      </c>
      <c r="D123" s="417" t="e">
        <f>INDEX($L102:$L125,MATCH($A123,$I102:$I125,0))</f>
        <v>#N/A</v>
      </c>
      <c r="E123" s="361" t="e">
        <f>INDEX($M102:$M125,MATCH($A123,$I102:$I125,0))</f>
        <v>#N/A</v>
      </c>
      <c r="F123" s="417" t="e">
        <f>INDEX($N102:$N125,MATCH($A123,$I102:$I125,0))</f>
        <v>#N/A</v>
      </c>
      <c r="G123" s="361" t="e">
        <f>INDEX($O102:$O125,MATCH($A123,$I102:$I125,0))</f>
        <v>#N/A</v>
      </c>
      <c r="H123" s="417" t="e">
        <f>INDEX($P102:$P125,MATCH($A123,$I102:$I125,0))</f>
        <v>#N/A</v>
      </c>
      <c r="I123" s="338" t="e">
        <f>RANK($K123,$K102:$K125,0)+COUNTIF($K102:$K123,$K123)-1</f>
        <v>#VALUE!</v>
      </c>
      <c r="J123" s="9" t="s">
        <v>692</v>
      </c>
      <c r="K123" s="408" t="str">
        <f>Data!$HW$71</f>
        <v/>
      </c>
      <c r="L123" s="409" t="str">
        <f>IFERROR($K$123/$K$101,"0.0%")</f>
        <v>0.0%</v>
      </c>
      <c r="M123" s="408" t="str">
        <f>Data!$HW$72</f>
        <v/>
      </c>
      <c r="N123" s="409" t="str">
        <f>IFERROR($M$123/$M$101,"0.0%")</f>
        <v>0.0%</v>
      </c>
      <c r="O123" s="408">
        <f>Data!$HW$62</f>
        <v>40</v>
      </c>
      <c r="P123" s="409">
        <f>IFERROR($O$123/$O$101,"0.0%")</f>
        <v>1.0147133434804667E-2</v>
      </c>
    </row>
    <row r="124" spans="1:27" x14ac:dyDescent="0.35">
      <c r="A124" s="328">
        <v>23</v>
      </c>
      <c r="B124" s="355" t="e">
        <f>INDEX($J102:$J125,MATCH($A124,$I102:$I125,0))</f>
        <v>#N/A</v>
      </c>
      <c r="C124" s="361" t="e">
        <f>INDEX($K102:$K125,MATCH($A124,$I102:$I125,0))</f>
        <v>#N/A</v>
      </c>
      <c r="D124" s="417" t="e">
        <f>INDEX($L102:$L125,MATCH($A124,$I102:$I125,0))</f>
        <v>#N/A</v>
      </c>
      <c r="E124" s="361" t="e">
        <f>INDEX($M102:$M125,MATCH($A124,$I102:$I125,0))</f>
        <v>#N/A</v>
      </c>
      <c r="F124" s="417" t="e">
        <f>INDEX($N102:$N125,MATCH($A124,$I102:$I125,0))</f>
        <v>#N/A</v>
      </c>
      <c r="G124" s="361" t="e">
        <f>INDEX($O102:$O125,MATCH($A124,$I102:$I125,0))</f>
        <v>#N/A</v>
      </c>
      <c r="H124" s="417" t="e">
        <f>INDEX($P102:$P125,MATCH($A124,$I102:$I125,0))</f>
        <v>#N/A</v>
      </c>
      <c r="I124" s="338" t="e">
        <f>RANK($K124,$K102:$K125,0)+COUNTIF($K102:$K124,$K124)-1</f>
        <v>#VALUE!</v>
      </c>
      <c r="J124" s="9" t="s">
        <v>693</v>
      </c>
      <c r="K124" s="408" t="str">
        <f>Data!$HX$71</f>
        <v/>
      </c>
      <c r="L124" s="409" t="str">
        <f>IFERROR($K$124/$K$101,"0.0%")</f>
        <v>0.0%</v>
      </c>
      <c r="M124" s="408" t="str">
        <f>Data!$HX$72</f>
        <v/>
      </c>
      <c r="N124" s="409" t="str">
        <f>IFERROR($M$124/$M$101,"0.0%")</f>
        <v>0.0%</v>
      </c>
      <c r="O124" s="408">
        <f>Data!$HX$62</f>
        <v>3</v>
      </c>
      <c r="P124" s="409">
        <f>IFERROR($O$124/$O$101,"0.0%")</f>
        <v>7.6103500761035003E-4</v>
      </c>
    </row>
    <row r="125" spans="1:27" x14ac:dyDescent="0.35">
      <c r="A125" s="328">
        <v>24</v>
      </c>
      <c r="B125" s="355" t="e">
        <f>INDEX($J102:$J125,MATCH($A125,$I102:$I125,0))</f>
        <v>#N/A</v>
      </c>
      <c r="C125" s="361" t="e">
        <f>INDEX($K102:$K125,MATCH($A125,$I102:$I125,0))</f>
        <v>#N/A</v>
      </c>
      <c r="D125" s="417" t="e">
        <f>INDEX($L102:$L125,MATCH($A125,$I102:$I125,0))</f>
        <v>#N/A</v>
      </c>
      <c r="E125" s="361" t="e">
        <f>INDEX($M102:$M125,MATCH($A125,$I102:$I125,0))</f>
        <v>#N/A</v>
      </c>
      <c r="F125" s="417" t="e">
        <f>INDEX($N102:$N125,MATCH($A125,$I102:$I125,0))</f>
        <v>#N/A</v>
      </c>
      <c r="G125" s="361" t="e">
        <f>INDEX($O102:$O125,MATCH($A125,$I102:$I125,0))</f>
        <v>#N/A</v>
      </c>
      <c r="H125" s="417" t="e">
        <f>INDEX($P102:$P125,MATCH($A125,$I102:$I125,0))</f>
        <v>#N/A</v>
      </c>
      <c r="I125" s="338" t="e">
        <f>RANK($K125,$K102:$K125,0)+COUNTIF($K102:$K125,$K125)-1</f>
        <v>#VALUE!</v>
      </c>
      <c r="J125" s="9" t="s">
        <v>694</v>
      </c>
      <c r="K125" s="408" t="str">
        <f>Data!$HY$71</f>
        <v/>
      </c>
      <c r="L125" s="409" t="str">
        <f>IFERROR($K$125/$K$101,"0.0%")</f>
        <v>0.0%</v>
      </c>
      <c r="M125" s="408" t="str">
        <f>Data!$HY$72</f>
        <v/>
      </c>
      <c r="N125" s="409" t="str">
        <f>IFERROR($M$125/$M$101,"0.0%")</f>
        <v>0.0%</v>
      </c>
      <c r="O125" s="408">
        <f>Data!$HY$62</f>
        <v>0</v>
      </c>
      <c r="P125" s="409">
        <f>IFERROR($O$125/$O$101,"0.0%")</f>
        <v>0</v>
      </c>
    </row>
    <row r="126" spans="1:27" x14ac:dyDescent="0.35">
      <c r="B126" s="340" t="str">
        <f>IF(Data!$AO$71="&lt;11",0,Data!$AO$71)</f>
        <v/>
      </c>
      <c r="C126" s="340" t="str">
        <f>IF(Data!$AP$71="&lt;11",0,Data!$AP$71)</f>
        <v/>
      </c>
      <c r="D126" s="340" t="str">
        <f>IF(Data!$AQ$71="&lt;11",0,Data!$AQ$71)</f>
        <v/>
      </c>
      <c r="E126" s="340" t="str">
        <f>IF(Data!$AR$71="&lt;11",0,Data!$AR$71)</f>
        <v/>
      </c>
      <c r="F126" s="340" t="str">
        <f>IF(Data!$AS$71="&lt;11",0,Data!$AS$71)</f>
        <v/>
      </c>
      <c r="G126" s="340" t="str">
        <f>IF(Data!$AT$71="&lt;11",0,Data!$AT$71)</f>
        <v/>
      </c>
      <c r="H126" s="340" t="str">
        <f>IF(Data!$AU$71="&lt;11",0,Data!$AU$71)</f>
        <v/>
      </c>
      <c r="I126" s="340" t="str">
        <f>IF(Data!$AV$71="&lt;11",0,Data!$AV$71)</f>
        <v/>
      </c>
      <c r="J126" s="340" t="str">
        <f>IF(Data!$AW$71="&lt;11",0,Data!$AW$71)</f>
        <v/>
      </c>
      <c r="K126" s="340" t="str">
        <f>IF(Data!$AX$71="&lt;11",0,Data!$AX$71)</f>
        <v/>
      </c>
      <c r="L126" s="340" t="str">
        <f>IF(Data!$AY$71="&lt;11",0,Data!$AY$71)</f>
        <v/>
      </c>
      <c r="M126" s="340" t="str">
        <f>IF(Data!$AZ$71="&lt;11",0,Data!$AZ$71)</f>
        <v/>
      </c>
      <c r="N126" s="340" t="str">
        <f>IF(Data!$BA$71="&lt;11",0,Data!$BA$71)</f>
        <v/>
      </c>
      <c r="O126" s="340" t="str">
        <f>IF(Data!$BB$71="&lt;11",0,Data!$BB$71)</f>
        <v/>
      </c>
      <c r="P126" s="340" t="str">
        <f>IF(Data!$BC$71="&lt;11",0,Data!$BC$71)</f>
        <v/>
      </c>
      <c r="Q126" s="340" t="str">
        <f>IF(Data!$BD$71="&lt;11",0,Data!$BD$71)</f>
        <v/>
      </c>
      <c r="R126" s="340" t="str">
        <f>IF(Data!$BE$71="&lt;11",0,Data!$BE$71)</f>
        <v/>
      </c>
      <c r="S126" s="340" t="str">
        <f>IF(Data!$BF$71="&lt;11",0,Data!$BF$71)</f>
        <v/>
      </c>
      <c r="T126" s="340" t="str">
        <f>IF(Data!$BG$71="&lt;11",0,Data!$BG$71)</f>
        <v/>
      </c>
      <c r="U126" s="627" t="s">
        <v>748</v>
      </c>
    </row>
    <row r="127" spans="1:27" x14ac:dyDescent="0.35">
      <c r="A127" s="619" t="s">
        <v>746</v>
      </c>
      <c r="B127" s="324"/>
      <c r="C127" s="324"/>
      <c r="D127" s="325"/>
      <c r="E127" s="325"/>
      <c r="F127" s="325"/>
      <c r="G127" s="325"/>
      <c r="H127" s="325"/>
      <c r="I127" s="325"/>
      <c r="J127" s="325"/>
      <c r="K127" s="325"/>
      <c r="L127" s="326"/>
      <c r="M127" s="327"/>
    </row>
    <row r="128" spans="1:27" x14ac:dyDescent="0.35">
      <c r="A128" s="328"/>
      <c r="B128" s="329" t="s">
        <v>101</v>
      </c>
      <c r="C128" s="330" t="str">
        <f>COUNTY_SELECT</f>
        <v>County Name</v>
      </c>
      <c r="D128" s="331"/>
      <c r="E128" s="330" t="str">
        <f>Data!$A$71</f>
        <v/>
      </c>
      <c r="F128" s="331"/>
      <c r="G128" s="627" t="s">
        <v>126</v>
      </c>
      <c r="I128" s="627" t="s">
        <v>126</v>
      </c>
      <c r="L128" s="31"/>
      <c r="M128" s="323" t="s">
        <v>101</v>
      </c>
      <c r="N128" s="328" t="str">
        <f>COUNTY_SELECT</f>
        <v>County Name</v>
      </c>
      <c r="O128" s="251" t="s">
        <v>441</v>
      </c>
      <c r="P128" s="332" t="str">
        <f>Data!$A$72</f>
        <v/>
      </c>
      <c r="Q128" s="56" t="s">
        <v>441</v>
      </c>
      <c r="R128" s="333" t="s">
        <v>126</v>
      </c>
      <c r="S128" s="623" t="s">
        <v>441</v>
      </c>
      <c r="U128" s="44"/>
      <c r="V128" s="323" t="s">
        <v>101</v>
      </c>
      <c r="X128" s="341"/>
      <c r="Y128" s="339" t="str">
        <f>Data!$AO$70</f>
        <v>White</v>
      </c>
      <c r="Z128" s="340" t="str">
        <f>IF(Data!$AO$71="&lt;11",0,Data!$AO$71)</f>
        <v/>
      </c>
      <c r="AA128" s="341" t="str">
        <f>Data!$NE$71</f>
        <v/>
      </c>
    </row>
    <row r="129" spans="1:27" x14ac:dyDescent="0.35">
      <c r="A129" s="411"/>
      <c r="B129" s="628"/>
      <c r="C129" s="632" t="s">
        <v>418</v>
      </c>
      <c r="D129" s="416"/>
      <c r="E129" s="632" t="s">
        <v>754</v>
      </c>
      <c r="F129" s="139"/>
      <c r="G129" s="627" t="s">
        <v>418</v>
      </c>
      <c r="I129" s="627" t="s">
        <v>754</v>
      </c>
      <c r="L129" s="31"/>
      <c r="M129" s="31"/>
      <c r="N129" s="31"/>
      <c r="O129" s="251"/>
      <c r="P129" s="56"/>
      <c r="Q129" s="56"/>
      <c r="R129" s="629"/>
      <c r="S129" s="623"/>
      <c r="U129" s="44"/>
      <c r="V129" s="630"/>
      <c r="X129" s="341"/>
      <c r="Y129" s="631"/>
      <c r="Z129" s="340"/>
      <c r="AA129" s="341"/>
    </row>
    <row r="130" spans="1:27" x14ac:dyDescent="0.35">
      <c r="A130" s="328">
        <v>1</v>
      </c>
      <c r="B130" s="19" t="e">
        <f>INDEX($M$130:$M$148,MATCH($A$3,$L$130:$L$148,0))</f>
        <v>#N/A</v>
      </c>
      <c r="C130" s="621" t="e">
        <f t="shared" ref="C130:C148" si="1">IF(INDEX($N$130:$N$148,MATCH($A130,$L$130:$L$148,0))&lt;11,"&lt;11",INDEX($N$130:$N$148,MATCH($A130,$L$130:$L$148,0)))</f>
        <v>#N/A</v>
      </c>
      <c r="D130" s="357" t="e">
        <f>IF($C$130="&lt;11","&lt;11",INDEX($O$130:$O$148,MATCH($A$130,$L$130:$L$148,0)))</f>
        <v>#N/A</v>
      </c>
      <c r="E130" s="621" t="e">
        <f t="shared" ref="E130:E148" si="2">IF(INDEX($K$3:$K$21,MATCH($A130,$L$130:$L$148,0))&lt;11,"&lt;11",INDEX($K$3:$K$21,MATCH($B130,$J$3:$J$21,0)))</f>
        <v>#N/A</v>
      </c>
      <c r="F130" s="357" t="e">
        <f t="shared" ref="F130:F148" si="3">IF(AND(LEFT($K$2,4)="Very",$E130="&lt;11"),"&lt;11",INDEX($L$3:$L$21,MATCH($B130,$J$3:$J$21,0)))</f>
        <v>#N/A</v>
      </c>
      <c r="G130" s="621" t="e">
        <f t="shared" ref="G130:G148" si="4">INDEX($R$130:$R$148,MATCH($A130,$L$130:$L$148,0))</f>
        <v>#N/A</v>
      </c>
      <c r="H130" s="357" t="e">
        <f t="shared" ref="H130:H148" si="5">INDEX($S$130:$S$148,MATCH($A130,$L$130:$L$148,0))</f>
        <v>#N/A</v>
      </c>
      <c r="I130" s="621" t="e">
        <f>INDEX($O$3:$O$21,MATCH($B$130,$J$3:$J$21,0))</f>
        <v>#N/A</v>
      </c>
      <c r="J130" s="357" t="e">
        <f t="shared" ref="J130:J148" si="6">INDEX($P$3:$P$21,MATCH($B130,$J$3:$J$21,0))</f>
        <v>#N/A</v>
      </c>
      <c r="K130" s="417"/>
      <c r="L130" s="338" t="e">
        <f>RANK($N$130,$N$130:$N$148,0)+COUNTIF($N$130:$N$130,$N$130)-1</f>
        <v>#VALUE!</v>
      </c>
      <c r="M130" s="44" t="s">
        <v>82</v>
      </c>
      <c r="N130" s="621" t="str">
        <f>IF(Data!$HZ$71="&lt;11",0,Data!$HZ$71)</f>
        <v/>
      </c>
      <c r="O130" s="343" t="str">
        <f>Data!$QL$71</f>
        <v/>
      </c>
      <c r="P130" s="621" t="str">
        <f>IF(Data!$HZ$72="&lt;11",0,Data!$HZ$72)</f>
        <v/>
      </c>
      <c r="Q130" s="343" t="str">
        <f>Data!$QL$72</f>
        <v/>
      </c>
      <c r="R130" s="621">
        <f>Data!$HZ$62</f>
        <v>5841</v>
      </c>
      <c r="S130" s="343">
        <f>Data!$QL$62</f>
        <v>0.26800000000000002</v>
      </c>
      <c r="U130" s="44"/>
      <c r="V130" s="339" t="str">
        <f>Data!$AO$70</f>
        <v>White</v>
      </c>
      <c r="W130" s="340" t="str">
        <f>IF(Data!$AO$71="&lt;11",0,Data!$AO$71)</f>
        <v/>
      </c>
      <c r="X130" s="341"/>
      <c r="Y130" s="339" t="str">
        <f>Data!$AP$70</f>
        <v>Hispanic</v>
      </c>
      <c r="Z130" s="340" t="str">
        <f>IF(Data!$AP$71="&lt;11",0,Data!$AP$71)</f>
        <v/>
      </c>
      <c r="AA130" s="341" t="str">
        <f>Data!$NF$71</f>
        <v/>
      </c>
    </row>
    <row r="131" spans="1:27" x14ac:dyDescent="0.35">
      <c r="A131" s="328">
        <v>2</v>
      </c>
      <c r="B131" s="19" t="e">
        <f>INDEX($M$130:$M$148,MATCH($A$4,$L$130:$L$148,0))</f>
        <v>#N/A</v>
      </c>
      <c r="C131" s="621" t="e">
        <f t="shared" si="1"/>
        <v>#N/A</v>
      </c>
      <c r="D131" s="357" t="e">
        <f>IF($C$131="&lt;11","&lt;11",INDEX($O$130:$O$148,MATCH($A$131,$L$130:$L$148,0)))</f>
        <v>#N/A</v>
      </c>
      <c r="E131" s="621" t="e">
        <f t="shared" si="2"/>
        <v>#N/A</v>
      </c>
      <c r="F131" s="357" t="e">
        <f t="shared" si="3"/>
        <v>#N/A</v>
      </c>
      <c r="G131" s="621" t="e">
        <f t="shared" si="4"/>
        <v>#N/A</v>
      </c>
      <c r="H131" s="357" t="e">
        <f t="shared" si="5"/>
        <v>#N/A</v>
      </c>
      <c r="I131" s="621" t="e">
        <f t="shared" ref="I131:I148" si="7">INDEX($O$3:$O$21,MATCH($B131,$J$3:$J$21,0))</f>
        <v>#N/A</v>
      </c>
      <c r="J131" s="357" t="e">
        <f t="shared" si="6"/>
        <v>#N/A</v>
      </c>
      <c r="K131" s="417"/>
      <c r="L131" s="338" t="e">
        <f>RANK($N$131,$N$130:$N$148,0)+COUNTIF($N$130:$N$131,$N$131)-1</f>
        <v>#VALUE!</v>
      </c>
      <c r="M131" s="44" t="s">
        <v>83</v>
      </c>
      <c r="N131" s="621" t="str">
        <f>IF(Data!$IA$71="&lt;11",0,Data!$IA$71)</f>
        <v/>
      </c>
      <c r="O131" s="343" t="str">
        <f>Data!$QM$71</f>
        <v/>
      </c>
      <c r="P131" s="621" t="str">
        <f>IF(Data!$IA$72="&lt;11",0,Data!$IA$72)</f>
        <v/>
      </c>
      <c r="Q131" s="343" t="str">
        <f>Data!$QM$72</f>
        <v/>
      </c>
      <c r="R131" s="621">
        <f>Data!$IA$62</f>
        <v>7803</v>
      </c>
      <c r="S131" s="343">
        <f>Data!$QM$62</f>
        <v>0.35699999999999998</v>
      </c>
      <c r="U131" s="44"/>
      <c r="V131" s="339" t="str">
        <f>Data!$AP$70</f>
        <v>Hispanic</v>
      </c>
      <c r="W131" s="340" t="str">
        <f>IF(Data!$AP$71="&lt;11",0,Data!$AP$71)</f>
        <v/>
      </c>
      <c r="X131" s="341"/>
      <c r="Y131" s="339" t="str">
        <f>Data!$AQ$70</f>
        <v>Black</v>
      </c>
      <c r="Z131" s="340" t="str">
        <f>IF(Data!$AQ$71="&lt;11",0,Data!$AQ$71)</f>
        <v/>
      </c>
      <c r="AA131" s="341" t="str">
        <f>Data!$NG$71</f>
        <v/>
      </c>
    </row>
    <row r="132" spans="1:27" x14ac:dyDescent="0.35">
      <c r="A132" s="328">
        <v>3</v>
      </c>
      <c r="B132" s="19" t="e">
        <f>INDEX($M$130:$M$148,MATCH($A$5,$L$130:$L$148,0))</f>
        <v>#N/A</v>
      </c>
      <c r="C132" s="621" t="e">
        <f t="shared" si="1"/>
        <v>#N/A</v>
      </c>
      <c r="D132" s="357" t="e">
        <f>IF($C$132="&lt;11","&lt;11",INDEX($O$130:$O$148,MATCH($A$132,$L$130:$L$148,0)))</f>
        <v>#N/A</v>
      </c>
      <c r="E132" s="621" t="e">
        <f t="shared" si="2"/>
        <v>#N/A</v>
      </c>
      <c r="F132" s="357" t="e">
        <f t="shared" si="3"/>
        <v>#N/A</v>
      </c>
      <c r="G132" s="621" t="e">
        <f t="shared" si="4"/>
        <v>#N/A</v>
      </c>
      <c r="H132" s="357" t="e">
        <f t="shared" si="5"/>
        <v>#N/A</v>
      </c>
      <c r="I132" s="621" t="e">
        <f t="shared" si="7"/>
        <v>#N/A</v>
      </c>
      <c r="J132" s="357" t="e">
        <f t="shared" si="6"/>
        <v>#N/A</v>
      </c>
      <c r="K132" s="417"/>
      <c r="L132" s="338" t="e">
        <f>RANK($N$132,$N$130:$N$148,0)+COUNTIF($N$130:$N$132,$N$132)-1</f>
        <v>#VALUE!</v>
      </c>
      <c r="M132" s="44" t="s">
        <v>129</v>
      </c>
      <c r="N132" s="621" t="str">
        <f>IF(Data!$IB$71="&lt;11",0,Data!$IB$71)</f>
        <v/>
      </c>
      <c r="O132" s="343" t="str">
        <f>Data!$QN$71</f>
        <v/>
      </c>
      <c r="P132" s="621" t="str">
        <f>IF(Data!$IB$72="&lt;11",0,Data!$IB$72)</f>
        <v/>
      </c>
      <c r="Q132" s="343" t="str">
        <f>Data!$QN$72</f>
        <v/>
      </c>
      <c r="R132" s="621">
        <f>Data!$IB$62</f>
        <v>2901</v>
      </c>
      <c r="S132" s="343">
        <f>Data!$QN$62</f>
        <v>0.13300000000000001</v>
      </c>
      <c r="U132" s="44"/>
      <c r="V132" s="339" t="str">
        <f>Data!$AQ$70</f>
        <v>Black</v>
      </c>
      <c r="W132" s="340" t="str">
        <f>IF(Data!$AQ$71="&lt;11",0,Data!$AQ$71)</f>
        <v/>
      </c>
      <c r="X132" s="341"/>
      <c r="Y132" s="339" t="str">
        <f>Data!$AR$70</f>
        <v>Asian or Pacific Islander</v>
      </c>
      <c r="Z132" s="340" t="str">
        <f>IF(Data!$AR$71="&lt;11",0,Data!$AR$71)</f>
        <v/>
      </c>
      <c r="AA132" s="341" t="str">
        <f>Data!$NH$71</f>
        <v/>
      </c>
    </row>
    <row r="133" spans="1:27" x14ac:dyDescent="0.35">
      <c r="A133" s="328">
        <v>4</v>
      </c>
      <c r="B133" s="19" t="e">
        <f>INDEX($M$130:$M$148,MATCH($A$6,$L$130:$L$148,0))</f>
        <v>#N/A</v>
      </c>
      <c r="C133" s="621" t="e">
        <f t="shared" si="1"/>
        <v>#N/A</v>
      </c>
      <c r="D133" s="357" t="e">
        <f>IF($C$133="&lt;11","&lt;11",INDEX($O$130:$O$148,MATCH($A$133,$L$130:$L$148,0)))</f>
        <v>#N/A</v>
      </c>
      <c r="E133" s="621" t="e">
        <f t="shared" si="2"/>
        <v>#N/A</v>
      </c>
      <c r="F133" s="357" t="e">
        <f t="shared" si="3"/>
        <v>#N/A</v>
      </c>
      <c r="G133" s="621" t="e">
        <f t="shared" si="4"/>
        <v>#N/A</v>
      </c>
      <c r="H133" s="357" t="e">
        <f t="shared" si="5"/>
        <v>#N/A</v>
      </c>
      <c r="I133" s="621" t="e">
        <f t="shared" si="7"/>
        <v>#N/A</v>
      </c>
      <c r="J133" s="357" t="e">
        <f t="shared" si="6"/>
        <v>#N/A</v>
      </c>
      <c r="K133" s="417"/>
      <c r="L133" s="338" t="e">
        <f>RANK($N$133,$N$130:$N$148,0)+COUNTIF($N$130:$N$133,$N$133)-1</f>
        <v>#VALUE!</v>
      </c>
      <c r="M133" s="44" t="s">
        <v>84</v>
      </c>
      <c r="N133" s="621" t="str">
        <f>IF(Data!$IC$71="&lt;11",0,Data!$IC$71)</f>
        <v/>
      </c>
      <c r="O133" s="343" t="str">
        <f>Data!$QO$71</f>
        <v/>
      </c>
      <c r="P133" s="621" t="str">
        <f>IF(Data!$IC$72="&lt;11",0,Data!$IC$72)</f>
        <v/>
      </c>
      <c r="Q133" s="343" t="str">
        <f>Data!$QO$72</f>
        <v/>
      </c>
      <c r="R133" s="621">
        <f>Data!$IC$62</f>
        <v>449</v>
      </c>
      <c r="S133" s="343">
        <f>Data!$QO$62</f>
        <v>2.1000000000000001E-2</v>
      </c>
      <c r="U133" s="44"/>
      <c r="V133" s="339" t="str">
        <f>Data!$AR$70</f>
        <v>Asian or Pacific Islander</v>
      </c>
      <c r="W133" s="340" t="str">
        <f>IF(Data!$AR$71="&lt;11",0,Data!$AR$71)</f>
        <v/>
      </c>
      <c r="X133" s="341"/>
      <c r="Y133" s="339" t="str">
        <f>Data!$AS$70</f>
        <v>Alaskan Native or American Indian</v>
      </c>
      <c r="Z133" s="340" t="str">
        <f>IF(Data!$AS$71="&lt;11",0,Data!$AS$71)</f>
        <v/>
      </c>
      <c r="AA133" s="341" t="str">
        <f>Data!$NI$71</f>
        <v/>
      </c>
    </row>
    <row r="134" spans="1:27" x14ac:dyDescent="0.35">
      <c r="A134" s="328">
        <v>5</v>
      </c>
      <c r="B134" s="19" t="e">
        <f>INDEX($M$130:$M$148,MATCH($A$7,$L$130:$L$148,0))</f>
        <v>#N/A</v>
      </c>
      <c r="C134" s="621" t="e">
        <f t="shared" si="1"/>
        <v>#N/A</v>
      </c>
      <c r="D134" s="357" t="e">
        <f>IF($C$134="&lt;11","&lt;11",INDEX($O$130:$O$148,MATCH($A$134,$L$130:$L$148,0)))</f>
        <v>#N/A</v>
      </c>
      <c r="E134" s="621" t="e">
        <f t="shared" si="2"/>
        <v>#N/A</v>
      </c>
      <c r="F134" s="357" t="e">
        <f t="shared" si="3"/>
        <v>#N/A</v>
      </c>
      <c r="G134" s="621" t="e">
        <f t="shared" si="4"/>
        <v>#N/A</v>
      </c>
      <c r="H134" s="357" t="e">
        <f t="shared" si="5"/>
        <v>#N/A</v>
      </c>
      <c r="I134" s="621" t="e">
        <f t="shared" si="7"/>
        <v>#N/A</v>
      </c>
      <c r="J134" s="357" t="e">
        <f t="shared" si="6"/>
        <v>#N/A</v>
      </c>
      <c r="K134" s="417"/>
      <c r="L134" s="338" t="e">
        <f>RANK($N$134,$N$130:$N$148,0)+COUNTIF($N$130:$N$134,$N$134)-1</f>
        <v>#VALUE!</v>
      </c>
      <c r="M134" s="44" t="s">
        <v>85</v>
      </c>
      <c r="N134" s="621" t="str">
        <f>IF(Data!$ID$71="&lt;11",0,Data!$ID$71)</f>
        <v/>
      </c>
      <c r="O134" s="343" t="str">
        <f>Data!$QP$71</f>
        <v/>
      </c>
      <c r="P134" s="621" t="str">
        <f>IF(Data!$ID$72="&lt;11",0,Data!$ID$72)</f>
        <v/>
      </c>
      <c r="Q134" s="343" t="str">
        <f>Data!$QP$72</f>
        <v/>
      </c>
      <c r="R134" s="621">
        <f>Data!$ID$62</f>
        <v>121</v>
      </c>
      <c r="S134" s="343">
        <f>Data!$QP$62</f>
        <v>6.0000000000000001E-3</v>
      </c>
      <c r="U134" s="44"/>
      <c r="V134" s="339" t="str">
        <f>Data!$AS$70</f>
        <v>Alaskan Native or American Indian</v>
      </c>
      <c r="W134" s="340" t="str">
        <f>IF(Data!$AS$71="&lt;11",0,Data!$AS$71)</f>
        <v/>
      </c>
      <c r="X134" s="341"/>
      <c r="Y134" s="339" t="str">
        <f>Data!$AT$70</f>
        <v>Filipino</v>
      </c>
      <c r="Z134" s="340" t="str">
        <f>IF(Data!$AT$71="&lt;11",0,Data!$AT$71)</f>
        <v/>
      </c>
      <c r="AA134" s="341" t="str">
        <f>Data!$NJ$71</f>
        <v/>
      </c>
    </row>
    <row r="135" spans="1:27" x14ac:dyDescent="0.35">
      <c r="A135" s="328">
        <v>6</v>
      </c>
      <c r="B135" s="19" t="e">
        <f>INDEX($M$130:$M$148,MATCH($A$8,$L$130:$L$148,0))</f>
        <v>#N/A</v>
      </c>
      <c r="C135" s="621" t="e">
        <f t="shared" si="1"/>
        <v>#N/A</v>
      </c>
      <c r="D135" s="357" t="e">
        <f>IF($C$135="&lt;11","&lt;11",INDEX($O$130:$O$148,MATCH($A$135,$L$130:$L$148,0)))</f>
        <v>#N/A</v>
      </c>
      <c r="E135" s="621" t="e">
        <f t="shared" si="2"/>
        <v>#N/A</v>
      </c>
      <c r="F135" s="357" t="e">
        <f t="shared" si="3"/>
        <v>#N/A</v>
      </c>
      <c r="G135" s="621" t="e">
        <f t="shared" si="4"/>
        <v>#N/A</v>
      </c>
      <c r="H135" s="357" t="e">
        <f t="shared" si="5"/>
        <v>#N/A</v>
      </c>
      <c r="I135" s="621" t="e">
        <f t="shared" si="7"/>
        <v>#N/A</v>
      </c>
      <c r="J135" s="357" t="e">
        <f t="shared" si="6"/>
        <v>#N/A</v>
      </c>
      <c r="K135" s="417"/>
      <c r="L135" s="338" t="e">
        <f>RANK($N$135,$N$130:$N$148,0)+COUNTIF($N$130:$N$135,$N$135)-1</f>
        <v>#VALUE!</v>
      </c>
      <c r="M135" s="44" t="s">
        <v>86</v>
      </c>
      <c r="N135" s="621" t="str">
        <f>IF(Data!$IE$71="&lt;11",0,Data!$IE$71)</f>
        <v/>
      </c>
      <c r="O135" s="343" t="str">
        <f>Data!$QQ$71</f>
        <v/>
      </c>
      <c r="P135" s="621" t="str">
        <f>IF(Data!$IE$72="&lt;11",0,Data!$IE$72)</f>
        <v/>
      </c>
      <c r="Q135" s="343" t="str">
        <f>Data!$QQ$72</f>
        <v/>
      </c>
      <c r="R135" s="621">
        <f>Data!$IE$62</f>
        <v>597</v>
      </c>
      <c r="S135" s="343">
        <f>Data!$QQ$62</f>
        <v>2.7E-2</v>
      </c>
      <c r="U135" s="44"/>
      <c r="V135" s="339" t="str">
        <f>Data!$AT$70</f>
        <v>Filipino</v>
      </c>
      <c r="W135" s="340" t="str">
        <f>IF(Data!$AT$71="&lt;11",0,Data!$AT$71)</f>
        <v/>
      </c>
      <c r="X135" s="341"/>
      <c r="Y135" s="339" t="s">
        <v>381</v>
      </c>
      <c r="Z135" s="340" t="str">
        <f>IF(Data!$AU$71="&lt;11",0,Data!$AU$71)</f>
        <v/>
      </c>
      <c r="AA135" s="341" t="str">
        <f>IFERROR(Data!$NK$71,"&lt;11")</f>
        <v/>
      </c>
    </row>
    <row r="136" spans="1:27" x14ac:dyDescent="0.35">
      <c r="A136" s="328">
        <v>7</v>
      </c>
      <c r="B136" s="19" t="e">
        <f>INDEX($M$130:$M$148,MATCH($A$9,$L$130:$L$148,0))</f>
        <v>#N/A</v>
      </c>
      <c r="C136" s="621" t="e">
        <f t="shared" si="1"/>
        <v>#N/A</v>
      </c>
      <c r="D136" s="357" t="e">
        <f>IF($C$136="&lt;11","&lt;11",INDEX($O$130:$O$148,MATCH($A$136,$L$130:$L$148,0)))</f>
        <v>#N/A</v>
      </c>
      <c r="E136" s="621" t="e">
        <f t="shared" si="2"/>
        <v>#N/A</v>
      </c>
      <c r="F136" s="357" t="e">
        <f t="shared" si="3"/>
        <v>#N/A</v>
      </c>
      <c r="G136" s="621" t="e">
        <f t="shared" si="4"/>
        <v>#N/A</v>
      </c>
      <c r="H136" s="357" t="e">
        <f t="shared" si="5"/>
        <v>#N/A</v>
      </c>
      <c r="I136" s="621" t="e">
        <f t="shared" si="7"/>
        <v>#N/A</v>
      </c>
      <c r="J136" s="357" t="e">
        <f t="shared" si="6"/>
        <v>#N/A</v>
      </c>
      <c r="K136" s="417"/>
      <c r="L136" s="338" t="e">
        <f>RANK($N$136,$N$130:$N$148,0)+COUNTIF($N$130:$N$136,$N$136)-1</f>
        <v>#VALUE!</v>
      </c>
      <c r="M136" s="44" t="s">
        <v>381</v>
      </c>
      <c r="N136" s="621" t="str">
        <f>IF(Data!$IF$71="&lt;11",0,Data!$IF$71)</f>
        <v/>
      </c>
      <c r="O136" s="343" t="str">
        <f>Data!$QR$71</f>
        <v/>
      </c>
      <c r="P136" s="621" t="str">
        <f>IF(Data!$IF$72="&lt;11",0,Data!$IF$72)</f>
        <v/>
      </c>
      <c r="Q136" s="343" t="str">
        <f>Data!$QR$72</f>
        <v/>
      </c>
      <c r="R136" s="621">
        <f>Data!$IF$62</f>
        <v>1024</v>
      </c>
      <c r="S136" s="343">
        <f>Data!$QR$62</f>
        <v>4.7E-2</v>
      </c>
      <c r="U136" s="44"/>
      <c r="V136" s="339" t="str">
        <f>Data!$AU$70</f>
        <v>No Valid Data Reported</v>
      </c>
      <c r="W136" s="340" t="str">
        <f>IF(Data!$AU$71="&lt;11",0,Data!$AU$71)</f>
        <v/>
      </c>
      <c r="X136" s="341"/>
      <c r="Y136" s="339" t="str">
        <f>Data!$AV$70</f>
        <v>Amerasian</v>
      </c>
      <c r="Z136" s="340" t="str">
        <f>IF(Data!$AV$71="&lt;11",0,Data!$AV$71)</f>
        <v/>
      </c>
      <c r="AA136" s="341" t="str">
        <f>Data!$NL$71</f>
        <v/>
      </c>
    </row>
    <row r="137" spans="1:27" x14ac:dyDescent="0.35">
      <c r="A137" s="328">
        <v>8</v>
      </c>
      <c r="B137" s="19" t="e">
        <f>INDEX($M$130:$M$148,MATCH($A$10,$L$130:$L$148,0))</f>
        <v>#N/A</v>
      </c>
      <c r="C137" s="621" t="e">
        <f t="shared" si="1"/>
        <v>#N/A</v>
      </c>
      <c r="D137" s="357" t="e">
        <f>IF($C$137="&lt;11","&lt;11",INDEX($O$130:$O$148,MATCH($A$137,$L$130:$L$148,0)))</f>
        <v>#N/A</v>
      </c>
      <c r="E137" s="621" t="e">
        <f t="shared" si="2"/>
        <v>#N/A</v>
      </c>
      <c r="F137" s="357" t="e">
        <f t="shared" si="3"/>
        <v>#N/A</v>
      </c>
      <c r="G137" s="621" t="e">
        <f t="shared" si="4"/>
        <v>#N/A</v>
      </c>
      <c r="H137" s="357" t="e">
        <f t="shared" si="5"/>
        <v>#N/A</v>
      </c>
      <c r="I137" s="621" t="e">
        <f t="shared" si="7"/>
        <v>#N/A</v>
      </c>
      <c r="J137" s="357" t="e">
        <f t="shared" si="6"/>
        <v>#N/A</v>
      </c>
      <c r="K137" s="417"/>
      <c r="L137" s="338" t="e">
        <f>RANK($N$137,$N$130:$N$148,0)+COUNTIF($N$130:$N$137,$N$137)-1</f>
        <v>#VALUE!</v>
      </c>
      <c r="M137" s="44" t="s">
        <v>88</v>
      </c>
      <c r="N137" s="621" t="str">
        <f>IF(Data!$IG$71="&lt;11",0,Data!$IG$71)</f>
        <v/>
      </c>
      <c r="O137" s="343" t="str">
        <f>Data!$QS$71</f>
        <v/>
      </c>
      <c r="P137" s="621" t="str">
        <f>IF(Data!$IG$72="&lt;11",0,Data!$IG$72)</f>
        <v/>
      </c>
      <c r="Q137" s="343" t="str">
        <f>Data!$QS$72</f>
        <v/>
      </c>
      <c r="R137" s="621">
        <f>Data!$IG$62</f>
        <v>8</v>
      </c>
      <c r="S137" s="343">
        <f>Data!$QS$62</f>
        <v>0</v>
      </c>
      <c r="U137" s="44"/>
      <c r="V137" s="339" t="str">
        <f>Data!$AV$70</f>
        <v>Amerasian</v>
      </c>
      <c r="W137" s="340" t="str">
        <f>IF(Data!$AV$71="&lt;11",0,Data!$AV$71)</f>
        <v/>
      </c>
      <c r="X137" s="341"/>
      <c r="Y137" s="339" t="str">
        <f>Data!$AW$70</f>
        <v>Chinese</v>
      </c>
      <c r="Z137" s="340" t="str">
        <f>IF(Data!$AW$71="&lt;11",0,Data!$AW$71)</f>
        <v/>
      </c>
      <c r="AA137" s="341" t="str">
        <f>Data!$NM$71</f>
        <v/>
      </c>
    </row>
    <row r="138" spans="1:27" x14ac:dyDescent="0.35">
      <c r="A138" s="328">
        <v>9</v>
      </c>
      <c r="B138" s="19" t="e">
        <f>INDEX($M$130:$M$148,MATCH($A$11,$L$130:$L$148,0))</f>
        <v>#N/A</v>
      </c>
      <c r="C138" s="621" t="e">
        <f t="shared" si="1"/>
        <v>#N/A</v>
      </c>
      <c r="D138" s="357" t="e">
        <f>IF($C$138="&lt;11","&lt;11",INDEX($O$130:$O$148,MATCH($A$138,$L$130:$L$148,0)))</f>
        <v>#N/A</v>
      </c>
      <c r="E138" s="621" t="e">
        <f t="shared" si="2"/>
        <v>#N/A</v>
      </c>
      <c r="F138" s="357" t="e">
        <f t="shared" si="3"/>
        <v>#N/A</v>
      </c>
      <c r="G138" s="621" t="e">
        <f t="shared" si="4"/>
        <v>#N/A</v>
      </c>
      <c r="H138" s="357" t="e">
        <f t="shared" si="5"/>
        <v>#N/A</v>
      </c>
      <c r="I138" s="621" t="e">
        <f t="shared" si="7"/>
        <v>#N/A</v>
      </c>
      <c r="J138" s="357" t="e">
        <f t="shared" si="6"/>
        <v>#N/A</v>
      </c>
      <c r="K138" s="417"/>
      <c r="L138" s="338" t="e">
        <f>RANK($N$138,$N$130:$N$148,0)+COUNTIF($N$130:$N$138,$N$138)-1</f>
        <v>#VALUE!</v>
      </c>
      <c r="M138" s="44" t="s">
        <v>89</v>
      </c>
      <c r="N138" s="621" t="str">
        <f>IF(Data!$IH$71="&lt;11",0,Data!$IH$71)</f>
        <v/>
      </c>
      <c r="O138" s="343" t="str">
        <f>Data!$QT$71</f>
        <v/>
      </c>
      <c r="P138" s="621" t="str">
        <f>IF(Data!$IH$72="&lt;11",0,Data!$IH$72)</f>
        <v/>
      </c>
      <c r="Q138" s="343" t="str">
        <f>Data!$QT$72</f>
        <v/>
      </c>
      <c r="R138" s="621">
        <f>Data!$IH$62</f>
        <v>606</v>
      </c>
      <c r="S138" s="343">
        <f>Data!$QT$62</f>
        <v>2.8000000000000001E-2</v>
      </c>
      <c r="U138" s="44"/>
      <c r="V138" s="339" t="str">
        <f>Data!$AW$70</f>
        <v>Chinese</v>
      </c>
      <c r="W138" s="340" t="str">
        <f>IF(Data!$AW$71="&lt;11",0,Data!$AW$71)</f>
        <v/>
      </c>
      <c r="X138" s="341"/>
      <c r="Y138" s="339" t="str">
        <f>Data!$AX$70</f>
        <v>Cambodian</v>
      </c>
      <c r="Z138" s="340" t="str">
        <f>IF(Data!$AX$71="&lt;11",0,Data!$AX$71)</f>
        <v/>
      </c>
      <c r="AA138" s="341" t="str">
        <f>Data!$NN$71</f>
        <v/>
      </c>
    </row>
    <row r="139" spans="1:27" x14ac:dyDescent="0.35">
      <c r="A139" s="328">
        <v>10</v>
      </c>
      <c r="B139" s="19" t="e">
        <f>INDEX($M$130:$M$148,MATCH($A$12,$L$130:$L$148,0))</f>
        <v>#N/A</v>
      </c>
      <c r="C139" s="621" t="e">
        <f t="shared" si="1"/>
        <v>#N/A</v>
      </c>
      <c r="D139" s="357" t="e">
        <f>IF($C$139="&lt;11","&lt;11",INDEX($O$130:$O$148,MATCH($A$139,$L$130:$L$148,0)))</f>
        <v>#N/A</v>
      </c>
      <c r="E139" s="621" t="e">
        <f t="shared" si="2"/>
        <v>#N/A</v>
      </c>
      <c r="F139" s="357" t="e">
        <f t="shared" si="3"/>
        <v>#N/A</v>
      </c>
      <c r="G139" s="621" t="e">
        <f t="shared" si="4"/>
        <v>#N/A</v>
      </c>
      <c r="H139" s="357" t="e">
        <f t="shared" si="5"/>
        <v>#N/A</v>
      </c>
      <c r="I139" s="621" t="e">
        <f t="shared" si="7"/>
        <v>#N/A</v>
      </c>
      <c r="J139" s="357" t="e">
        <f t="shared" si="6"/>
        <v>#N/A</v>
      </c>
      <c r="K139" s="417"/>
      <c r="L139" s="338" t="e">
        <f>RANK($N$139,$N$130:$N$148,0)+COUNTIF($N$130:$N$139,$N$139)-1</f>
        <v>#VALUE!</v>
      </c>
      <c r="M139" s="44" t="s">
        <v>90</v>
      </c>
      <c r="N139" s="621" t="str">
        <f>IF(Data!$II$71="&lt;11",0,Data!$II$71)</f>
        <v/>
      </c>
      <c r="O139" s="343" t="str">
        <f>Data!$QU$71</f>
        <v/>
      </c>
      <c r="P139" s="621" t="str">
        <f>IF(Data!$II$72="&lt;11",0,Data!$II$72)</f>
        <v/>
      </c>
      <c r="Q139" s="343" t="str">
        <f>Data!$QU$72</f>
        <v/>
      </c>
      <c r="R139" s="621">
        <f>Data!$II$62</f>
        <v>85</v>
      </c>
      <c r="S139" s="343">
        <f>Data!$QU$62</f>
        <v>4.0000000000000001E-3</v>
      </c>
      <c r="U139" s="44"/>
      <c r="V139" s="339" t="str">
        <f>Data!$AX$70</f>
        <v>Cambodian</v>
      </c>
      <c r="W139" s="340" t="str">
        <f>IF(Data!$AX$71="&lt;11",0,Data!$AX$71)</f>
        <v/>
      </c>
      <c r="X139" s="341"/>
      <c r="Y139" s="339" t="str">
        <f>Data!$AY$70</f>
        <v>Japanese</v>
      </c>
      <c r="Z139" s="340" t="str">
        <f>IF(Data!$AY$71="&lt;11",0,Data!$AY$71)</f>
        <v/>
      </c>
      <c r="AA139" s="341" t="str">
        <f>Data!$NO$71</f>
        <v/>
      </c>
    </row>
    <row r="140" spans="1:27" x14ac:dyDescent="0.35">
      <c r="A140" s="328">
        <v>11</v>
      </c>
      <c r="B140" s="19" t="e">
        <f>INDEX($M$130:$M$148,MATCH($A$13,$L$130:$L$148,0))</f>
        <v>#N/A</v>
      </c>
      <c r="C140" s="621" t="e">
        <f t="shared" si="1"/>
        <v>#N/A</v>
      </c>
      <c r="D140" s="357" t="e">
        <f>IF($C$140="&lt;11","&lt;11",INDEX($O$130:$O$148,MATCH($A$140,$L$130:$L$148,0)))</f>
        <v>#N/A</v>
      </c>
      <c r="E140" s="621" t="e">
        <f t="shared" si="2"/>
        <v>#N/A</v>
      </c>
      <c r="F140" s="357" t="e">
        <f t="shared" si="3"/>
        <v>#N/A</v>
      </c>
      <c r="G140" s="621" t="e">
        <f t="shared" si="4"/>
        <v>#N/A</v>
      </c>
      <c r="H140" s="357" t="e">
        <f t="shared" si="5"/>
        <v>#N/A</v>
      </c>
      <c r="I140" s="621" t="e">
        <f t="shared" si="7"/>
        <v>#N/A</v>
      </c>
      <c r="J140" s="357" t="e">
        <f t="shared" si="6"/>
        <v>#N/A</v>
      </c>
      <c r="K140" s="417"/>
      <c r="L140" s="338" t="e">
        <f>RANK($N$140,$N$130:$N$148,0)+COUNTIF($N$130:$N$140,$N$140)-1</f>
        <v>#VALUE!</v>
      </c>
      <c r="M140" s="44" t="s">
        <v>91</v>
      </c>
      <c r="N140" s="621" t="str">
        <f>IF(Data!$IJ$71="&lt;11",0,Data!$IJ$71)</f>
        <v/>
      </c>
      <c r="O140" s="343" t="str">
        <f>Data!$QV$71</f>
        <v/>
      </c>
      <c r="P140" s="621" t="str">
        <f>IF(Data!$IJ$72="&lt;11",0,Data!$IJ$72)</f>
        <v/>
      </c>
      <c r="Q140" s="343" t="str">
        <f>Data!$QV$72</f>
        <v/>
      </c>
      <c r="R140" s="621">
        <f>Data!$IJ$62</f>
        <v>42</v>
      </c>
      <c r="S140" s="343">
        <f>Data!$QV$62</f>
        <v>2E-3</v>
      </c>
      <c r="U140" s="44"/>
      <c r="V140" s="339" t="str">
        <f>Data!$AY$70</f>
        <v>Japanese</v>
      </c>
      <c r="W140" s="340" t="str">
        <f>IF(Data!$AY$71="&lt;11",0,Data!$AY$71)</f>
        <v/>
      </c>
      <c r="X140" s="341"/>
      <c r="Y140" s="339" t="str">
        <f>Data!$AZ$70</f>
        <v>Korean</v>
      </c>
      <c r="Z140" s="340" t="str">
        <f>IF(Data!$AZ$71="&lt;11",0,Data!$AZ$71)</f>
        <v/>
      </c>
      <c r="AA140" s="341" t="str">
        <f>Data!$NP$71</f>
        <v/>
      </c>
    </row>
    <row r="141" spans="1:27" x14ac:dyDescent="0.35">
      <c r="A141" s="328">
        <v>12</v>
      </c>
      <c r="B141" s="19" t="e">
        <f>INDEX($M$130:$M$148,MATCH($A$14,$L$130:$L$148,0))</f>
        <v>#N/A</v>
      </c>
      <c r="C141" s="621" t="e">
        <f t="shared" si="1"/>
        <v>#N/A</v>
      </c>
      <c r="D141" s="357" t="e">
        <f>IF($C$141="&lt;11","&lt;11",INDEX($O$130:$O$148,MATCH($A$141,$L$130:$L$148,0)))</f>
        <v>#N/A</v>
      </c>
      <c r="E141" s="621" t="e">
        <f t="shared" si="2"/>
        <v>#N/A</v>
      </c>
      <c r="F141" s="357" t="e">
        <f t="shared" si="3"/>
        <v>#N/A</v>
      </c>
      <c r="G141" s="621" t="e">
        <f t="shared" si="4"/>
        <v>#N/A</v>
      </c>
      <c r="H141" s="357" t="e">
        <f t="shared" si="5"/>
        <v>#N/A</v>
      </c>
      <c r="I141" s="621" t="e">
        <f t="shared" si="7"/>
        <v>#N/A</v>
      </c>
      <c r="J141" s="357" t="e">
        <f t="shared" si="6"/>
        <v>#N/A</v>
      </c>
      <c r="K141" s="417"/>
      <c r="L141" s="338" t="e">
        <f>RANK($N$141,$N$130:$N$148,0)+COUNTIF($N$130:$N$141,$N$141)-1</f>
        <v>#VALUE!</v>
      </c>
      <c r="M141" s="44" t="s">
        <v>92</v>
      </c>
      <c r="N141" s="621" t="str">
        <f>IF(Data!$IK$71="&lt;11",0,Data!$IK$71)</f>
        <v/>
      </c>
      <c r="O141" s="343" t="str">
        <f>Data!$QW$71</f>
        <v/>
      </c>
      <c r="P141" s="621" t="str">
        <f>IF(Data!$IK$72="&lt;11",0,Data!$IK$72)</f>
        <v/>
      </c>
      <c r="Q141" s="343" t="str">
        <f>Data!$QW$72</f>
        <v/>
      </c>
      <c r="R141" s="621">
        <f>Data!$IK$62</f>
        <v>240</v>
      </c>
      <c r="S141" s="343">
        <f>Data!$QW$62</f>
        <v>1.0999999999999999E-2</v>
      </c>
      <c r="U141" s="44"/>
      <c r="V141" s="339" t="str">
        <f>Data!$AZ$70</f>
        <v>Korean</v>
      </c>
      <c r="W141" s="340" t="str">
        <f>IF(Data!$AZ$71="&lt;11",0,Data!$AZ$71)</f>
        <v/>
      </c>
      <c r="X141" s="341"/>
      <c r="Y141" s="339" t="str">
        <f>Data!$BA$70</f>
        <v>Samoan</v>
      </c>
      <c r="Z141" s="340" t="str">
        <f>IF(Data!$BA$71="&lt;11",0,Data!$BA$71)</f>
        <v/>
      </c>
      <c r="AA141" s="341" t="str">
        <f>Data!$NQ$71</f>
        <v/>
      </c>
    </row>
    <row r="142" spans="1:27" x14ac:dyDescent="0.35">
      <c r="A142" s="328">
        <v>13</v>
      </c>
      <c r="B142" s="19" t="e">
        <f>INDEX($M$130:$M$148,MATCH($A$15,$L$130:$L$148,0))</f>
        <v>#N/A</v>
      </c>
      <c r="C142" s="621" t="e">
        <f t="shared" si="1"/>
        <v>#N/A</v>
      </c>
      <c r="D142" s="357" t="e">
        <f>IF($C$142="&lt;11","&lt;11",INDEX($O$130:$O$148,MATCH($A$142,$L$130:$L$148,0)))</f>
        <v>#N/A</v>
      </c>
      <c r="E142" s="621" t="e">
        <f t="shared" si="2"/>
        <v>#N/A</v>
      </c>
      <c r="F142" s="357" t="e">
        <f t="shared" si="3"/>
        <v>#N/A</v>
      </c>
      <c r="G142" s="621" t="e">
        <f t="shared" si="4"/>
        <v>#N/A</v>
      </c>
      <c r="H142" s="357" t="e">
        <f t="shared" si="5"/>
        <v>#N/A</v>
      </c>
      <c r="I142" s="621" t="e">
        <f t="shared" si="7"/>
        <v>#N/A</v>
      </c>
      <c r="J142" s="357" t="e">
        <f t="shared" si="6"/>
        <v>#N/A</v>
      </c>
      <c r="K142" s="417"/>
      <c r="L142" s="338" t="e">
        <f>RANK($N$142,$N$130:$N$148,0)+COUNTIF($N$130:$N$142,$N$142)-1</f>
        <v>#VALUE!</v>
      </c>
      <c r="M142" s="44" t="s">
        <v>93</v>
      </c>
      <c r="N142" s="621" t="str">
        <f>IF(Data!$IL$71="&lt;11",0,Data!$IL$71)</f>
        <v/>
      </c>
      <c r="O142" s="343" t="str">
        <f>Data!$QX$71</f>
        <v/>
      </c>
      <c r="P142" s="621" t="str">
        <f>IF(Data!$IL$72="&lt;11",0,Data!$IL$72)</f>
        <v/>
      </c>
      <c r="Q142" s="343" t="str">
        <f>Data!$QX$72</f>
        <v/>
      </c>
      <c r="R142" s="621">
        <f>Data!$IL$62</f>
        <v>27</v>
      </c>
      <c r="S142" s="343">
        <f>Data!$QX$62</f>
        <v>1E-3</v>
      </c>
      <c r="U142" s="44"/>
      <c r="V142" s="339" t="str">
        <f>Data!$BA$70</f>
        <v>Samoan</v>
      </c>
      <c r="W142" s="340" t="str">
        <f>IF(Data!$BA$71="&lt;11",0,Data!$BA$71)</f>
        <v/>
      </c>
      <c r="X142" s="341"/>
      <c r="Y142" s="339" t="str">
        <f>Data!$BB$70</f>
        <v>Asian Indian</v>
      </c>
      <c r="Z142" s="340" t="str">
        <f>IF(Data!$BB$71="&lt;11",0,Data!$BB$71)</f>
        <v/>
      </c>
      <c r="AA142" s="341" t="str">
        <f>Data!$NR$71</f>
        <v/>
      </c>
    </row>
    <row r="143" spans="1:27" x14ac:dyDescent="0.35">
      <c r="A143" s="328">
        <v>14</v>
      </c>
      <c r="B143" s="19" t="e">
        <f>INDEX($M$130:$M$148,MATCH($A$16,$L$130:$L$148,0))</f>
        <v>#N/A</v>
      </c>
      <c r="C143" s="621" t="e">
        <f t="shared" si="1"/>
        <v>#N/A</v>
      </c>
      <c r="D143" s="357" t="e">
        <f>IF($C$143="&lt;11","&lt;11",INDEX($O$130:$O$148,MATCH($A$143,$L$130:$L$148,0)))</f>
        <v>#N/A</v>
      </c>
      <c r="E143" s="621" t="e">
        <f t="shared" si="2"/>
        <v>#N/A</v>
      </c>
      <c r="F143" s="357" t="e">
        <f t="shared" si="3"/>
        <v>#N/A</v>
      </c>
      <c r="G143" s="621" t="e">
        <f t="shared" si="4"/>
        <v>#N/A</v>
      </c>
      <c r="H143" s="357" t="e">
        <f t="shared" si="5"/>
        <v>#N/A</v>
      </c>
      <c r="I143" s="621" t="e">
        <f t="shared" si="7"/>
        <v>#N/A</v>
      </c>
      <c r="J143" s="357" t="e">
        <f t="shared" si="6"/>
        <v>#N/A</v>
      </c>
      <c r="K143" s="417"/>
      <c r="L143" s="338" t="e">
        <f>RANK($N$143,$N$130:$N$148,0)+COUNTIF($N$130:$N$143,$N$143)-1</f>
        <v>#VALUE!</v>
      </c>
      <c r="M143" s="44" t="s">
        <v>94</v>
      </c>
      <c r="N143" s="621" t="str">
        <f>IF(Data!$IM$71="&lt;11",0,Data!$IM$71)</f>
        <v/>
      </c>
      <c r="O143" s="343" t="str">
        <f>Data!$QY$71</f>
        <v/>
      </c>
      <c r="P143" s="621" t="str">
        <f>IF(Data!$IM$72="&lt;11",0,Data!$IM$72)</f>
        <v/>
      </c>
      <c r="Q143" s="343" t="str">
        <f>Data!$QY$72</f>
        <v/>
      </c>
      <c r="R143" s="621">
        <f>Data!$IM$62</f>
        <v>301</v>
      </c>
      <c r="S143" s="343">
        <f>Data!$QY$62</f>
        <v>1.4E-2</v>
      </c>
      <c r="U143" s="44"/>
      <c r="V143" s="339" t="str">
        <f>Data!$BB$70</f>
        <v>Asian Indian</v>
      </c>
      <c r="W143" s="340" t="str">
        <f>IF(Data!$BB$71="&lt;11",0,Data!$BB$71)</f>
        <v/>
      </c>
      <c r="X143" s="341"/>
      <c r="Y143" s="339" t="str">
        <f>Data!$BC$70</f>
        <v>Hawaiian</v>
      </c>
      <c r="Z143" s="340" t="str">
        <f>IF(Data!$BC$71="&lt;11",0,Data!$BC$71)</f>
        <v/>
      </c>
      <c r="AA143" s="341" t="str">
        <f>Data!$NS$71</f>
        <v/>
      </c>
    </row>
    <row r="144" spans="1:27" x14ac:dyDescent="0.35">
      <c r="A144" s="328">
        <v>15</v>
      </c>
      <c r="B144" s="19" t="e">
        <f>INDEX($M$130:$M$148,MATCH($A$17,$L$130:$L$148,0))</f>
        <v>#N/A</v>
      </c>
      <c r="C144" s="621" t="e">
        <f t="shared" si="1"/>
        <v>#N/A</v>
      </c>
      <c r="D144" s="357" t="e">
        <f>IF($C$144="&lt;11","&lt;11",INDEX($O$130:$O$148,MATCH($A$144,$L$130:$L$148,0)))</f>
        <v>#N/A</v>
      </c>
      <c r="E144" s="621" t="e">
        <f t="shared" si="2"/>
        <v>#N/A</v>
      </c>
      <c r="F144" s="357" t="e">
        <f t="shared" si="3"/>
        <v>#N/A</v>
      </c>
      <c r="G144" s="621" t="e">
        <f t="shared" si="4"/>
        <v>#N/A</v>
      </c>
      <c r="H144" s="357" t="e">
        <f t="shared" si="5"/>
        <v>#N/A</v>
      </c>
      <c r="I144" s="621" t="e">
        <f t="shared" si="7"/>
        <v>#N/A</v>
      </c>
      <c r="J144" s="357" t="e">
        <f t="shared" si="6"/>
        <v>#N/A</v>
      </c>
      <c r="K144" s="417"/>
      <c r="L144" s="338" t="e">
        <f>RANK($N$144,$N$130:$N$148,0)+COUNTIF($N$130:$N$144,$N$144)-1</f>
        <v>#VALUE!</v>
      </c>
      <c r="M144" s="44" t="s">
        <v>95</v>
      </c>
      <c r="N144" s="621" t="str">
        <f>IF(Data!$IN$71="&lt;11",0,Data!$IN$71)</f>
        <v/>
      </c>
      <c r="O144" s="343" t="str">
        <f>Data!$QZ$71</f>
        <v/>
      </c>
      <c r="P144" s="621" t="str">
        <f>IF(Data!$IN$72="&lt;11",0,Data!$IN$72)</f>
        <v/>
      </c>
      <c r="Q144" s="343" t="str">
        <f>Data!$QZ$72</f>
        <v/>
      </c>
      <c r="R144" s="621">
        <f>Data!$IN$62</f>
        <v>12</v>
      </c>
      <c r="S144" s="343">
        <f>Data!$QZ$62</f>
        <v>1E-3</v>
      </c>
      <c r="U144" s="44"/>
      <c r="V144" s="339" t="str">
        <f>Data!$BC$70</f>
        <v>Hawaiian</v>
      </c>
      <c r="W144" s="340" t="str">
        <f>IF(Data!$BC$71="&lt;11",0,Data!$BC$71)</f>
        <v/>
      </c>
      <c r="X144" s="341"/>
      <c r="Y144" s="339" t="str">
        <f>Data!$BD$70</f>
        <v>Guamanian</v>
      </c>
      <c r="Z144" s="340" t="str">
        <f>IF(Data!$BD$71="&lt;11",0,Data!$BD$71)</f>
        <v/>
      </c>
      <c r="AA144" s="341" t="str">
        <f>Data!$NT$71</f>
        <v/>
      </c>
    </row>
    <row r="145" spans="1:27" x14ac:dyDescent="0.35">
      <c r="A145" s="328">
        <v>16</v>
      </c>
      <c r="B145" s="19" t="e">
        <f>INDEX($M$130:$M$148,MATCH($A$18,$L$130:$L$148,0))</f>
        <v>#N/A</v>
      </c>
      <c r="C145" s="621" t="e">
        <f t="shared" si="1"/>
        <v>#N/A</v>
      </c>
      <c r="D145" s="357" t="e">
        <f>IF($C$145="&lt;11","&lt;11",INDEX($O$130:$O$148,MATCH($A$145,$L$130:$L$148,0)))</f>
        <v>#N/A</v>
      </c>
      <c r="E145" s="621" t="e">
        <f t="shared" si="2"/>
        <v>#N/A</v>
      </c>
      <c r="F145" s="357" t="e">
        <f t="shared" si="3"/>
        <v>#N/A</v>
      </c>
      <c r="G145" s="621" t="e">
        <f t="shared" si="4"/>
        <v>#N/A</v>
      </c>
      <c r="H145" s="357" t="e">
        <f t="shared" si="5"/>
        <v>#N/A</v>
      </c>
      <c r="I145" s="621" t="e">
        <f t="shared" si="7"/>
        <v>#N/A</v>
      </c>
      <c r="J145" s="357" t="e">
        <f t="shared" si="6"/>
        <v>#N/A</v>
      </c>
      <c r="K145" s="417"/>
      <c r="L145" s="338" t="e">
        <f>RANK($N$145,$N$130:$N$148,0)+COUNTIF($N$130:$N$145,$N$145)-1</f>
        <v>#VALUE!</v>
      </c>
      <c r="M145" s="44" t="s">
        <v>301</v>
      </c>
      <c r="N145" s="621" t="str">
        <f>IF(Data!$IO$71="&lt;11",0,Data!$IO$71)</f>
        <v/>
      </c>
      <c r="O145" s="343" t="str">
        <f>Data!$RA$71</f>
        <v/>
      </c>
      <c r="P145" s="621" t="str">
        <f>IF(Data!$IO$72="&lt;11",0,Data!$IO$72)</f>
        <v/>
      </c>
      <c r="Q145" s="343" t="str">
        <f>Data!$RA$72</f>
        <v/>
      </c>
      <c r="R145" s="621">
        <f>Data!$IO$62</f>
        <v>7</v>
      </c>
      <c r="S145" s="343">
        <f>Data!$RA$62</f>
        <v>0</v>
      </c>
      <c r="U145" s="44"/>
      <c r="V145" s="339" t="str">
        <f>Data!$BD$70</f>
        <v>Guamanian</v>
      </c>
      <c r="W145" s="340" t="str">
        <f>IF(Data!$BD$71="&lt;11",0,Data!$BD$71)</f>
        <v/>
      </c>
      <c r="X145" s="341"/>
      <c r="Y145" s="339" t="str">
        <f>Data!$BE$70</f>
        <v>Laotian</v>
      </c>
      <c r="Z145" s="340" t="str">
        <f>IF(Data!$BE$71="&lt;11",0,Data!$BE$71)</f>
        <v/>
      </c>
      <c r="AA145" s="341" t="str">
        <f>Data!$NU$71</f>
        <v/>
      </c>
    </row>
    <row r="146" spans="1:27" x14ac:dyDescent="0.35">
      <c r="A146" s="328">
        <v>17</v>
      </c>
      <c r="B146" s="19" t="e">
        <f>INDEX($M$130:$M$148,MATCH($A$19,$L$130:$L$148,0))</f>
        <v>#N/A</v>
      </c>
      <c r="C146" s="621" t="e">
        <f t="shared" si="1"/>
        <v>#N/A</v>
      </c>
      <c r="D146" s="357" t="e">
        <f>IF($C$146="&lt;11","&lt;11",INDEX($O$130:$O$148,MATCH($A$146,$L$130:$L$148,0)))</f>
        <v>#N/A</v>
      </c>
      <c r="E146" s="621" t="e">
        <f t="shared" si="2"/>
        <v>#N/A</v>
      </c>
      <c r="F146" s="357" t="e">
        <f t="shared" si="3"/>
        <v>#N/A</v>
      </c>
      <c r="G146" s="621" t="e">
        <f t="shared" si="4"/>
        <v>#N/A</v>
      </c>
      <c r="H146" s="357" t="e">
        <f t="shared" si="5"/>
        <v>#N/A</v>
      </c>
      <c r="I146" s="621" t="e">
        <f t="shared" si="7"/>
        <v>#N/A</v>
      </c>
      <c r="J146" s="357" t="e">
        <f t="shared" si="6"/>
        <v>#N/A</v>
      </c>
      <c r="K146" s="417"/>
      <c r="L146" s="338" t="e">
        <f>RANK($N$146,$N$130:$N$148,0)+COUNTIF($N$130:$N$146,$N$146)-1</f>
        <v>#VALUE!</v>
      </c>
      <c r="M146" s="44" t="s">
        <v>96</v>
      </c>
      <c r="N146" s="621" t="str">
        <f>IF(Data!$IP$71="&lt;11",0,Data!$IP$71)</f>
        <v/>
      </c>
      <c r="O146" s="343" t="str">
        <f>Data!$RB$71</f>
        <v/>
      </c>
      <c r="P146" s="621" t="str">
        <f>IF(Data!$IP$72="&lt;11",0,Data!$IP$72)</f>
        <v/>
      </c>
      <c r="Q146" s="343" t="str">
        <f>Data!$RB$72</f>
        <v/>
      </c>
      <c r="R146" s="621">
        <f>Data!$IP$62</f>
        <v>56</v>
      </c>
      <c r="S146" s="343">
        <f>Data!$RB$62</f>
        <v>3.0000000000000001E-3</v>
      </c>
      <c r="U146" s="44"/>
      <c r="V146" s="339" t="str">
        <f>Data!$BE$70</f>
        <v>Laotian</v>
      </c>
      <c r="W146" s="340" t="str">
        <f>IF(Data!$BE$71="&lt;11",0,Data!$BE$71)</f>
        <v/>
      </c>
      <c r="X146" s="341"/>
      <c r="Y146" s="339" t="str">
        <f>Data!$BF$70</f>
        <v>Vietnamese</v>
      </c>
      <c r="Z146" s="340" t="str">
        <f>IF(Data!$BF$71="&lt;11",0,Data!$BF$71)</f>
        <v/>
      </c>
      <c r="AA146" s="341" t="str">
        <f>Data!$NV$71</f>
        <v/>
      </c>
    </row>
    <row r="147" spans="1:27" x14ac:dyDescent="0.35">
      <c r="A147" s="328">
        <v>18</v>
      </c>
      <c r="B147" s="19" t="e">
        <f>INDEX($M$130:$M$148,MATCH($A$20,$L$130:$L$148,0))</f>
        <v>#N/A</v>
      </c>
      <c r="C147" s="621" t="e">
        <f t="shared" si="1"/>
        <v>#N/A</v>
      </c>
      <c r="D147" s="357" t="e">
        <f>IF($C$147="&lt;11","&lt;11",INDEX($O$130:$O$148,MATCH($A$147,$L$130:$L$148,0)))</f>
        <v>#N/A</v>
      </c>
      <c r="E147" s="621" t="e">
        <f t="shared" si="2"/>
        <v>#N/A</v>
      </c>
      <c r="F147" s="357" t="e">
        <f t="shared" si="3"/>
        <v>#N/A</v>
      </c>
      <c r="G147" s="621" t="e">
        <f t="shared" si="4"/>
        <v>#N/A</v>
      </c>
      <c r="H147" s="357" t="e">
        <f t="shared" si="5"/>
        <v>#N/A</v>
      </c>
      <c r="I147" s="621" t="e">
        <f t="shared" si="7"/>
        <v>#N/A</v>
      </c>
      <c r="J147" s="357" t="e">
        <f t="shared" si="6"/>
        <v>#N/A</v>
      </c>
      <c r="K147" s="417"/>
      <c r="L147" s="338" t="e">
        <f>RANK($N$147,$N$130:$N$148,0)+COUNTIF($N$130:$N$147,$N$147)-1</f>
        <v>#VALUE!</v>
      </c>
      <c r="M147" s="44" t="s">
        <v>97</v>
      </c>
      <c r="N147" s="621" t="str">
        <f>IF(Data!$IQ$71="&lt;11",0,Data!$IQ$71)</f>
        <v/>
      </c>
      <c r="O147" s="343" t="str">
        <f>Data!$RC$71</f>
        <v/>
      </c>
      <c r="P147" s="621" t="str">
        <f>IF(Data!$IQ$72="&lt;11",0,Data!$IQ$72)</f>
        <v/>
      </c>
      <c r="Q147" s="343" t="str">
        <f>Data!$RC$72</f>
        <v/>
      </c>
      <c r="R147" s="621">
        <f>Data!$IQ$62</f>
        <v>537</v>
      </c>
      <c r="S147" s="343">
        <f>Data!$RC$62</f>
        <v>2.5000000000000001E-2</v>
      </c>
      <c r="U147" s="44"/>
      <c r="V147" s="339" t="str">
        <f>Data!$BF$70</f>
        <v>Vietnamese</v>
      </c>
      <c r="W147" s="340" t="str">
        <f>IF(Data!$BF$71="&lt;11",0,Data!$BF$71)</f>
        <v/>
      </c>
      <c r="X147" s="341"/>
      <c r="Y147" s="346" t="str">
        <f>Data!$BG$70</f>
        <v>Other</v>
      </c>
      <c r="Z147" s="347" t="str">
        <f>IF(Data!$BG$71="&lt;11",0,Data!$BG$71)</f>
        <v/>
      </c>
      <c r="AA147" s="341" t="str">
        <f>Data!$NW$71</f>
        <v/>
      </c>
    </row>
    <row r="148" spans="1:27" x14ac:dyDescent="0.35">
      <c r="A148" s="328">
        <v>19</v>
      </c>
      <c r="B148" s="19" t="e">
        <f>INDEX($M$130:$M$148,MATCH($A$21,$L$130:$L$148,0))</f>
        <v>#N/A</v>
      </c>
      <c r="C148" s="621" t="e">
        <f t="shared" si="1"/>
        <v>#N/A</v>
      </c>
      <c r="D148" s="357" t="e">
        <f>IF($C$148="&lt;11","&lt;11",INDEX($O$130:$O$148,MATCH($A$148,$L$130:$L$148,0)))</f>
        <v>#N/A</v>
      </c>
      <c r="E148" s="621" t="e">
        <f t="shared" si="2"/>
        <v>#N/A</v>
      </c>
      <c r="F148" s="357" t="e">
        <f t="shared" si="3"/>
        <v>#N/A</v>
      </c>
      <c r="G148" s="621" t="e">
        <f t="shared" si="4"/>
        <v>#N/A</v>
      </c>
      <c r="H148" s="357" t="e">
        <f t="shared" si="5"/>
        <v>#N/A</v>
      </c>
      <c r="I148" s="621" t="e">
        <f t="shared" si="7"/>
        <v>#N/A</v>
      </c>
      <c r="J148" s="357" t="e">
        <f t="shared" si="6"/>
        <v>#N/A</v>
      </c>
      <c r="K148" s="417"/>
      <c r="L148" s="338" t="e">
        <f>RANK($N$148,$N$130:$N$148,0)+COUNTIF($N$130:$N$148,$N$148)-1</f>
        <v>#VALUE!</v>
      </c>
      <c r="M148" s="44" t="s">
        <v>98</v>
      </c>
      <c r="N148" s="621" t="str">
        <f>IF(Data!$IR$71="&lt;11",0,Data!$IR$71)</f>
        <v/>
      </c>
      <c r="O148" s="343" t="str">
        <f>Data!$RD$71</f>
        <v/>
      </c>
      <c r="P148" s="621" t="str">
        <f>IF(Data!$IR$72="&lt;11",0,Data!$IR$72)</f>
        <v/>
      </c>
      <c r="Q148" s="343" t="str">
        <f>Data!$RD$72</f>
        <v/>
      </c>
      <c r="R148" s="621">
        <f>Data!$IR$62</f>
        <v>1171</v>
      </c>
      <c r="S148" s="343">
        <f>Data!$RD$62</f>
        <v>5.3999999999999999E-2</v>
      </c>
      <c r="V148" s="339" t="str">
        <f>Data!$BG$70</f>
        <v>Other</v>
      </c>
      <c r="W148" s="340" t="str">
        <f>IF(Data!$BG$71="&lt;11",0,Data!$BG$71)</f>
        <v/>
      </c>
    </row>
    <row r="149" spans="1:27" x14ac:dyDescent="0.35">
      <c r="L149" s="31"/>
      <c r="M149" s="251"/>
      <c r="O149" s="56"/>
      <c r="P149" s="31"/>
      <c r="Q149" s="360"/>
    </row>
    <row r="150" spans="1:27" x14ac:dyDescent="0.35">
      <c r="L150" s="31"/>
      <c r="M150" s="251"/>
      <c r="O150" s="56"/>
      <c r="P150" s="31"/>
      <c r="Q150" s="360"/>
    </row>
    <row r="151" spans="1:27" customFormat="1" x14ac:dyDescent="0.35">
      <c r="B151" s="618"/>
      <c r="C151" s="618"/>
      <c r="D151" s="618"/>
      <c r="E151" s="618"/>
      <c r="F151" s="618"/>
      <c r="G151" s="618"/>
      <c r="H151" s="618"/>
      <c r="I151" s="618"/>
      <c r="J151" s="618"/>
      <c r="K151" s="636"/>
      <c r="L151" s="618"/>
      <c r="M151" s="618"/>
      <c r="N151" s="618"/>
      <c r="O151" s="618"/>
      <c r="P151" s="618"/>
      <c r="Q151" s="618"/>
      <c r="R151" s="618"/>
      <c r="S151" s="618"/>
      <c r="T151" s="618"/>
      <c r="U151" s="618"/>
      <c r="V151" s="31"/>
    </row>
    <row r="152" spans="1:27" customFormat="1" x14ac:dyDescent="0.35">
      <c r="D152" s="625"/>
      <c r="E152" s="625"/>
      <c r="F152" s="625"/>
      <c r="G152" s="625"/>
      <c r="H152" s="625"/>
      <c r="I152" s="625"/>
      <c r="J152" s="625"/>
      <c r="K152" s="625"/>
      <c r="L152" s="625"/>
      <c r="M152" s="625"/>
      <c r="N152" s="625"/>
      <c r="O152" s="625"/>
      <c r="P152" s="625"/>
      <c r="Q152" s="625"/>
      <c r="R152" s="625"/>
      <c r="S152" s="625"/>
      <c r="T152" s="625"/>
      <c r="U152" s="625"/>
      <c r="V152" s="625"/>
    </row>
    <row r="153" spans="1:27" customFormat="1" ht="14.5" x14ac:dyDescent="0.35"/>
    <row r="154" spans="1:27" customFormat="1" x14ac:dyDescent="0.35">
      <c r="A154" s="619" t="s">
        <v>747</v>
      </c>
      <c r="B154" s="324"/>
      <c r="C154" s="324"/>
      <c r="D154" s="325"/>
      <c r="E154" s="325"/>
      <c r="F154" s="325"/>
      <c r="G154" s="325"/>
      <c r="H154" s="325"/>
      <c r="I154" s="325"/>
      <c r="J154" s="325"/>
      <c r="K154" s="325"/>
      <c r="L154" s="326"/>
      <c r="M154" s="327"/>
      <c r="N154" s="56"/>
      <c r="O154" s="31"/>
      <c r="P154" s="360"/>
      <c r="Q154" s="31"/>
      <c r="R154" s="31"/>
      <c r="S154" s="31"/>
      <c r="T154" s="31"/>
    </row>
    <row r="155" spans="1:27" customFormat="1" x14ac:dyDescent="0.35">
      <c r="A155" s="328"/>
      <c r="B155" s="329" t="s">
        <v>101</v>
      </c>
      <c r="C155" s="330" t="str">
        <f>COUNTY_SELECT</f>
        <v>County Name</v>
      </c>
      <c r="D155" s="331"/>
      <c r="E155" s="330" t="str">
        <f>Data!$A$71</f>
        <v/>
      </c>
      <c r="F155" s="331"/>
      <c r="G155" s="642" t="s">
        <v>126</v>
      </c>
      <c r="H155" s="331"/>
      <c r="I155" s="632" t="s">
        <v>756</v>
      </c>
      <c r="J155" s="31"/>
      <c r="K155" s="413"/>
      <c r="L155" s="31"/>
      <c r="M155" s="323" t="s">
        <v>101</v>
      </c>
      <c r="N155" s="328" t="str">
        <f>COUNTY_SELECT</f>
        <v>County Name</v>
      </c>
      <c r="O155" s="251" t="s">
        <v>441</v>
      </c>
      <c r="P155" s="332" t="str">
        <f>Data!$A$72</f>
        <v/>
      </c>
      <c r="Q155" s="56" t="s">
        <v>441</v>
      </c>
      <c r="R155" s="333" t="s">
        <v>126</v>
      </c>
      <c r="S155" s="623" t="s">
        <v>441</v>
      </c>
      <c r="T155" s="31"/>
      <c r="U155" s="44"/>
      <c r="V155" s="31"/>
      <c r="W155" s="31"/>
    </row>
    <row r="156" spans="1:27" customFormat="1" x14ac:dyDescent="0.35">
      <c r="A156" s="411"/>
      <c r="B156" s="628"/>
      <c r="C156" s="634" t="s">
        <v>755</v>
      </c>
      <c r="D156" s="635"/>
      <c r="E156" s="634" t="s">
        <v>754</v>
      </c>
      <c r="F156" s="635"/>
      <c r="G156" s="634" t="s">
        <v>755</v>
      </c>
      <c r="H156" s="413"/>
      <c r="I156" s="634" t="s">
        <v>754</v>
      </c>
      <c r="J156" s="413"/>
      <c r="K156" s="413"/>
      <c r="L156" s="31"/>
      <c r="M156" s="31"/>
      <c r="N156" s="627" t="s">
        <v>755</v>
      </c>
      <c r="O156" s="251"/>
      <c r="P156" s="56"/>
      <c r="Q156" s="56"/>
      <c r="R156" s="629"/>
      <c r="S156" s="623"/>
      <c r="T156" s="31"/>
      <c r="U156" s="44"/>
      <c r="V156" s="31"/>
      <c r="W156" s="31"/>
    </row>
    <row r="157" spans="1:27" customFormat="1" x14ac:dyDescent="0.35">
      <c r="A157" s="328">
        <v>1</v>
      </c>
      <c r="B157" s="19" t="e">
        <f>INDEX($M$157:$M$175,MATCH($A$3,$L$157:$L$175,0))</f>
        <v>#N/A</v>
      </c>
      <c r="C157" s="621" t="e">
        <f t="shared" ref="C157:C175" si="8">IF(INDEX($N$157:$N$175,MATCH($A157,$L$157:$L$175,0))&lt;11,"&lt;11",INDEX($N$157:$N$175,MATCH($A157,$L$157:$L$175,0)))</f>
        <v>#N/A</v>
      </c>
      <c r="D157" s="357" t="e">
        <f>IF($C$157="&lt;11","&lt;11",INDEX($O$157:$O$175,MATCH($A$157,$L$157:$L$175,0)))</f>
        <v>#N/A</v>
      </c>
      <c r="E157" s="621" t="e">
        <f t="shared" ref="E157:E175" si="9">IF(INDEX($K$3:$K$21,MATCH($A157,$L$157:$L$175,0))&lt;11,"&lt;11",INDEX($K$3:$K$21,MATCH($B157,$M$157:$M$175,0)))</f>
        <v>#N/A</v>
      </c>
      <c r="F157" s="357" t="e">
        <f t="shared" ref="F157:F175" si="10">IF(AND(LEFT($K$2,4)="Very",$E157="&lt;11"),"&lt;11",INDEX($L$3:$L$21,MATCH($B157,$J$3:$J$21,0)))</f>
        <v>#N/A</v>
      </c>
      <c r="G157" s="621" t="e">
        <f>INDEX($R$157:$R$175,MATCH($B$157,$M$157:$M$175,0))</f>
        <v>#N/A</v>
      </c>
      <c r="H157" s="618" t="e">
        <f t="shared" ref="H157:H175" si="11">INDEX($S$157:$S$175,MATCH($A157,$L$157:$L$175,0))/SUM($S$157:$S$175)</f>
        <v>#N/A</v>
      </c>
      <c r="I157" s="621" t="e">
        <f>INDEX($O$3:$O$21,MATCH($B157,$J$3:$J$21,0))</f>
        <v>#N/A</v>
      </c>
      <c r="J157" s="357" t="e">
        <f t="shared" ref="J157:J175" si="12">INDEX($P$3:$P$21,MATCH($B157,$J$3:$J$21,0))</f>
        <v>#N/A</v>
      </c>
      <c r="K157" s="417"/>
      <c r="L157" s="338" t="e">
        <f>RANK($N$157,$N$157:$N$175,0)+COUNTIF($N$157:$N$157,$N$157)-1</f>
        <v>#VALUE!</v>
      </c>
      <c r="M157" s="44" t="s">
        <v>82</v>
      </c>
      <c r="N157" s="621" t="str">
        <f>IF(Data!$IS$71="&lt;11",0,Data!$IS$71)</f>
        <v/>
      </c>
      <c r="O157" s="618" t="str">
        <f>Data!$RE$71</f>
        <v/>
      </c>
      <c r="P157" s="621" t="str">
        <f>IF(Data!$IS$72="&lt;11",0,Data!$IS$72)</f>
        <v/>
      </c>
      <c r="Q157" s="618" t="str">
        <f>Data!$RE$72</f>
        <v/>
      </c>
      <c r="R157" s="621">
        <f>IF(Data!$IS$62="&lt;11",0,Data!$IS$62)</f>
        <v>2602</v>
      </c>
      <c r="S157" s="618">
        <f>Data!$RE$62</f>
        <v>0.28499999999999998</v>
      </c>
      <c r="T157" s="31"/>
      <c r="U157" s="44"/>
      <c r="W157" s="31"/>
    </row>
    <row r="158" spans="1:27" customFormat="1" x14ac:dyDescent="0.35">
      <c r="A158" s="328">
        <v>2</v>
      </c>
      <c r="B158" s="19" t="e">
        <f>INDEX($M$157:$M$175,MATCH($A$4,$L$157:$L$175,0))</f>
        <v>#N/A</v>
      </c>
      <c r="C158" s="621" t="e">
        <f t="shared" si="8"/>
        <v>#N/A</v>
      </c>
      <c r="D158" s="357" t="e">
        <f>IF($C$158="&lt;11","&lt;11",INDEX($O$157:$O$175,MATCH($A$158,$L$157:$L$175,0)))</f>
        <v>#N/A</v>
      </c>
      <c r="E158" s="621" t="e">
        <f t="shared" si="9"/>
        <v>#N/A</v>
      </c>
      <c r="F158" s="357" t="e">
        <f t="shared" si="10"/>
        <v>#N/A</v>
      </c>
      <c r="G158" s="621" t="e">
        <f>INDEX($R$157:$R$175,MATCH($B$158,$M$157:$M$175,0))</f>
        <v>#N/A</v>
      </c>
      <c r="H158" s="618" t="e">
        <f t="shared" si="11"/>
        <v>#N/A</v>
      </c>
      <c r="I158" s="621" t="e">
        <f t="shared" ref="I158:I175" si="13">INDEX($O$3:$O$21,MATCH($B158,$J$3:$J$21,0))</f>
        <v>#N/A</v>
      </c>
      <c r="J158" s="357" t="e">
        <f t="shared" si="12"/>
        <v>#N/A</v>
      </c>
      <c r="K158" s="417"/>
      <c r="L158" s="338" t="e">
        <f>RANK($N$158,$N$157:$N$175,0)+COUNTIF($N$157:$N$158,$N$158)-1</f>
        <v>#VALUE!</v>
      </c>
      <c r="M158" s="44" t="s">
        <v>83</v>
      </c>
      <c r="N158" s="621" t="str">
        <f>IF(Data!$IT$71="&lt;11",0,Data!$IT$71)</f>
        <v/>
      </c>
      <c r="O158" s="618" t="str">
        <f>Data!$RF$71</f>
        <v/>
      </c>
      <c r="P158" s="621" t="str">
        <f>IF(Data!$IT$72="&lt;11",0,Data!$IT$72)</f>
        <v/>
      </c>
      <c r="Q158" s="618" t="str">
        <f>Data!$RF$72</f>
        <v/>
      </c>
      <c r="R158" s="621">
        <f>IF(Data!$IT$62="&lt;11",0,Data!$IT$62)</f>
        <v>3333</v>
      </c>
      <c r="S158" s="618">
        <f>Data!$RF$62</f>
        <v>0.36499999999999999</v>
      </c>
      <c r="T158" s="31"/>
      <c r="U158" s="44"/>
      <c r="W158" s="31"/>
    </row>
    <row r="159" spans="1:27" customFormat="1" x14ac:dyDescent="0.35">
      <c r="A159" s="328">
        <v>3</v>
      </c>
      <c r="B159" s="19" t="e">
        <f>INDEX($M$157:$M$175,MATCH($A$5,$L$157:$L$175,0))</f>
        <v>#N/A</v>
      </c>
      <c r="C159" s="621" t="e">
        <f t="shared" si="8"/>
        <v>#N/A</v>
      </c>
      <c r="D159" s="357" t="e">
        <f>IF($C$159="&lt;11","&lt;11",INDEX($O$157:$O$175,MATCH($A$159,$L$157:$L$175,0)))</f>
        <v>#N/A</v>
      </c>
      <c r="E159" s="621" t="e">
        <f t="shared" si="9"/>
        <v>#N/A</v>
      </c>
      <c r="F159" s="357" t="e">
        <f t="shared" si="10"/>
        <v>#N/A</v>
      </c>
      <c r="G159" s="621" t="e">
        <f>INDEX($R$157:$R$175,MATCH($B$159,$M$157:$M$175,0))</f>
        <v>#N/A</v>
      </c>
      <c r="H159" s="618" t="e">
        <f t="shared" si="11"/>
        <v>#N/A</v>
      </c>
      <c r="I159" s="621" t="e">
        <f t="shared" si="13"/>
        <v>#N/A</v>
      </c>
      <c r="J159" s="357" t="e">
        <f t="shared" si="12"/>
        <v>#N/A</v>
      </c>
      <c r="K159" s="417"/>
      <c r="L159" s="338" t="e">
        <f>RANK($N$159,$N$157:$N$175,0)+COUNTIF($N$157:$N$159,$N$159)-1</f>
        <v>#VALUE!</v>
      </c>
      <c r="M159" s="44" t="s">
        <v>129</v>
      </c>
      <c r="N159" s="621" t="str">
        <f>IF(Data!$IU$71="&lt;11",0,Data!$IU$71)</f>
        <v/>
      </c>
      <c r="O159" s="618" t="str">
        <f>Data!$RG$71</f>
        <v/>
      </c>
      <c r="P159" s="621" t="str">
        <f>IF(Data!$IU$72="&lt;11",0,Data!$IU$72)</f>
        <v/>
      </c>
      <c r="Q159" s="618" t="str">
        <f>Data!$RG$72</f>
        <v/>
      </c>
      <c r="R159" s="621">
        <f>IF(Data!$IU$62="&lt;11",0,Data!$IU$62)</f>
        <v>1396</v>
      </c>
      <c r="S159" s="618">
        <f>Data!$RG$62</f>
        <v>0.153</v>
      </c>
      <c r="T159" s="31"/>
      <c r="U159" s="44"/>
      <c r="W159" s="31"/>
    </row>
    <row r="160" spans="1:27" customFormat="1" x14ac:dyDescent="0.35">
      <c r="A160" s="328">
        <v>4</v>
      </c>
      <c r="B160" s="19" t="e">
        <f>INDEX($M$157:$M$175,MATCH($A$6,$L$157:$L$175,0))</f>
        <v>#N/A</v>
      </c>
      <c r="C160" s="621" t="e">
        <f t="shared" si="8"/>
        <v>#N/A</v>
      </c>
      <c r="D160" s="357" t="e">
        <f>IF($C$160="&lt;11","&lt;11",INDEX($O$157:$O$175,MATCH($A$160,$L$157:$L$175,0)))</f>
        <v>#N/A</v>
      </c>
      <c r="E160" s="621" t="e">
        <f t="shared" si="9"/>
        <v>#N/A</v>
      </c>
      <c r="F160" s="357" t="e">
        <f t="shared" si="10"/>
        <v>#N/A</v>
      </c>
      <c r="G160" s="621" t="e">
        <f>INDEX($R$157:$R$175,MATCH($B$160,$M$157:$M$175,0))</f>
        <v>#N/A</v>
      </c>
      <c r="H160" s="618" t="e">
        <f t="shared" si="11"/>
        <v>#N/A</v>
      </c>
      <c r="I160" s="621" t="e">
        <f t="shared" si="13"/>
        <v>#N/A</v>
      </c>
      <c r="J160" s="357" t="e">
        <f t="shared" si="12"/>
        <v>#N/A</v>
      </c>
      <c r="K160" s="417"/>
      <c r="L160" s="338" t="e">
        <f>RANK($N$160,$N$157:$N$175,0)+COUNTIF($N$157:$N$160,$N$160)-1</f>
        <v>#VALUE!</v>
      </c>
      <c r="M160" s="44" t="s">
        <v>84</v>
      </c>
      <c r="N160" s="621" t="str">
        <f>IF(Data!$IV$71="&lt;11",0,Data!$IV$71)</f>
        <v/>
      </c>
      <c r="O160" s="618" t="str">
        <f>Data!$RH$71</f>
        <v/>
      </c>
      <c r="P160" s="621" t="str">
        <f>IF(Data!$IV$72="&lt;11",0,Data!$IV$72)</f>
        <v/>
      </c>
      <c r="Q160" s="618" t="str">
        <f>Data!$RH$72</f>
        <v/>
      </c>
      <c r="R160" s="621">
        <f>IF(Data!$IV$62="&lt;11",0,Data!$IV$62)</f>
        <v>170</v>
      </c>
      <c r="S160" s="618">
        <f>Data!$RH$62</f>
        <v>1.9E-2</v>
      </c>
      <c r="T160" s="31"/>
      <c r="U160" s="44"/>
      <c r="W160" s="31"/>
    </row>
    <row r="161" spans="1:23" customFormat="1" x14ac:dyDescent="0.35">
      <c r="A161" s="328">
        <v>5</v>
      </c>
      <c r="B161" s="19" t="e">
        <f>INDEX($M$157:$M$175,MATCH($A$7,$L$157:$L$175,0))</f>
        <v>#N/A</v>
      </c>
      <c r="C161" s="621" t="e">
        <f t="shared" si="8"/>
        <v>#N/A</v>
      </c>
      <c r="D161" s="357" t="e">
        <f>IF($C$161="&lt;11","&lt;11",INDEX($O$157:$O$175,MATCH($A$161,$L$157:$L$175,0)))</f>
        <v>#N/A</v>
      </c>
      <c r="E161" s="621" t="e">
        <f t="shared" si="9"/>
        <v>#N/A</v>
      </c>
      <c r="F161" s="357" t="e">
        <f t="shared" si="10"/>
        <v>#N/A</v>
      </c>
      <c r="G161" s="621" t="e">
        <f>INDEX($R$157:$R$175,MATCH($B$161,$M$157:$M$175,0))</f>
        <v>#N/A</v>
      </c>
      <c r="H161" s="618" t="e">
        <f t="shared" si="11"/>
        <v>#N/A</v>
      </c>
      <c r="I161" s="621" t="e">
        <f t="shared" si="13"/>
        <v>#N/A</v>
      </c>
      <c r="J161" s="357" t="e">
        <f t="shared" si="12"/>
        <v>#N/A</v>
      </c>
      <c r="K161" s="417"/>
      <c r="L161" s="338" t="e">
        <f>RANK($N$161,$N$157:$N$175,0)+COUNTIF($N$157:$N$161,$N$161)-1</f>
        <v>#VALUE!</v>
      </c>
      <c r="M161" s="44" t="s">
        <v>85</v>
      </c>
      <c r="N161" s="621" t="str">
        <f>IF(Data!$IW$71="&lt;11",0,Data!$IW$71)</f>
        <v/>
      </c>
      <c r="O161" s="618" t="str">
        <f>Data!$RI$71</f>
        <v/>
      </c>
      <c r="P161" s="621" t="str">
        <f>IF(Data!$IW$72="&lt;11",0,Data!$IW$72)</f>
        <v/>
      </c>
      <c r="Q161" s="618" t="str">
        <f>Data!$RI$72</f>
        <v/>
      </c>
      <c r="R161" s="621">
        <f>IF(Data!$IW$62="&lt;11",0,Data!$IW$62)</f>
        <v>76</v>
      </c>
      <c r="S161" s="618">
        <f>Data!$RI$62</f>
        <v>8.0000000000000002E-3</v>
      </c>
      <c r="T161" s="31"/>
      <c r="U161" s="44"/>
      <c r="W161" s="31"/>
    </row>
    <row r="162" spans="1:23" x14ac:dyDescent="0.35">
      <c r="A162" s="328">
        <v>6</v>
      </c>
      <c r="B162" s="19" t="e">
        <f>INDEX($M$157:$M$175,MATCH($A$8,$L$157:$L$175,0))</f>
        <v>#N/A</v>
      </c>
      <c r="C162" s="621" t="e">
        <f t="shared" si="8"/>
        <v>#N/A</v>
      </c>
      <c r="D162" s="357" t="e">
        <f>IF($C$162="&lt;11","&lt;11",INDEX($O$157:$O$175,MATCH($A$162,$L$157:$L$175,0)))</f>
        <v>#N/A</v>
      </c>
      <c r="E162" s="621" t="e">
        <f t="shared" si="9"/>
        <v>#N/A</v>
      </c>
      <c r="F162" s="357" t="e">
        <f t="shared" si="10"/>
        <v>#N/A</v>
      </c>
      <c r="G162" s="621" t="e">
        <f>INDEX($R$157:$R$175,MATCH($B$162,$M$157:$M$175,0))</f>
        <v>#N/A</v>
      </c>
      <c r="H162" s="618" t="e">
        <f t="shared" si="11"/>
        <v>#N/A</v>
      </c>
      <c r="I162" s="621" t="e">
        <f t="shared" si="13"/>
        <v>#N/A</v>
      </c>
      <c r="J162" s="357" t="e">
        <f t="shared" si="12"/>
        <v>#N/A</v>
      </c>
      <c r="K162" s="417"/>
      <c r="L162" s="338" t="e">
        <f>RANK($N$162,$N$157:$N$175,0)+COUNTIF($N$157:$N$162,$N$162)-1</f>
        <v>#VALUE!</v>
      </c>
      <c r="M162" s="44" t="s">
        <v>86</v>
      </c>
      <c r="N162" s="621" t="str">
        <f>IF(Data!$IX$71="&lt;11",0,Data!$IX$71)</f>
        <v/>
      </c>
      <c r="O162" s="618" t="str">
        <f>Data!$RJ$71</f>
        <v/>
      </c>
      <c r="P162" s="621" t="str">
        <f>IF(Data!$IX$72="&lt;11",0,Data!$IX$72)</f>
        <v/>
      </c>
      <c r="Q162" s="618" t="str">
        <f>Data!$RJ$72</f>
        <v/>
      </c>
      <c r="R162" s="621">
        <f>IF(Data!$IX$62="&lt;11",0,Data!$IX$62)</f>
        <v>211</v>
      </c>
      <c r="S162" s="618">
        <f>Data!$RJ$62</f>
        <v>2.3E-2</v>
      </c>
      <c r="U162" s="44"/>
      <c r="V162"/>
    </row>
    <row r="163" spans="1:23" x14ac:dyDescent="0.35">
      <c r="A163" s="328">
        <v>7</v>
      </c>
      <c r="B163" s="19" t="e">
        <f>INDEX($M$157:$M$175,MATCH($A$9,$L$157:$L$175,0))</f>
        <v>#N/A</v>
      </c>
      <c r="C163" s="621" t="e">
        <f t="shared" si="8"/>
        <v>#N/A</v>
      </c>
      <c r="D163" s="357" t="e">
        <f>IF($C$163="&lt;11","&lt;11",INDEX($O$157:$O$175,MATCH($A$163,$L$157:$L$175,0)))</f>
        <v>#N/A</v>
      </c>
      <c r="E163" s="621" t="e">
        <f t="shared" si="9"/>
        <v>#N/A</v>
      </c>
      <c r="F163" s="357" t="e">
        <f t="shared" si="10"/>
        <v>#N/A</v>
      </c>
      <c r="G163" s="621" t="e">
        <f>INDEX($R$157:$R$175,MATCH($B$163,$M$157:$M$175,0))</f>
        <v>#N/A</v>
      </c>
      <c r="H163" s="618" t="e">
        <f t="shared" si="11"/>
        <v>#N/A</v>
      </c>
      <c r="I163" s="621" t="e">
        <f t="shared" si="13"/>
        <v>#N/A</v>
      </c>
      <c r="J163" s="357" t="e">
        <f t="shared" si="12"/>
        <v>#N/A</v>
      </c>
      <c r="K163" s="417"/>
      <c r="L163" s="338" t="e">
        <f>RANK($N$163,$N$157:$N$175,0)+COUNTIF($N$157:$N$163,$N$163)-1</f>
        <v>#VALUE!</v>
      </c>
      <c r="M163" s="44" t="s">
        <v>381</v>
      </c>
      <c r="N163" s="621" t="str">
        <f>IF(Data!$IY$71="&lt;11",0,Data!$IY$71)</f>
        <v/>
      </c>
      <c r="O163" s="618" t="str">
        <f>Data!$RK$71</f>
        <v/>
      </c>
      <c r="P163" s="621" t="str">
        <f>IF(Data!$IY$72="&lt;11",0,Data!$IY$72)</f>
        <v/>
      </c>
      <c r="Q163" s="618" t="str">
        <f>Data!$RK$72</f>
        <v/>
      </c>
      <c r="R163" s="621">
        <f>IF(Data!$IY$62="&lt;11",0,Data!$IY$62)</f>
        <v>460</v>
      </c>
      <c r="S163" s="618">
        <f>Data!$RK$62</f>
        <v>0.05</v>
      </c>
      <c r="U163" s="44"/>
      <c r="V163"/>
    </row>
    <row r="164" spans="1:23" x14ac:dyDescent="0.35">
      <c r="A164" s="328">
        <v>8</v>
      </c>
      <c r="B164" s="19" t="e">
        <f>INDEX($M$157:$M$175,MATCH($A$10,$L$157:$L$175,0))</f>
        <v>#N/A</v>
      </c>
      <c r="C164" s="621" t="e">
        <f t="shared" si="8"/>
        <v>#N/A</v>
      </c>
      <c r="D164" s="357" t="e">
        <f>IF($C$164="&lt;11","&lt;11",INDEX($O$157:$O$175,MATCH($A$164,$L$157:$L$175,0)))</f>
        <v>#N/A</v>
      </c>
      <c r="E164" s="621" t="e">
        <f t="shared" si="9"/>
        <v>#N/A</v>
      </c>
      <c r="F164" s="357" t="e">
        <f t="shared" si="10"/>
        <v>#N/A</v>
      </c>
      <c r="G164" s="621" t="e">
        <f>INDEX($R$157:$R$175,MATCH($B$164,$M$157:$M$175,0))</f>
        <v>#N/A</v>
      </c>
      <c r="H164" s="618" t="e">
        <f t="shared" si="11"/>
        <v>#N/A</v>
      </c>
      <c r="I164" s="621" t="e">
        <f t="shared" si="13"/>
        <v>#N/A</v>
      </c>
      <c r="J164" s="357" t="e">
        <f t="shared" si="12"/>
        <v>#N/A</v>
      </c>
      <c r="K164" s="417"/>
      <c r="L164" s="338" t="e">
        <f>RANK($N$164,$N$157:$N$175,0)+COUNTIF($N$157:$N$164,$N$164)-1</f>
        <v>#VALUE!</v>
      </c>
      <c r="M164" s="44" t="s">
        <v>88</v>
      </c>
      <c r="N164" s="621" t="str">
        <f>IF(Data!$IZ$71="&lt;11",0,Data!$IZ$71)</f>
        <v/>
      </c>
      <c r="O164" s="618" t="str">
        <f>Data!$RL$71</f>
        <v/>
      </c>
      <c r="P164" s="621" t="str">
        <f>IF(Data!$IZ$72="&lt;11",0,Data!$IZ$72)</f>
        <v/>
      </c>
      <c r="Q164" s="618" t="str">
        <f>Data!$RL$72</f>
        <v/>
      </c>
      <c r="R164" s="621">
        <f>IF(Data!$IZ$62="&lt;11",0,Data!$IZ$62)</f>
        <v>0</v>
      </c>
      <c r="S164" s="618">
        <f>Data!$RL$62</f>
        <v>0</v>
      </c>
      <c r="U164" s="44"/>
      <c r="V164"/>
    </row>
    <row r="165" spans="1:23" x14ac:dyDescent="0.35">
      <c r="A165" s="328">
        <v>9</v>
      </c>
      <c r="B165" s="19" t="e">
        <f>INDEX($M$157:$M$175,MATCH($A$11,$L$157:$L$175,0))</f>
        <v>#N/A</v>
      </c>
      <c r="C165" s="621" t="e">
        <f t="shared" si="8"/>
        <v>#N/A</v>
      </c>
      <c r="D165" s="357" t="e">
        <f>IF($C$165="&lt;11","&lt;11",INDEX($O$157:$O$175,MATCH($A$165,$L$157:$L$175,0)))</f>
        <v>#N/A</v>
      </c>
      <c r="E165" s="621" t="e">
        <f t="shared" si="9"/>
        <v>#N/A</v>
      </c>
      <c r="F165" s="357" t="e">
        <f t="shared" si="10"/>
        <v>#N/A</v>
      </c>
      <c r="G165" s="621" t="e">
        <f>INDEX($R$157:$R$175,MATCH($B$165,$M$157:$M$175,0))</f>
        <v>#N/A</v>
      </c>
      <c r="H165" s="618" t="e">
        <f t="shared" si="11"/>
        <v>#N/A</v>
      </c>
      <c r="I165" s="621" t="e">
        <f t="shared" si="13"/>
        <v>#N/A</v>
      </c>
      <c r="J165" s="357" t="e">
        <f t="shared" si="12"/>
        <v>#N/A</v>
      </c>
      <c r="K165" s="417"/>
      <c r="L165" s="338" t="e">
        <f>RANK($N$165,$N$157:$N$175,0)+COUNTIF($N$157:$N$165,$N$165)-1</f>
        <v>#VALUE!</v>
      </c>
      <c r="M165" s="44" t="s">
        <v>89</v>
      </c>
      <c r="N165" s="621" t="str">
        <f>IF(Data!$JA$71="&lt;11",0,Data!$JA$71)</f>
        <v/>
      </c>
      <c r="O165" s="618" t="str">
        <f>Data!$RM$71</f>
        <v/>
      </c>
      <c r="P165" s="621" t="str">
        <f>IF(Data!$JA$72="&lt;11",0,Data!$JA$72)</f>
        <v/>
      </c>
      <c r="Q165" s="618" t="str">
        <f>Data!$RM$72</f>
        <v/>
      </c>
      <c r="R165" s="621">
        <f>IF(Data!$JA$62="&lt;11",0,Data!$JA$62)</f>
        <v>117</v>
      </c>
      <c r="S165" s="618">
        <f>Data!$RM$62</f>
        <v>1.2999999999999999E-2</v>
      </c>
      <c r="U165" s="44"/>
      <c r="V165"/>
    </row>
    <row r="166" spans="1:23" x14ac:dyDescent="0.35">
      <c r="A166" s="328">
        <v>10</v>
      </c>
      <c r="B166" s="19" t="e">
        <f>INDEX($M$157:$M$175,MATCH($A$12,$L$157:$L$175,0))</f>
        <v>#N/A</v>
      </c>
      <c r="C166" s="621" t="e">
        <f t="shared" si="8"/>
        <v>#N/A</v>
      </c>
      <c r="D166" s="357" t="e">
        <f>IF($C$166="&lt;11","&lt;11",INDEX($O$157:$O$175,MATCH($A$166,$L$157:$L$175,0)))</f>
        <v>#N/A</v>
      </c>
      <c r="E166" s="621" t="e">
        <f t="shared" si="9"/>
        <v>#N/A</v>
      </c>
      <c r="F166" s="357" t="e">
        <f t="shared" si="10"/>
        <v>#N/A</v>
      </c>
      <c r="G166" s="621" t="e">
        <f>INDEX($R$157:$R$175,MATCH($B$166,$M$157:$M$175,0))</f>
        <v>#N/A</v>
      </c>
      <c r="H166" s="618" t="e">
        <f t="shared" si="11"/>
        <v>#N/A</v>
      </c>
      <c r="I166" s="621" t="e">
        <f t="shared" si="13"/>
        <v>#N/A</v>
      </c>
      <c r="J166" s="357" t="e">
        <f t="shared" si="12"/>
        <v>#N/A</v>
      </c>
      <c r="K166" s="417"/>
      <c r="L166" s="338" t="e">
        <f>RANK($N$166,$N$157:$N$175,0)+COUNTIF($N$157:$N$166,$N$166)-1</f>
        <v>#VALUE!</v>
      </c>
      <c r="M166" s="44" t="s">
        <v>90</v>
      </c>
      <c r="N166" s="621" t="str">
        <f>IF(Data!$JB$71="&lt;11",0,Data!$JB$71)</f>
        <v/>
      </c>
      <c r="O166" s="618" t="str">
        <f>Data!$RN$71</f>
        <v/>
      </c>
      <c r="P166" s="621" t="str">
        <f>IF(Data!$JB$72="&lt;11",0,Data!$JB$72)</f>
        <v/>
      </c>
      <c r="Q166" s="618" t="str">
        <f>Data!$RN$72</f>
        <v/>
      </c>
      <c r="R166" s="621">
        <f>IF(Data!$JB$62="&lt;11",0,Data!$JB$62)</f>
        <v>25</v>
      </c>
      <c r="S166" s="618">
        <f>Data!$RN$62</f>
        <v>3.0000000000000001E-3</v>
      </c>
      <c r="U166" s="44"/>
      <c r="V166"/>
    </row>
    <row r="167" spans="1:23" x14ac:dyDescent="0.35">
      <c r="A167" s="328">
        <v>11</v>
      </c>
      <c r="B167" s="19" t="e">
        <f>INDEX($M$157:$M$175,MATCH($A$13,$L$157:$L$175,0))</f>
        <v>#N/A</v>
      </c>
      <c r="C167" s="621" t="e">
        <f t="shared" si="8"/>
        <v>#N/A</v>
      </c>
      <c r="D167" s="357" t="e">
        <f>IF($C$167="&lt;11","&lt;11",INDEX($O$157:$O$175,MATCH($A$167,$L$157:$L$175,0)))</f>
        <v>#N/A</v>
      </c>
      <c r="E167" s="621" t="e">
        <f t="shared" si="9"/>
        <v>#N/A</v>
      </c>
      <c r="F167" s="357" t="e">
        <f t="shared" si="10"/>
        <v>#N/A</v>
      </c>
      <c r="G167" s="621" t="e">
        <f>INDEX($R$157:$R$175,MATCH($B$167,$M$157:$M$175,0))</f>
        <v>#N/A</v>
      </c>
      <c r="H167" s="618" t="e">
        <f t="shared" si="11"/>
        <v>#N/A</v>
      </c>
      <c r="I167" s="621" t="e">
        <f t="shared" si="13"/>
        <v>#N/A</v>
      </c>
      <c r="J167" s="357" t="e">
        <f t="shared" si="12"/>
        <v>#N/A</v>
      </c>
      <c r="K167" s="417"/>
      <c r="L167" s="338" t="e">
        <f>RANK($N$167,$N$157:$N$175,0)+COUNTIF($N$157:$N$167,$N$167)-1</f>
        <v>#VALUE!</v>
      </c>
      <c r="M167" s="44" t="s">
        <v>91</v>
      </c>
      <c r="N167" s="621" t="str">
        <f>IF(Data!$JC$71="&lt;11",0,Data!$JC$71)</f>
        <v/>
      </c>
      <c r="O167" s="618" t="str">
        <f>Data!$RO$71</f>
        <v/>
      </c>
      <c r="P167" s="621" t="str">
        <f>IF(Data!$JC$72="&lt;11",0,Data!$JC$72)</f>
        <v/>
      </c>
      <c r="Q167" s="618" t="str">
        <f>Data!$RO$72</f>
        <v/>
      </c>
      <c r="R167" s="621">
        <f>IF(Data!$JC$62="&lt;11",0,Data!$JC$62)</f>
        <v>19</v>
      </c>
      <c r="S167" s="618">
        <f>Data!$RO$62</f>
        <v>2E-3</v>
      </c>
      <c r="U167" s="44"/>
      <c r="V167"/>
    </row>
    <row r="168" spans="1:23" x14ac:dyDescent="0.35">
      <c r="A168" s="328">
        <v>12</v>
      </c>
      <c r="B168" s="19" t="e">
        <f>INDEX($M$157:$M$175,MATCH($A$14,$L$157:$L$175,0))</f>
        <v>#N/A</v>
      </c>
      <c r="C168" s="621" t="e">
        <f t="shared" si="8"/>
        <v>#N/A</v>
      </c>
      <c r="D168" s="357" t="e">
        <f>IF($C$168="&lt;11","&lt;11",INDEX($O$157:$O$175,MATCH($A$168,$L$157:$L$175,0)))</f>
        <v>#N/A</v>
      </c>
      <c r="E168" s="621" t="e">
        <f t="shared" si="9"/>
        <v>#N/A</v>
      </c>
      <c r="F168" s="357" t="e">
        <f t="shared" si="10"/>
        <v>#N/A</v>
      </c>
      <c r="G168" s="621" t="e">
        <f>INDEX($R$157:$R$175,MATCH($B$168,$M$157:$M$175,0))</f>
        <v>#N/A</v>
      </c>
      <c r="H168" s="618" t="e">
        <f t="shared" si="11"/>
        <v>#N/A</v>
      </c>
      <c r="I168" s="621" t="e">
        <f t="shared" si="13"/>
        <v>#N/A</v>
      </c>
      <c r="J168" s="357" t="e">
        <f t="shared" si="12"/>
        <v>#N/A</v>
      </c>
      <c r="K168" s="417"/>
      <c r="L168" s="338" t="e">
        <f>RANK($N$168,$N$157:$N$175,0)+COUNTIF($N$157:$N$168,$N$168)-1</f>
        <v>#VALUE!</v>
      </c>
      <c r="M168" s="44" t="s">
        <v>92</v>
      </c>
      <c r="N168" s="621" t="str">
        <f>IF(Data!$JD$71="&lt;11",0,Data!$JD$71)</f>
        <v/>
      </c>
      <c r="O168" s="618" t="str">
        <f>Data!$RP$71</f>
        <v/>
      </c>
      <c r="P168" s="621" t="str">
        <f>IF(Data!$JD$72="&lt;11",0,Data!$JD$72)</f>
        <v/>
      </c>
      <c r="Q168" s="618" t="str">
        <f>Data!$RP$72</f>
        <v/>
      </c>
      <c r="R168" s="621">
        <f>IF(Data!$JD$62="&lt;11",0,Data!$JD$62)</f>
        <v>55</v>
      </c>
      <c r="S168" s="618">
        <f>Data!$RP$62</f>
        <v>6.0000000000000001E-3</v>
      </c>
      <c r="U168" s="44"/>
      <c r="V168"/>
    </row>
    <row r="169" spans="1:23" x14ac:dyDescent="0.35">
      <c r="A169" s="328">
        <v>13</v>
      </c>
      <c r="B169" s="19" t="e">
        <f>INDEX($M$157:$M$175,MATCH($A$15,$L$157:$L$175,0))</f>
        <v>#N/A</v>
      </c>
      <c r="C169" s="621" t="e">
        <f t="shared" si="8"/>
        <v>#N/A</v>
      </c>
      <c r="D169" s="357" t="e">
        <f>IF($C$169="&lt;11","&lt;11",INDEX($O$157:$O$175,MATCH($A$169,$L$157:$L$175,0)))</f>
        <v>#N/A</v>
      </c>
      <c r="E169" s="621" t="e">
        <f t="shared" si="9"/>
        <v>#N/A</v>
      </c>
      <c r="F169" s="357" t="e">
        <f t="shared" si="10"/>
        <v>#N/A</v>
      </c>
      <c r="G169" s="621" t="e">
        <f>INDEX($R$157:$R$175,MATCH($B$169,$M$157:$M$175,0))</f>
        <v>#N/A</v>
      </c>
      <c r="H169" s="618" t="e">
        <f t="shared" si="11"/>
        <v>#N/A</v>
      </c>
      <c r="I169" s="621" t="e">
        <f t="shared" si="13"/>
        <v>#N/A</v>
      </c>
      <c r="J169" s="357" t="e">
        <f t="shared" si="12"/>
        <v>#N/A</v>
      </c>
      <c r="K169" s="417"/>
      <c r="L169" s="338" t="e">
        <f>RANK($N$169,$N$157:$N$175,0)+COUNTIF($N$157:$N$169,$N$169)-1</f>
        <v>#VALUE!</v>
      </c>
      <c r="M169" s="44" t="s">
        <v>93</v>
      </c>
      <c r="N169" s="621" t="str">
        <f>IF(Data!$JE$71="&lt;11",0,Data!$JE$71)</f>
        <v/>
      </c>
      <c r="O169" s="618" t="str">
        <f>Data!$RQ$71</f>
        <v/>
      </c>
      <c r="P169" s="621" t="str">
        <f>IF(Data!$JE$72="&lt;11",0,Data!$JE$72)</f>
        <v/>
      </c>
      <c r="Q169" s="618" t="str">
        <f>Data!$RQ$72</f>
        <v/>
      </c>
      <c r="R169" s="621">
        <f>IF(Data!$JE$62="&lt;11",0,Data!$JE$62)</f>
        <v>9</v>
      </c>
      <c r="S169" s="618">
        <f>Data!$RQ$62</f>
        <v>1E-3</v>
      </c>
      <c r="U169" s="44"/>
      <c r="V169"/>
    </row>
    <row r="170" spans="1:23" x14ac:dyDescent="0.35">
      <c r="A170" s="328">
        <v>14</v>
      </c>
      <c r="B170" s="19" t="e">
        <f>INDEX($M$157:$M$175,MATCH($A$16,$L$157:$L$175,0))</f>
        <v>#N/A</v>
      </c>
      <c r="C170" s="621" t="e">
        <f t="shared" si="8"/>
        <v>#N/A</v>
      </c>
      <c r="D170" s="357" t="e">
        <f>IF($C$170="&lt;11","&lt;11",INDEX($O$157:$O$175,MATCH($A$170,$L$157:$L$175,0)))</f>
        <v>#N/A</v>
      </c>
      <c r="E170" s="621" t="e">
        <f t="shared" si="9"/>
        <v>#N/A</v>
      </c>
      <c r="F170" s="357" t="e">
        <f t="shared" si="10"/>
        <v>#N/A</v>
      </c>
      <c r="G170" s="621" t="e">
        <f>INDEX($R$157:$R$175,MATCH($B$170,$M$157:$M$175,0))</f>
        <v>#N/A</v>
      </c>
      <c r="H170" s="618" t="e">
        <f t="shared" si="11"/>
        <v>#N/A</v>
      </c>
      <c r="I170" s="621" t="e">
        <f t="shared" si="13"/>
        <v>#N/A</v>
      </c>
      <c r="J170" s="357" t="e">
        <f t="shared" si="12"/>
        <v>#N/A</v>
      </c>
      <c r="K170" s="417"/>
      <c r="L170" s="338" t="e">
        <f>RANK($N$170,$N$157:$N$175,0)+COUNTIF($N$157:$N$170,$N$170)-1</f>
        <v>#VALUE!</v>
      </c>
      <c r="M170" s="44" t="s">
        <v>94</v>
      </c>
      <c r="N170" s="621" t="str">
        <f>IF(Data!$JF$71="&lt;11",0,Data!$JF$71)</f>
        <v/>
      </c>
      <c r="O170" s="618" t="str">
        <f>Data!$RR$71</f>
        <v/>
      </c>
      <c r="P170" s="621" t="str">
        <f>IF(Data!$JF$72="&lt;11",0,Data!$JF$72)</f>
        <v/>
      </c>
      <c r="Q170" s="618" t="str">
        <f>Data!$RR$72</f>
        <v/>
      </c>
      <c r="R170" s="621">
        <f>IF(Data!$JF$62="&lt;11",0,Data!$JF$62)</f>
        <v>113</v>
      </c>
      <c r="S170" s="618">
        <f>Data!$RR$62</f>
        <v>1.2E-2</v>
      </c>
      <c r="U170" s="44"/>
      <c r="V170"/>
    </row>
    <row r="171" spans="1:23" x14ac:dyDescent="0.35">
      <c r="A171" s="328">
        <v>15</v>
      </c>
      <c r="B171" s="19" t="e">
        <f>INDEX($M$157:$M$175,MATCH($A$17,$L$157:$L$175,0))</f>
        <v>#N/A</v>
      </c>
      <c r="C171" s="621" t="e">
        <f t="shared" si="8"/>
        <v>#N/A</v>
      </c>
      <c r="D171" s="357" t="e">
        <f>IF($C$171="&lt;11","&lt;11",INDEX($O$157:$O$175,MATCH($A$171,$L$157:$L$175,0)))</f>
        <v>#N/A</v>
      </c>
      <c r="E171" s="621" t="e">
        <f t="shared" si="9"/>
        <v>#N/A</v>
      </c>
      <c r="F171" s="357" t="e">
        <f t="shared" si="10"/>
        <v>#N/A</v>
      </c>
      <c r="G171" s="621" t="e">
        <f>INDEX($R$157:$R$175,MATCH($B$171,$M$157:$M$175,0))</f>
        <v>#N/A</v>
      </c>
      <c r="H171" s="618" t="e">
        <f t="shared" si="11"/>
        <v>#N/A</v>
      </c>
      <c r="I171" s="621" t="e">
        <f t="shared" si="13"/>
        <v>#N/A</v>
      </c>
      <c r="J171" s="357" t="e">
        <f t="shared" si="12"/>
        <v>#N/A</v>
      </c>
      <c r="K171" s="417"/>
      <c r="L171" s="338" t="e">
        <f>RANK($N$171,$N$157:$N$175,0)+COUNTIF($N$157:$N$171,$N$171)-1</f>
        <v>#VALUE!</v>
      </c>
      <c r="M171" s="44" t="s">
        <v>95</v>
      </c>
      <c r="N171" s="621" t="str">
        <f>IF(Data!$JG$71="&lt;11",0,Data!$JG$71)</f>
        <v/>
      </c>
      <c r="O171" s="618" t="str">
        <f>Data!$RS$71</f>
        <v/>
      </c>
      <c r="P171" s="621" t="str">
        <f>IF(Data!$JG$72="&lt;11",0,Data!$JG$72)</f>
        <v/>
      </c>
      <c r="Q171" s="618" t="str">
        <f>Data!$RS$72</f>
        <v/>
      </c>
      <c r="R171" s="621">
        <f>IF(Data!$JG$62="&lt;11",0,Data!$JG$62)</f>
        <v>5</v>
      </c>
      <c r="S171" s="618">
        <f>Data!$RS$62</f>
        <v>1E-3</v>
      </c>
      <c r="U171" s="44"/>
      <c r="V171"/>
    </row>
    <row r="172" spans="1:23" x14ac:dyDescent="0.35">
      <c r="A172" s="328">
        <v>16</v>
      </c>
      <c r="B172" s="19" t="e">
        <f>INDEX($M$157:$M$175,MATCH($A$18,$L$157:$L$175,0))</f>
        <v>#N/A</v>
      </c>
      <c r="C172" s="621" t="e">
        <f t="shared" si="8"/>
        <v>#N/A</v>
      </c>
      <c r="D172" s="357" t="e">
        <f>IF($C$172="&lt;11","&lt;11",INDEX($O$157:$O$175,MATCH($A$172,$L$157:$L$175,0)))</f>
        <v>#N/A</v>
      </c>
      <c r="E172" s="621" t="e">
        <f t="shared" si="9"/>
        <v>#N/A</v>
      </c>
      <c r="F172" s="357" t="e">
        <f t="shared" si="10"/>
        <v>#N/A</v>
      </c>
      <c r="G172" s="621" t="e">
        <f>INDEX($R$157:$R$175,MATCH($B$172,$M$157:$M$175,0))</f>
        <v>#N/A</v>
      </c>
      <c r="H172" s="618" t="e">
        <f t="shared" si="11"/>
        <v>#N/A</v>
      </c>
      <c r="I172" s="621" t="e">
        <f t="shared" si="13"/>
        <v>#N/A</v>
      </c>
      <c r="J172" s="357" t="e">
        <f t="shared" si="12"/>
        <v>#N/A</v>
      </c>
      <c r="K172" s="417"/>
      <c r="L172" s="338" t="e">
        <f>RANK($N$172,$N$157:$N$175,0)+COUNTIF($N$157:$N$172,$N$172)-1</f>
        <v>#VALUE!</v>
      </c>
      <c r="M172" s="44" t="s">
        <v>301</v>
      </c>
      <c r="N172" s="621" t="str">
        <f>IF(Data!$JH$71="&lt;11",0,Data!$JH$71)</f>
        <v/>
      </c>
      <c r="O172" s="618" t="str">
        <f>Data!$RT$71</f>
        <v/>
      </c>
      <c r="P172" s="621" t="str">
        <f>IF(Data!$JH$72="&lt;11",0,Data!$JH$72)</f>
        <v/>
      </c>
      <c r="Q172" s="618" t="str">
        <f>Data!$RT$72</f>
        <v/>
      </c>
      <c r="R172" s="621">
        <f>IF(Data!$JH$62="&lt;11",0,Data!$JH$62)</f>
        <v>2</v>
      </c>
      <c r="S172" s="618">
        <f>Data!$RT$62</f>
        <v>0</v>
      </c>
      <c r="U172" s="44"/>
      <c r="V172"/>
    </row>
    <row r="173" spans="1:23" x14ac:dyDescent="0.35">
      <c r="A173" s="328">
        <v>17</v>
      </c>
      <c r="B173" s="19" t="e">
        <f>INDEX($M$157:$M$175,MATCH($A$19,$L$157:$L$175,0))</f>
        <v>#N/A</v>
      </c>
      <c r="C173" s="621" t="e">
        <f t="shared" si="8"/>
        <v>#N/A</v>
      </c>
      <c r="D173" s="357" t="e">
        <f>IF($C$173="&lt;11","&lt;11",INDEX($O$157:$O$175,MATCH($A$173,$L$157:$L$175,0)))</f>
        <v>#N/A</v>
      </c>
      <c r="E173" s="621" t="e">
        <f t="shared" si="9"/>
        <v>#N/A</v>
      </c>
      <c r="F173" s="357" t="e">
        <f t="shared" si="10"/>
        <v>#N/A</v>
      </c>
      <c r="G173" s="621" t="e">
        <f>INDEX($R$157:$R$175,MATCH($B$173,$M$157:$M$175,0))</f>
        <v>#N/A</v>
      </c>
      <c r="H173" s="618" t="e">
        <f t="shared" si="11"/>
        <v>#N/A</v>
      </c>
      <c r="I173" s="621" t="e">
        <f t="shared" si="13"/>
        <v>#N/A</v>
      </c>
      <c r="J173" s="357" t="e">
        <f t="shared" si="12"/>
        <v>#N/A</v>
      </c>
      <c r="K173" s="417"/>
      <c r="L173" s="338" t="e">
        <f>RANK($N$173,$N$157:$N$175,0)+COUNTIF($N$157:$N$173,$N$173)-1</f>
        <v>#VALUE!</v>
      </c>
      <c r="M173" s="44" t="s">
        <v>96</v>
      </c>
      <c r="N173" s="621" t="str">
        <f>IF(Data!$JI$71="&lt;11",0,Data!$JI$71)</f>
        <v/>
      </c>
      <c r="O173" s="618" t="str">
        <f>Data!$RU$71</f>
        <v/>
      </c>
      <c r="P173" s="621" t="str">
        <f>IF(Data!$JI$72="&lt;11",0,Data!$JI$72)</f>
        <v/>
      </c>
      <c r="Q173" s="618" t="str">
        <f>Data!$RU$72</f>
        <v/>
      </c>
      <c r="R173" s="621">
        <f>IF(Data!$JI$62="&lt;11",0,Data!$JI$62)</f>
        <v>20</v>
      </c>
      <c r="S173" s="618">
        <f>Data!$RU$62</f>
        <v>2E-3</v>
      </c>
      <c r="U173" s="44"/>
      <c r="V173"/>
    </row>
    <row r="174" spans="1:23" x14ac:dyDescent="0.35">
      <c r="A174" s="328">
        <v>18</v>
      </c>
      <c r="B174" s="19" t="e">
        <f>INDEX($M$157:$M$175,MATCH($A$20,$L$157:$L$175,0))</f>
        <v>#N/A</v>
      </c>
      <c r="C174" s="621" t="e">
        <f t="shared" si="8"/>
        <v>#N/A</v>
      </c>
      <c r="D174" s="357" t="e">
        <f>IF($C$174="&lt;11","&lt;11",INDEX($O$157:$O$175,MATCH($A$174,$L$157:$L$175,0)))</f>
        <v>#N/A</v>
      </c>
      <c r="E174" s="621" t="e">
        <f t="shared" si="9"/>
        <v>#N/A</v>
      </c>
      <c r="F174" s="357" t="e">
        <f t="shared" si="10"/>
        <v>#N/A</v>
      </c>
      <c r="G174" s="621" t="e">
        <f>INDEX($R$157:$R$175,MATCH($B$174,$M$157:$M$175,0))</f>
        <v>#N/A</v>
      </c>
      <c r="H174" s="618" t="e">
        <f t="shared" si="11"/>
        <v>#N/A</v>
      </c>
      <c r="I174" s="621" t="e">
        <f t="shared" si="13"/>
        <v>#N/A</v>
      </c>
      <c r="J174" s="357" t="e">
        <f t="shared" si="12"/>
        <v>#N/A</v>
      </c>
      <c r="K174" s="417"/>
      <c r="L174" s="338" t="e">
        <f>RANK($N$174,$N$157:$N$175,0)+COUNTIF($N$157:$N$174,$N$174)-1</f>
        <v>#VALUE!</v>
      </c>
      <c r="M174" s="44" t="s">
        <v>97</v>
      </c>
      <c r="N174" s="621" t="str">
        <f>IF(Data!$JJ$71="&lt;11",0,Data!$JJ$71)</f>
        <v/>
      </c>
      <c r="O174" s="618" t="str">
        <f>Data!$RV$71</f>
        <v/>
      </c>
      <c r="P174" s="621" t="str">
        <f>IF(Data!$JJ$72="&lt;11",0,Data!$JJ$72)</f>
        <v/>
      </c>
      <c r="Q174" s="618" t="str">
        <f>Data!$RV$72</f>
        <v/>
      </c>
      <c r="R174" s="621">
        <f>IF(Data!$JJ$62="&lt;11",0,Data!$JJ$62)</f>
        <v>89</v>
      </c>
      <c r="S174" s="618">
        <f>Data!$RV$62</f>
        <v>0.01</v>
      </c>
      <c r="U174" s="44"/>
      <c r="V174"/>
    </row>
    <row r="175" spans="1:23" x14ac:dyDescent="0.35">
      <c r="A175" s="328">
        <v>19</v>
      </c>
      <c r="B175" s="19" t="e">
        <f>INDEX($M$157:$M$175,MATCH($A$21,$L$157:$L$175,0))</f>
        <v>#N/A</v>
      </c>
      <c r="C175" s="621" t="e">
        <f t="shared" si="8"/>
        <v>#N/A</v>
      </c>
      <c r="D175" s="357" t="e">
        <f>IF($C$175="&lt;11","&lt;11",INDEX($O$157:$O$175,MATCH($A$175,$L$157:$L$175,0)))</f>
        <v>#N/A</v>
      </c>
      <c r="E175" s="621" t="e">
        <f t="shared" si="9"/>
        <v>#N/A</v>
      </c>
      <c r="F175" s="357" t="e">
        <f t="shared" si="10"/>
        <v>#N/A</v>
      </c>
      <c r="G175" s="621" t="e">
        <f>INDEX($R$157:$R$175,MATCH($B$175,$M$157:$M$175,0))</f>
        <v>#N/A</v>
      </c>
      <c r="H175" s="618" t="e">
        <f t="shared" si="11"/>
        <v>#N/A</v>
      </c>
      <c r="I175" s="621" t="e">
        <f t="shared" si="13"/>
        <v>#N/A</v>
      </c>
      <c r="J175" s="357" t="e">
        <f t="shared" si="12"/>
        <v>#N/A</v>
      </c>
      <c r="K175" s="417"/>
      <c r="L175" s="338" t="e">
        <f>RANK($N$175,$N$157:$N$175,0)+COUNTIF($N$157:$N$175,$N$175)-1</f>
        <v>#VALUE!</v>
      </c>
      <c r="M175" s="44" t="s">
        <v>98</v>
      </c>
      <c r="N175" s="621" t="str">
        <f>IF(Data!$JK$71="&lt;11",0,Data!$JK$71)</f>
        <v/>
      </c>
      <c r="O175" s="618" t="str">
        <f>Data!$RW$71</f>
        <v/>
      </c>
      <c r="P175" s="621" t="str">
        <f>IF(Data!$JK$72="&lt;11",0,Data!$JK$72)</f>
        <v/>
      </c>
      <c r="Q175" s="618" t="str">
        <f>Data!$RW$72</f>
        <v/>
      </c>
      <c r="R175" s="621">
        <f>IF(Data!$JK$62="&lt;11",0,Data!$JK$62)</f>
        <v>422</v>
      </c>
      <c r="S175" s="618">
        <f>Data!$RW$62</f>
        <v>4.5999999999999999E-2</v>
      </c>
      <c r="V175"/>
    </row>
    <row r="176" spans="1:23" x14ac:dyDescent="0.35">
      <c r="B176" s="618"/>
      <c r="C176" s="618"/>
      <c r="D176" s="618"/>
      <c r="E176" s="618"/>
      <c r="F176" s="618"/>
      <c r="G176" s="618"/>
      <c r="H176" s="618"/>
      <c r="I176" s="618"/>
      <c r="J176" s="618"/>
      <c r="K176" s="618"/>
      <c r="L176" s="618"/>
      <c r="M176" s="618"/>
      <c r="N176" s="618"/>
      <c r="O176" s="618"/>
      <c r="P176" s="618"/>
      <c r="Q176" s="618"/>
      <c r="R176" s="618"/>
      <c r="S176"/>
      <c r="T176" s="618"/>
    </row>
    <row r="177" spans="1:22" x14ac:dyDescent="0.35">
      <c r="S177"/>
    </row>
    <row r="178" spans="1:22" x14ac:dyDescent="0.35">
      <c r="A178" s="619" t="s">
        <v>749</v>
      </c>
      <c r="B178" s="324"/>
      <c r="C178" s="324"/>
      <c r="D178" s="325"/>
      <c r="E178" s="325"/>
      <c r="F178" s="325"/>
      <c r="G178" s="325"/>
      <c r="H178" s="325"/>
      <c r="I178" s="325"/>
      <c r="J178" s="325"/>
      <c r="K178" s="325"/>
      <c r="L178" s="326"/>
      <c r="M178" s="327"/>
      <c r="S178"/>
    </row>
    <row r="179" spans="1:22" x14ac:dyDescent="0.35">
      <c r="A179" s="328"/>
      <c r="B179" s="329" t="s">
        <v>101</v>
      </c>
      <c r="C179" s="330" t="str">
        <f>COUNTY_SELECT</f>
        <v>County Name</v>
      </c>
      <c r="D179" s="331"/>
      <c r="E179" s="330" t="str">
        <f>Data!$A71</f>
        <v/>
      </c>
      <c r="F179" s="331"/>
      <c r="G179" s="643" t="s">
        <v>126</v>
      </c>
      <c r="H179" s="331"/>
      <c r="I179" s="634" t="s">
        <v>126</v>
      </c>
      <c r="J179" s="413"/>
      <c r="K179" s="413"/>
      <c r="L179" s="31"/>
      <c r="M179" s="323" t="s">
        <v>101</v>
      </c>
      <c r="N179" s="328" t="str">
        <f>COUNTY_SELECT</f>
        <v>County Name</v>
      </c>
      <c r="O179" s="251" t="s">
        <v>441</v>
      </c>
      <c r="P179" s="332" t="str">
        <f>Data!$A72</f>
        <v/>
      </c>
      <c r="Q179" s="56" t="s">
        <v>441</v>
      </c>
      <c r="R179" s="333" t="s">
        <v>126</v>
      </c>
      <c r="S179" s="623" t="s">
        <v>441</v>
      </c>
      <c r="V179"/>
    </row>
    <row r="180" spans="1:22" x14ac:dyDescent="0.35">
      <c r="A180" s="411"/>
      <c r="B180" s="628"/>
      <c r="C180" s="634" t="s">
        <v>757</v>
      </c>
      <c r="D180" s="416"/>
      <c r="E180" s="634" t="s">
        <v>754</v>
      </c>
      <c r="F180" s="416"/>
      <c r="G180" s="634" t="s">
        <v>757</v>
      </c>
      <c r="H180" s="413"/>
      <c r="I180" s="634" t="s">
        <v>754</v>
      </c>
      <c r="J180" s="413"/>
      <c r="K180" s="413"/>
      <c r="L180" s="31"/>
      <c r="M180" s="31"/>
      <c r="N180" s="31"/>
      <c r="O180" s="251"/>
      <c r="P180" s="56"/>
      <c r="Q180" s="56"/>
      <c r="S180" s="623"/>
      <c r="V180"/>
    </row>
    <row r="181" spans="1:22" x14ac:dyDescent="0.35">
      <c r="A181" s="328">
        <v>1</v>
      </c>
      <c r="B181" s="19" t="e">
        <f>INDEX($M$181:$M$199,MATCH($A$3,$L$181:$L$199,0))</f>
        <v>#N/A</v>
      </c>
      <c r="C181" s="621" t="e">
        <f>IF(INDEX($N$181:$N$199,MATCH($A$157,$L$181:$L$199,0))=0,"&lt;11",INDEX($N$181:$N$199,MATCH($A$157,$L$181:$L$199,0)))</f>
        <v>#N/A</v>
      </c>
      <c r="D181" s="357" t="e">
        <f t="shared" ref="D181:D199" si="14">IF($C181="&lt;11","&lt;11",INDEX($O$181:$O$199,MATCH($A181,$L$181:$L$199,0)))</f>
        <v>#N/A</v>
      </c>
      <c r="E181" s="334" t="e">
        <f t="shared" ref="E181:E199" si="15">IF(INDEX($K$3:$K$21,MATCH($A181,$L$181:$L$199,0))&lt;11,"&lt;11",INDEX($K$3:$K$21,MATCH($A181,$L$181:$L$199,0)))</f>
        <v>#N/A</v>
      </c>
      <c r="F181" s="357" t="e">
        <f t="shared" ref="F181:F199" si="16">IF(AND(LEFT($K$2,4)="Very",$E181="&lt;11"),"&lt;11",INDEX($L$3:$L$21,MATCH($B181,$M$181:$M$199,0)))</f>
        <v>#N/A</v>
      </c>
      <c r="G181" s="621" t="e">
        <f t="shared" ref="G181:G199" si="17">INDEX($R$181:$R$199,MATCH($B181,$M$181:$M$199,0))</f>
        <v>#N/A</v>
      </c>
      <c r="H181" s="618" t="e">
        <f>INDEX($R$181:$R199,MATCH($A181,$L$181:$L$199,0))/SUM($R$181:$R$199)</f>
        <v>#N/A</v>
      </c>
      <c r="I181" s="621" t="e">
        <f>INDEX($O$3:$O$21,MATCH($B181,$J$3:$J$21,0))</f>
        <v>#N/A</v>
      </c>
      <c r="J181" s="357" t="e">
        <f t="shared" ref="J181:J199" si="18">INDEX($P$3:$P$21,MATCH($B181,$J$3:$J$21,0))</f>
        <v>#N/A</v>
      </c>
      <c r="K181" s="417"/>
      <c r="L181" s="338" t="e">
        <f>RANK($N181,$N$181:$N$199,0)+COUNTIF($N$181:$N181,$N181)-1</f>
        <v>#VALUE!</v>
      </c>
      <c r="M181" s="44" t="s">
        <v>82</v>
      </c>
      <c r="N181" s="624" t="str">
        <f>IF(Data!$JL$71="&lt;11",0,Data!$JL$71)</f>
        <v/>
      </c>
      <c r="O181" s="618" t="str">
        <f>Data!$RX$71</f>
        <v/>
      </c>
      <c r="P181" s="624" t="str">
        <f>IF(Data!$JL$72="&lt;11",0,Data!$JL$72)</f>
        <v/>
      </c>
      <c r="Q181" s="618" t="str">
        <f>Data!$RX$72</f>
        <v/>
      </c>
      <c r="R181" s="624">
        <f>IF(Data!$JL$62="&lt;11",0,Data!$JL$62)</f>
        <v>25856120</v>
      </c>
      <c r="S181" s="618">
        <f>Data!$RX$62</f>
        <v>0.30399999999999999</v>
      </c>
      <c r="V181"/>
    </row>
    <row r="182" spans="1:22" x14ac:dyDescent="0.35">
      <c r="A182" s="328">
        <v>2</v>
      </c>
      <c r="B182" s="19" t="e">
        <f>INDEX($M$181:$M$199,MATCH($A$4,$L$181:$L$199,0))</f>
        <v>#N/A</v>
      </c>
      <c r="C182" s="621" t="e">
        <f>IF(INDEX($N$181:$N$199,MATCH($A$158,$L$181:$L$199,0))=0,"&lt;11",INDEX($N$181:$N$199,MATCH($A$158,$L$181:$L$199,0)))</f>
        <v>#N/A</v>
      </c>
      <c r="D182" s="357" t="e">
        <f t="shared" si="14"/>
        <v>#N/A</v>
      </c>
      <c r="E182" s="621" t="e">
        <f t="shared" si="15"/>
        <v>#N/A</v>
      </c>
      <c r="F182" s="357" t="e">
        <f t="shared" si="16"/>
        <v>#N/A</v>
      </c>
      <c r="G182" s="621" t="e">
        <f t="shared" si="17"/>
        <v>#N/A</v>
      </c>
      <c r="H182" s="618" t="e">
        <f>INDEX($R$181:$R200,MATCH($A182,$L$181:$L$199,0))/SUM($R$181:$R$199)</f>
        <v>#N/A</v>
      </c>
      <c r="I182" s="621" t="e">
        <f t="shared" ref="I182:I199" si="19">INDEX($O$3:$O$21,MATCH($B182,$J$3:$J$21,0))</f>
        <v>#N/A</v>
      </c>
      <c r="J182" s="357" t="e">
        <f t="shared" si="18"/>
        <v>#N/A</v>
      </c>
      <c r="K182" s="417"/>
      <c r="L182" s="338" t="e">
        <f>RANK($N182,$N$181:$N$199,0)+COUNTIF($N$181:$N182,$N182)-1</f>
        <v>#VALUE!</v>
      </c>
      <c r="M182" s="44" t="s">
        <v>83</v>
      </c>
      <c r="N182" s="624" t="str">
        <f>IF(Data!$JM$71="&lt;11",0,Data!$JM$71)</f>
        <v/>
      </c>
      <c r="O182" s="618" t="str">
        <f>Data!$RY$71</f>
        <v/>
      </c>
      <c r="P182" s="624" t="str">
        <f>IF(Data!$JM$72="&lt;11",0,Data!$JM$72)</f>
        <v/>
      </c>
      <c r="Q182" s="618" t="str">
        <f>Data!$RY$72</f>
        <v/>
      </c>
      <c r="R182" s="624">
        <f>IF(Data!$JM$62="&lt;11",0,Data!$JM$62)</f>
        <v>27235502.699999999</v>
      </c>
      <c r="S182" s="618">
        <f>Data!$RY$62</f>
        <v>0.32</v>
      </c>
    </row>
    <row r="183" spans="1:22" x14ac:dyDescent="0.35">
      <c r="A183" s="328">
        <v>3</v>
      </c>
      <c r="B183" s="19" t="e">
        <f>INDEX($M$181:$M$199,MATCH($A$5,$L$181:$L$199,0))</f>
        <v>#N/A</v>
      </c>
      <c r="C183" s="621" t="e">
        <f>IF(INDEX($N$181:$N$199,MATCH($A$159,$L$181:$L$199,0))=0,"&lt;11",INDEX($N$181:$N$199,MATCH($A$159,$L$181:$L$199,0)))</f>
        <v>#N/A</v>
      </c>
      <c r="D183" s="357" t="e">
        <f t="shared" si="14"/>
        <v>#N/A</v>
      </c>
      <c r="E183" s="621" t="e">
        <f t="shared" si="15"/>
        <v>#N/A</v>
      </c>
      <c r="F183" s="357" t="e">
        <f t="shared" si="16"/>
        <v>#N/A</v>
      </c>
      <c r="G183" s="621" t="e">
        <f t="shared" si="17"/>
        <v>#N/A</v>
      </c>
      <c r="H183" s="618" t="e">
        <f>INDEX($R$181:$R201,MATCH($A183,$L$181:$L$199,0))/SUM($R$181:$R$199)</f>
        <v>#N/A</v>
      </c>
      <c r="I183" s="621" t="e">
        <f t="shared" si="19"/>
        <v>#N/A</v>
      </c>
      <c r="J183" s="357" t="e">
        <f t="shared" si="18"/>
        <v>#N/A</v>
      </c>
      <c r="K183" s="417"/>
      <c r="L183" s="338" t="e">
        <f>RANK($N183,$N$181:$N$199,0)+COUNTIF($N$181:$N183,$N183)-1</f>
        <v>#VALUE!</v>
      </c>
      <c r="M183" s="44" t="s">
        <v>129</v>
      </c>
      <c r="N183" s="624" t="str">
        <f>IF(Data!$JN$71="&lt;11",0,Data!$JN$71)</f>
        <v/>
      </c>
      <c r="O183" s="618" t="str">
        <f>Data!$RZ$71</f>
        <v/>
      </c>
      <c r="P183" s="624" t="str">
        <f>IF(Data!$JN$72="&lt;11",0,Data!$JN$72)</f>
        <v/>
      </c>
      <c r="Q183" s="618" t="str">
        <f>Data!$RZ$72</f>
        <v/>
      </c>
      <c r="R183" s="624">
        <f>IF(Data!$JN$62="&lt;11",0,Data!$JN$62)</f>
        <v>11697170.1</v>
      </c>
      <c r="S183" s="618">
        <f>Data!$RZ$62</f>
        <v>0.13700000000000001</v>
      </c>
    </row>
    <row r="184" spans="1:22" x14ac:dyDescent="0.35">
      <c r="A184" s="328">
        <v>4</v>
      </c>
      <c r="B184" s="19" t="e">
        <f>INDEX($M$181:$M$199,MATCH($A$6,$L$181:$L$199,0))</f>
        <v>#N/A</v>
      </c>
      <c r="C184" s="621" t="e">
        <f>IF(INDEX($N$181:$N$199,MATCH($A$160,$L$181:$L$199,0))=0,"&lt;11",INDEX($N$181:$N$199,MATCH($A$160,$L$181:$L$199,0)))</f>
        <v>#N/A</v>
      </c>
      <c r="D184" s="357" t="e">
        <f t="shared" si="14"/>
        <v>#N/A</v>
      </c>
      <c r="E184" s="621" t="e">
        <f t="shared" si="15"/>
        <v>#N/A</v>
      </c>
      <c r="F184" s="357" t="e">
        <f t="shared" si="16"/>
        <v>#N/A</v>
      </c>
      <c r="G184" s="621" t="e">
        <f t="shared" si="17"/>
        <v>#N/A</v>
      </c>
      <c r="H184" s="618" t="e">
        <f>INDEX($R$181:$R202,MATCH($A184,$L$181:$L$199,0))/SUM($R$181:$R$199)</f>
        <v>#N/A</v>
      </c>
      <c r="I184" s="621" t="e">
        <f t="shared" si="19"/>
        <v>#N/A</v>
      </c>
      <c r="J184" s="357" t="e">
        <f t="shared" si="18"/>
        <v>#N/A</v>
      </c>
      <c r="K184" s="417"/>
      <c r="L184" s="338" t="e">
        <f>RANK($N184,$N$181:$N$199,0)+COUNTIF($N$181:$N184,$N184)-1</f>
        <v>#VALUE!</v>
      </c>
      <c r="M184" s="44" t="s">
        <v>84</v>
      </c>
      <c r="N184" s="624" t="str">
        <f>IF(Data!$JO$71="&lt;11",0,Data!$JO$71)</f>
        <v/>
      </c>
      <c r="O184" s="618" t="str">
        <f>Data!$SA$71</f>
        <v/>
      </c>
      <c r="P184" s="624" t="str">
        <f>IF(Data!$JO$72="&lt;11",0,Data!$JO$72)</f>
        <v/>
      </c>
      <c r="Q184" s="618" t="str">
        <f>Data!$SA$72</f>
        <v/>
      </c>
      <c r="R184" s="624">
        <f>IF(Data!$JO$62="&lt;11",0,Data!$JO$62)</f>
        <v>1910185.2</v>
      </c>
      <c r="S184" s="618">
        <f>Data!$SA$62</f>
        <v>2.1999999999999999E-2</v>
      </c>
    </row>
    <row r="185" spans="1:22" x14ac:dyDescent="0.35">
      <c r="A185" s="328">
        <v>5</v>
      </c>
      <c r="B185" s="19" t="e">
        <f>INDEX($M$181:$M$199,MATCH($A$7,$L$181:$L$199,0))</f>
        <v>#N/A</v>
      </c>
      <c r="C185" s="621" t="e">
        <f>IF(INDEX($N$181:$N$199,MATCH($A$161,$L$181:$L$199,0))=0,"&lt;11",INDEX($N$181:$N$199,MATCH($A$161,$L$181:$L$199,0)))</f>
        <v>#N/A</v>
      </c>
      <c r="D185" s="357" t="e">
        <f t="shared" si="14"/>
        <v>#N/A</v>
      </c>
      <c r="E185" s="621" t="e">
        <f t="shared" si="15"/>
        <v>#N/A</v>
      </c>
      <c r="F185" s="357" t="e">
        <f t="shared" si="16"/>
        <v>#N/A</v>
      </c>
      <c r="G185" s="621" t="e">
        <f t="shared" si="17"/>
        <v>#N/A</v>
      </c>
      <c r="H185" s="618" t="e">
        <f>INDEX($R$181:$R203,MATCH($A185,$L$181:$L$199,0))/SUM($R$181:$R$199)</f>
        <v>#N/A</v>
      </c>
      <c r="I185" s="621" t="e">
        <f t="shared" si="19"/>
        <v>#N/A</v>
      </c>
      <c r="J185" s="357" t="e">
        <f t="shared" si="18"/>
        <v>#N/A</v>
      </c>
      <c r="K185" s="417"/>
      <c r="L185" s="338" t="e">
        <f>RANK($N185,$N$181:$N$199,0)+COUNTIF($N$181:$N185,$N185)-1</f>
        <v>#VALUE!</v>
      </c>
      <c r="M185" s="44" t="s">
        <v>85</v>
      </c>
      <c r="N185" s="624" t="str">
        <f>IF(Data!$JP$71="&lt;11",0,Data!$JP$71)</f>
        <v/>
      </c>
      <c r="O185" s="618" t="str">
        <f>Data!$SB$71</f>
        <v/>
      </c>
      <c r="P185" s="624" t="str">
        <f>IF(Data!$JP$72="&lt;11",0,Data!$JP$72)</f>
        <v/>
      </c>
      <c r="Q185" s="618" t="str">
        <f>Data!$SB$72</f>
        <v/>
      </c>
      <c r="R185" s="624">
        <f>IF(Data!$JP$62="&lt;11",0,Data!$JP$62)</f>
        <v>391374.7</v>
      </c>
      <c r="S185" s="618">
        <f>Data!$SB$62</f>
        <v>5.0000000000000001E-3</v>
      </c>
    </row>
    <row r="186" spans="1:22" x14ac:dyDescent="0.35">
      <c r="A186" s="328">
        <v>6</v>
      </c>
      <c r="B186" s="19" t="e">
        <f>INDEX($M$181:$M$199,MATCH($A$8,$L$181:$L$199,0))</f>
        <v>#N/A</v>
      </c>
      <c r="C186" s="621" t="e">
        <f>IF(INDEX($N$181:$N$199,MATCH($A$162,$L$181:$L$199,0))=0,"&lt;11",INDEX($N$181:$N$199,MATCH($A$162,$L$181:$L$199,0)))</f>
        <v>#N/A</v>
      </c>
      <c r="D186" s="357" t="e">
        <f t="shared" si="14"/>
        <v>#N/A</v>
      </c>
      <c r="E186" s="621" t="e">
        <f t="shared" si="15"/>
        <v>#N/A</v>
      </c>
      <c r="F186" s="357" t="e">
        <f t="shared" si="16"/>
        <v>#N/A</v>
      </c>
      <c r="G186" s="621" t="e">
        <f t="shared" si="17"/>
        <v>#N/A</v>
      </c>
      <c r="H186" s="618" t="e">
        <f>INDEX($R$181:$R204,MATCH($A186,$L$181:$L$199,0))/SUM($R$181:$R$199)</f>
        <v>#N/A</v>
      </c>
      <c r="I186" s="621" t="e">
        <f t="shared" si="19"/>
        <v>#N/A</v>
      </c>
      <c r="J186" s="357" t="e">
        <f t="shared" si="18"/>
        <v>#N/A</v>
      </c>
      <c r="K186" s="417"/>
      <c r="L186" s="338" t="e">
        <f>RANK($N186,$N$181:$N$199,0)+COUNTIF($N$181:$N186,$N186)-1</f>
        <v>#VALUE!</v>
      </c>
      <c r="M186" s="44" t="s">
        <v>86</v>
      </c>
      <c r="N186" s="624" t="str">
        <f>IF(Data!$JQ$71="&lt;11",0,Data!$JQ$71)</f>
        <v/>
      </c>
      <c r="O186" s="618" t="str">
        <f>Data!$SC$71</f>
        <v/>
      </c>
      <c r="P186" s="624" t="str">
        <f>IF(Data!$JQ$72="&lt;11",0,Data!$JQ$72)</f>
        <v/>
      </c>
      <c r="Q186" s="618" t="str">
        <f>Data!$SC$72</f>
        <v/>
      </c>
      <c r="R186" s="624">
        <f>IF(Data!$JQ$62="&lt;11",0,Data!$JQ$62)</f>
        <v>2615225.7000000002</v>
      </c>
      <c r="S186" s="618">
        <f>Data!$SC$62</f>
        <v>3.1E-2</v>
      </c>
    </row>
    <row r="187" spans="1:22" x14ac:dyDescent="0.35">
      <c r="A187" s="328">
        <v>7</v>
      </c>
      <c r="B187" s="19" t="e">
        <f>INDEX($M$181:$M$199,MATCH($A$9,$L$181:$L$199,0))</f>
        <v>#N/A</v>
      </c>
      <c r="C187" s="621" t="e">
        <f>IF(INDEX($N$181:$N$199,MATCH($A$163,$L$181:$L$199,0))=0,"&lt;11",INDEX($N$181:$N$199,MATCH($A$163,$L$181:$L$199,0)))</f>
        <v>#N/A</v>
      </c>
      <c r="D187" s="357" t="e">
        <f t="shared" si="14"/>
        <v>#N/A</v>
      </c>
      <c r="E187" s="621" t="e">
        <f t="shared" si="15"/>
        <v>#N/A</v>
      </c>
      <c r="F187" s="357" t="e">
        <f t="shared" si="16"/>
        <v>#N/A</v>
      </c>
      <c r="G187" s="621" t="e">
        <f t="shared" si="17"/>
        <v>#N/A</v>
      </c>
      <c r="H187" s="618" t="e">
        <f>INDEX($R$181:$R206,MATCH($A187,$L$181:$L$199,0))/SUM($R$181:$R$199)</f>
        <v>#N/A</v>
      </c>
      <c r="I187" s="621" t="e">
        <f t="shared" si="19"/>
        <v>#N/A</v>
      </c>
      <c r="J187" s="357" t="e">
        <f t="shared" si="18"/>
        <v>#N/A</v>
      </c>
      <c r="K187" s="417"/>
      <c r="L187" s="338" t="e">
        <f>RANK($N187,$N$181:$N$199,0)+COUNTIF($N$181:$N187,$N187)-1</f>
        <v>#VALUE!</v>
      </c>
      <c r="M187" s="44" t="s">
        <v>381</v>
      </c>
      <c r="N187" s="624" t="str">
        <f>IF(Data!$JR$71="&lt;11",0,Data!$JR$71)</f>
        <v/>
      </c>
      <c r="O187" s="618" t="str">
        <f>Data!$SD$71</f>
        <v/>
      </c>
      <c r="P187" s="624" t="str">
        <f>IF(Data!$JR$72="&lt;11",0,Data!$JR$72)</f>
        <v/>
      </c>
      <c r="Q187" s="618" t="str">
        <f>Data!$SD$72</f>
        <v/>
      </c>
      <c r="R187" s="624">
        <f>IF(Data!$JR$62="&lt;11",0,Data!$JR$62)</f>
        <v>1110867.8999999999</v>
      </c>
      <c r="S187" s="618">
        <f>Data!$SD$62</f>
        <v>1.2999999999999999E-2</v>
      </c>
    </row>
    <row r="188" spans="1:22" x14ac:dyDescent="0.35">
      <c r="A188" s="328">
        <v>8</v>
      </c>
      <c r="B188" s="19" t="e">
        <f>INDEX($M$181:$M$199,MATCH($A$10,$L$181:$L$199,0))</f>
        <v>#N/A</v>
      </c>
      <c r="C188" s="621" t="e">
        <f>IF(INDEX($N$181:$N$199,MATCH($A$164,$L$181:$L$199,0))=0,"&lt;11",INDEX($N$181:$N$199,MATCH($A$164,$L$181:$L$199,0)))</f>
        <v>#N/A</v>
      </c>
      <c r="D188" s="357" t="e">
        <f t="shared" si="14"/>
        <v>#N/A</v>
      </c>
      <c r="E188" s="621" t="e">
        <f t="shared" si="15"/>
        <v>#N/A</v>
      </c>
      <c r="F188" s="357" t="e">
        <f t="shared" si="16"/>
        <v>#N/A</v>
      </c>
      <c r="G188" s="621" t="e">
        <f t="shared" si="17"/>
        <v>#N/A</v>
      </c>
      <c r="H188" s="618" t="e">
        <f>INDEX($R$181:$R207,MATCH($A188,$L$181:$L$199,0))/SUM($R$181:$R$199)</f>
        <v>#N/A</v>
      </c>
      <c r="I188" s="621" t="e">
        <f t="shared" si="19"/>
        <v>#N/A</v>
      </c>
      <c r="J188" s="357" t="e">
        <f t="shared" si="18"/>
        <v>#N/A</v>
      </c>
      <c r="K188" s="417"/>
      <c r="L188" s="338" t="e">
        <f>RANK($N188,$N$181:$N$199,0)+COUNTIF($N$181:$N188,$N188)-1</f>
        <v>#VALUE!</v>
      </c>
      <c r="M188" s="44" t="s">
        <v>88</v>
      </c>
      <c r="N188" s="624" t="str">
        <f>IF(Data!$JS$71="&lt;11",0,Data!$JS$71)</f>
        <v/>
      </c>
      <c r="O188" s="618" t="str">
        <f>Data!$SE$71</f>
        <v/>
      </c>
      <c r="P188" s="624" t="str">
        <f>IF(Data!$JS$72="&lt;11",0,Data!$JS$72)</f>
        <v/>
      </c>
      <c r="Q188" s="618" t="str">
        <f>Data!$SE$72</f>
        <v/>
      </c>
      <c r="R188" s="624">
        <f>IF(Data!$JS$62="&lt;11",0,Data!$JS$62)</f>
        <v>44891.6</v>
      </c>
      <c r="S188" s="618">
        <f>Data!$SE$62</f>
        <v>1E-3</v>
      </c>
    </row>
    <row r="189" spans="1:22" x14ac:dyDescent="0.35">
      <c r="A189" s="328">
        <v>9</v>
      </c>
      <c r="B189" s="19" t="e">
        <f>INDEX($M$181:$M$199,MATCH($A$11,$L$181:$L$199,0))</f>
        <v>#N/A</v>
      </c>
      <c r="C189" s="621" t="e">
        <f>IF(INDEX($N$181:$N$199,MATCH($A$165,$L$181:$L$199,0))=0,"&lt;11",INDEX($N$181:$N$199,MATCH($A$165,$L$181:$L$199,0)))</f>
        <v>#N/A</v>
      </c>
      <c r="D189" s="357" t="e">
        <f t="shared" si="14"/>
        <v>#N/A</v>
      </c>
      <c r="E189" s="621" t="e">
        <f t="shared" si="15"/>
        <v>#N/A</v>
      </c>
      <c r="F189" s="357" t="e">
        <f t="shared" si="16"/>
        <v>#N/A</v>
      </c>
      <c r="G189" s="621" t="e">
        <f t="shared" si="17"/>
        <v>#N/A</v>
      </c>
      <c r="H189" s="618" t="e">
        <f>INDEX($R$181:$R208,MATCH($A189,$L$181:$L$199,0))/SUM($R$181:$R$199)</f>
        <v>#N/A</v>
      </c>
      <c r="I189" s="621" t="e">
        <f t="shared" si="19"/>
        <v>#N/A</v>
      </c>
      <c r="J189" s="357" t="e">
        <f t="shared" si="18"/>
        <v>#N/A</v>
      </c>
      <c r="K189" s="417"/>
      <c r="L189" s="338" t="e">
        <f>RANK($N189,$N$181:$N$199,0)+COUNTIF($N$181:$N189,$N189)-1</f>
        <v>#VALUE!</v>
      </c>
      <c r="M189" s="44" t="s">
        <v>89</v>
      </c>
      <c r="N189" s="624" t="str">
        <f>IF(Data!$JT$71="&lt;11",0,Data!$JT$71)</f>
        <v/>
      </c>
      <c r="O189" s="618" t="str">
        <f>Data!$SF$71</f>
        <v/>
      </c>
      <c r="P189" s="624" t="str">
        <f>IF(Data!$JT$72="&lt;11",0,Data!$JT$72)</f>
        <v/>
      </c>
      <c r="Q189" s="618" t="str">
        <f>Data!$SF$72</f>
        <v/>
      </c>
      <c r="R189" s="624">
        <f>IF(Data!$JT$62="&lt;11",0,Data!$JT$62)</f>
        <v>4454641.0999999996</v>
      </c>
      <c r="S189" s="618">
        <f>Data!$SF$62</f>
        <v>5.1999999999999998E-2</v>
      </c>
    </row>
    <row r="190" spans="1:22" x14ac:dyDescent="0.35">
      <c r="A190" s="328">
        <v>10</v>
      </c>
      <c r="B190" s="19" t="e">
        <f>INDEX($M$181:$M$199,MATCH($A$12,$L$181:$L$199,0))</f>
        <v>#N/A</v>
      </c>
      <c r="C190" s="621" t="e">
        <f>IF(INDEX($N$181:$N$199,MATCH($A$166,$L$181:$L$199,0))=0,"&lt;11",INDEX($N$181:$N$199,MATCH($A$166,$L$181:$L$199,0)))</f>
        <v>#N/A</v>
      </c>
      <c r="D190" s="357" t="e">
        <f t="shared" si="14"/>
        <v>#N/A</v>
      </c>
      <c r="E190" s="621" t="e">
        <f t="shared" si="15"/>
        <v>#N/A</v>
      </c>
      <c r="F190" s="357" t="e">
        <f t="shared" si="16"/>
        <v>#N/A</v>
      </c>
      <c r="G190" s="621" t="e">
        <f t="shared" si="17"/>
        <v>#N/A</v>
      </c>
      <c r="H190" s="618" t="e">
        <f>INDEX($R$181:$R209,MATCH($A190,$L$181:$L$199,0))/SUM($R$181:$R$199)</f>
        <v>#N/A</v>
      </c>
      <c r="I190" s="621" t="e">
        <f t="shared" si="19"/>
        <v>#N/A</v>
      </c>
      <c r="J190" s="357" t="e">
        <f t="shared" si="18"/>
        <v>#N/A</v>
      </c>
      <c r="K190" s="417"/>
      <c r="L190" s="338" t="e">
        <f>RANK($N190,$N$181:$N$199,0)+COUNTIF($N$181:$N190,$N190)-1</f>
        <v>#VALUE!</v>
      </c>
      <c r="M190" s="44" t="s">
        <v>90</v>
      </c>
      <c r="N190" s="624" t="str">
        <f>IF(Data!$JU$71="&lt;11",0,Data!$JU$71)</f>
        <v/>
      </c>
      <c r="O190" s="618" t="str">
        <f>Data!$SG$71</f>
        <v/>
      </c>
      <c r="P190" s="624" t="str">
        <f>IF(Data!$JU$72="&lt;11",0,Data!$JU$72)</f>
        <v/>
      </c>
      <c r="Q190" s="618" t="str">
        <f>Data!$SG$72</f>
        <v/>
      </c>
      <c r="R190" s="624">
        <f>IF(Data!$JU$62="&lt;11",0,Data!$JU$62)</f>
        <v>646204.30000000005</v>
      </c>
      <c r="S190" s="618">
        <f>Data!$SG$62</f>
        <v>8.0000000000000002E-3</v>
      </c>
    </row>
    <row r="191" spans="1:22" x14ac:dyDescent="0.35">
      <c r="A191" s="328">
        <v>11</v>
      </c>
      <c r="B191" s="19" t="e">
        <f>INDEX($M$181:$M$199,MATCH($A$13,$L$181:$L$199,0))</f>
        <v>#N/A</v>
      </c>
      <c r="C191" s="621" t="e">
        <f>IF(INDEX($N$181:$N$199,MATCH($A$167,$L$181:$L$199,0))=0,"&lt;11",INDEX($N$181:$N$199,MATCH($A$167,$L$181:$L$199,0)))</f>
        <v>#N/A</v>
      </c>
      <c r="D191" s="357" t="e">
        <f t="shared" si="14"/>
        <v>#N/A</v>
      </c>
      <c r="E191" s="621" t="e">
        <f t="shared" si="15"/>
        <v>#N/A</v>
      </c>
      <c r="F191" s="357" t="e">
        <f t="shared" si="16"/>
        <v>#N/A</v>
      </c>
      <c r="G191" s="621" t="e">
        <f t="shared" si="17"/>
        <v>#N/A</v>
      </c>
      <c r="H191" s="618" t="e">
        <f>INDEX($R$181:$R210,MATCH($A191,$L$181:$L$199,0))/SUM($R$181:$R$199)</f>
        <v>#N/A</v>
      </c>
      <c r="I191" s="621" t="e">
        <f t="shared" si="19"/>
        <v>#N/A</v>
      </c>
      <c r="J191" s="357" t="e">
        <f t="shared" si="18"/>
        <v>#N/A</v>
      </c>
      <c r="K191" s="417"/>
      <c r="L191" s="338" t="e">
        <f>RANK($N191,$N$181:$N$199,0)+COUNTIF($N$181:$N191,$N191)-1</f>
        <v>#VALUE!</v>
      </c>
      <c r="M191" s="44" t="s">
        <v>91</v>
      </c>
      <c r="N191" s="624" t="str">
        <f>IF(Data!$JV$71="&lt;11",0,Data!$JV$71)</f>
        <v/>
      </c>
      <c r="O191" s="618" t="str">
        <f>Data!$SH$71</f>
        <v/>
      </c>
      <c r="P191" s="624" t="str">
        <f>IF(Data!$JV$72="&lt;11",0,Data!$JV$72)</f>
        <v/>
      </c>
      <c r="Q191" s="618" t="str">
        <f>Data!$SH$72</f>
        <v/>
      </c>
      <c r="R191" s="624">
        <f>IF(Data!$JV$62="&lt;11",0,Data!$JV$62)</f>
        <v>118288</v>
      </c>
      <c r="S191" s="618">
        <f>Data!$SH$62</f>
        <v>1E-3</v>
      </c>
    </row>
    <row r="192" spans="1:22" x14ac:dyDescent="0.35">
      <c r="A192" s="328">
        <v>12</v>
      </c>
      <c r="B192" s="19" t="e">
        <f>INDEX($M$181:$M$199,MATCH($A$14,$L$181:$L$199,0))</f>
        <v>#N/A</v>
      </c>
      <c r="C192" s="621" t="e">
        <f>IF(INDEX($N$181:$N$199,MATCH($A$168,$L$181:$L$199,0))=0,"&lt;11",INDEX($N$181:$N$199,MATCH($A$168,$L$181:$L$199,0)))</f>
        <v>#N/A</v>
      </c>
      <c r="D192" s="357" t="e">
        <f t="shared" si="14"/>
        <v>#N/A</v>
      </c>
      <c r="E192" s="621" t="e">
        <f t="shared" si="15"/>
        <v>#N/A</v>
      </c>
      <c r="F192" s="357" t="e">
        <f t="shared" si="16"/>
        <v>#N/A</v>
      </c>
      <c r="G192" s="621" t="e">
        <f t="shared" si="17"/>
        <v>#N/A</v>
      </c>
      <c r="H192" s="618" t="e">
        <f>INDEX($R$181:$R211,MATCH($A192,$L$181:$L$199,0))/SUM($R$181:$R$199)</f>
        <v>#N/A</v>
      </c>
      <c r="I192" s="621" t="e">
        <f t="shared" si="19"/>
        <v>#N/A</v>
      </c>
      <c r="J192" s="357" t="e">
        <f t="shared" si="18"/>
        <v>#N/A</v>
      </c>
      <c r="K192" s="417"/>
      <c r="L192" s="338" t="e">
        <f>RANK($N192,$N$181:$N$199,0)+COUNTIF($N$181:$N192,$N192)-1</f>
        <v>#VALUE!</v>
      </c>
      <c r="M192" s="44" t="s">
        <v>92</v>
      </c>
      <c r="N192" s="624" t="str">
        <f>IF(Data!$JW$71="&lt;11",0,Data!$JW$71)</f>
        <v/>
      </c>
      <c r="O192" s="618" t="str">
        <f>Data!$SI$71</f>
        <v/>
      </c>
      <c r="P192" s="624" t="str">
        <f>IF(Data!$JW$72="&lt;11",0,Data!$JW$72)</f>
        <v/>
      </c>
      <c r="Q192" s="618" t="str">
        <f>Data!$SI$72</f>
        <v/>
      </c>
      <c r="R192" s="624">
        <f>IF(Data!$JW$62="&lt;11",0,Data!$JW$62)</f>
        <v>1383851.7</v>
      </c>
      <c r="S192" s="618">
        <f>Data!$SI$62</f>
        <v>1.6E-2</v>
      </c>
    </row>
    <row r="193" spans="1:21" x14ac:dyDescent="0.35">
      <c r="A193" s="328">
        <v>13</v>
      </c>
      <c r="B193" s="19" t="e">
        <f>INDEX($M$181:$M$199,MATCH($A$15,$L$181:$L$199,0))</f>
        <v>#N/A</v>
      </c>
      <c r="C193" s="621" t="e">
        <f>IF(INDEX($N$181:$N$199,MATCH($A$169,$L$181:$L$199,0))=0,"&lt;11",INDEX($N$181:$N$199,MATCH($A$169,$L$181:$L$199,0)))</f>
        <v>#N/A</v>
      </c>
      <c r="D193" s="357" t="e">
        <f t="shared" si="14"/>
        <v>#N/A</v>
      </c>
      <c r="E193" s="621" t="e">
        <f t="shared" si="15"/>
        <v>#N/A</v>
      </c>
      <c r="F193" s="357" t="e">
        <f t="shared" si="16"/>
        <v>#N/A</v>
      </c>
      <c r="G193" s="621" t="e">
        <f t="shared" si="17"/>
        <v>#N/A</v>
      </c>
      <c r="H193" s="618" t="e">
        <f>INDEX($R$181:$R212,MATCH($A193,$L$181:$L$199,0))/SUM($R$181:$R$199)</f>
        <v>#N/A</v>
      </c>
      <c r="I193" s="621" t="e">
        <f t="shared" si="19"/>
        <v>#N/A</v>
      </c>
      <c r="J193" s="357" t="e">
        <f t="shared" si="18"/>
        <v>#N/A</v>
      </c>
      <c r="K193" s="417"/>
      <c r="L193" s="338" t="e">
        <f>RANK($N193,$N$181:$N$199,0)+COUNTIF($N$181:$N193,$N193)-1</f>
        <v>#VALUE!</v>
      </c>
      <c r="M193" s="44" t="s">
        <v>93</v>
      </c>
      <c r="N193" s="624" t="str">
        <f>IF(Data!$JX$71="&lt;11",0,Data!$JX$71)</f>
        <v/>
      </c>
      <c r="O193" s="618" t="str">
        <f>Data!$SJ$71</f>
        <v/>
      </c>
      <c r="P193" s="624" t="str">
        <f>IF(Data!$JX$72="&lt;11",0,Data!$JX$72)</f>
        <v/>
      </c>
      <c r="Q193" s="618" t="str">
        <f>Data!$SJ$72</f>
        <v/>
      </c>
      <c r="R193" s="624">
        <f>IF(Data!$JX$62="&lt;11",0,Data!$JX$62)</f>
        <v>93687.9</v>
      </c>
      <c r="S193" s="618">
        <f>Data!$SJ$62</f>
        <v>1E-3</v>
      </c>
    </row>
    <row r="194" spans="1:21" x14ac:dyDescent="0.35">
      <c r="A194" s="328">
        <v>14</v>
      </c>
      <c r="B194" s="19" t="e">
        <f>INDEX($M$181:$M$199,MATCH($A$16,$L$181:$L$199,0))</f>
        <v>#N/A</v>
      </c>
      <c r="C194" s="621" t="e">
        <f>IF(INDEX($N$181:$N$199,MATCH($A$170,$L$181:$L$199,0))=0,"&lt;11",INDEX($N$181:$N$199,MATCH($A$170,$L$181:$L$199,0)))</f>
        <v>#N/A</v>
      </c>
      <c r="D194" s="357" t="e">
        <f t="shared" si="14"/>
        <v>#N/A</v>
      </c>
      <c r="E194" s="621" t="e">
        <f t="shared" si="15"/>
        <v>#N/A</v>
      </c>
      <c r="F194" s="357" t="e">
        <f t="shared" si="16"/>
        <v>#N/A</v>
      </c>
      <c r="G194" s="621" t="e">
        <f t="shared" si="17"/>
        <v>#N/A</v>
      </c>
      <c r="H194" s="618" t="e">
        <f>INDEX($R$181:$R213,MATCH($A194,$L$181:$L$199,0))/SUM($R$181:$R$199)</f>
        <v>#N/A</v>
      </c>
      <c r="I194" s="621" t="e">
        <f t="shared" si="19"/>
        <v>#N/A</v>
      </c>
      <c r="J194" s="357" t="e">
        <f t="shared" si="18"/>
        <v>#N/A</v>
      </c>
      <c r="K194" s="417"/>
      <c r="L194" s="338" t="e">
        <f>RANK($N194,$N$181:$N$199,0)+COUNTIF($N$181:$N194,$N194)-1</f>
        <v>#VALUE!</v>
      </c>
      <c r="M194" s="44" t="s">
        <v>94</v>
      </c>
      <c r="N194" s="624" t="str">
        <f>IF(Data!$JY$71="&lt;11",0,Data!$JY$71)</f>
        <v/>
      </c>
      <c r="O194" s="618" t="str">
        <f>Data!$SK$71</f>
        <v/>
      </c>
      <c r="P194" s="624" t="str">
        <f>IF(Data!$JY$72="&lt;11",0,Data!$JY$72)</f>
        <v/>
      </c>
      <c r="Q194" s="618" t="str">
        <f>Data!$SK$72</f>
        <v/>
      </c>
      <c r="R194" s="624">
        <f>IF(Data!$JY$62="&lt;11",0,Data!$JY$62)</f>
        <v>1343194.4</v>
      </c>
      <c r="S194" s="618">
        <f>Data!$SK$62</f>
        <v>1.6E-2</v>
      </c>
    </row>
    <row r="195" spans="1:21" x14ac:dyDescent="0.35">
      <c r="A195" s="328">
        <v>15</v>
      </c>
      <c r="B195" s="19" t="e">
        <f>INDEX($M$181:$M$199,MATCH($A$17,$L$181:$L$199,0))</f>
        <v>#N/A</v>
      </c>
      <c r="C195" s="621" t="e">
        <f>IF(INDEX($N$181:$N$199,MATCH($A$171,$L$181:$L$199,0))=0,"&lt;11",INDEX($N$181:$N$199,MATCH($A$171,$L$181:$L$199,0)))</f>
        <v>#N/A</v>
      </c>
      <c r="D195" s="357" t="e">
        <f t="shared" si="14"/>
        <v>#N/A</v>
      </c>
      <c r="E195" s="621" t="e">
        <f t="shared" si="15"/>
        <v>#N/A</v>
      </c>
      <c r="F195" s="357" t="e">
        <f t="shared" si="16"/>
        <v>#N/A</v>
      </c>
      <c r="G195" s="621" t="e">
        <f t="shared" si="17"/>
        <v>#N/A</v>
      </c>
      <c r="H195" s="618" t="e">
        <f>INDEX($R$181:$R214,MATCH($A195,$L$181:$L$199,0))/SUM($R$181:$R$199)</f>
        <v>#N/A</v>
      </c>
      <c r="I195" s="621" t="e">
        <f t="shared" si="19"/>
        <v>#N/A</v>
      </c>
      <c r="J195" s="357" t="e">
        <f t="shared" si="18"/>
        <v>#N/A</v>
      </c>
      <c r="K195" s="417"/>
      <c r="L195" s="338" t="e">
        <f>RANK($N195,$N$181:$N$199,0)+COUNTIF($N$181:$N195,$N195)-1</f>
        <v>#VALUE!</v>
      </c>
      <c r="M195" s="44" t="s">
        <v>95</v>
      </c>
      <c r="N195" s="624" t="str">
        <f>IF(Data!$JZ$71="&lt;11",0,Data!$JZ$71)</f>
        <v/>
      </c>
      <c r="O195" s="618" t="str">
        <f>Data!$SL$71</f>
        <v/>
      </c>
      <c r="P195" s="624" t="str">
        <f>IF(Data!$JZ$72="&lt;11",0,Data!$JZ$72)</f>
        <v/>
      </c>
      <c r="Q195" s="618" t="str">
        <f>Data!$SL$72</f>
        <v/>
      </c>
      <c r="R195" s="624">
        <f>IF(Data!$JZ$62="&lt;11",0,Data!$JZ$62)</f>
        <v>28729.8</v>
      </c>
      <c r="S195" s="618">
        <f>Data!$SL$62</f>
        <v>0</v>
      </c>
    </row>
    <row r="196" spans="1:21" x14ac:dyDescent="0.35">
      <c r="A196" s="328">
        <v>16</v>
      </c>
      <c r="B196" s="19" t="e">
        <f>INDEX($M$181:$M$199,MATCH($A$18,$L$181:$L$199,0))</f>
        <v>#N/A</v>
      </c>
      <c r="C196" s="621" t="e">
        <f>IF(INDEX($N$181:$N$199,MATCH($A$172,$L$181:$L$199,0))=0,"&lt;11",INDEX($N$181:$N$199,MATCH($A$172,$L$181:$L$199,0)))</f>
        <v>#N/A</v>
      </c>
      <c r="D196" s="357" t="e">
        <f t="shared" si="14"/>
        <v>#N/A</v>
      </c>
      <c r="E196" s="621" t="e">
        <f t="shared" si="15"/>
        <v>#N/A</v>
      </c>
      <c r="F196" s="357" t="e">
        <f t="shared" si="16"/>
        <v>#N/A</v>
      </c>
      <c r="G196" s="621" t="e">
        <f t="shared" si="17"/>
        <v>#N/A</v>
      </c>
      <c r="H196" s="618" t="e">
        <f>INDEX($R$181:$R215,MATCH($A196,$L$181:$L$199,0))/SUM($R$181:$R$199)</f>
        <v>#N/A</v>
      </c>
      <c r="I196" s="621" t="e">
        <f t="shared" si="19"/>
        <v>#N/A</v>
      </c>
      <c r="J196" s="357" t="e">
        <f t="shared" si="18"/>
        <v>#N/A</v>
      </c>
      <c r="K196" s="417"/>
      <c r="L196" s="338" t="e">
        <f>RANK($N196,$N$181:$N$199,0)+COUNTIF($N$181:$N196,$N196)-1</f>
        <v>#VALUE!</v>
      </c>
      <c r="M196" s="44" t="s">
        <v>301</v>
      </c>
      <c r="N196" s="624" t="str">
        <f>IF(Data!$KA$71="&lt;11",0,Data!$KA$71)</f>
        <v/>
      </c>
      <c r="O196" s="618" t="str">
        <f>Data!$SM$71</f>
        <v/>
      </c>
      <c r="P196" s="624" t="str">
        <f>IF(Data!$KA$72="&lt;11",0,Data!$KA$72)</f>
        <v/>
      </c>
      <c r="Q196" s="618" t="str">
        <f>Data!$SM$72</f>
        <v/>
      </c>
      <c r="R196" s="624">
        <f>IF(Data!$KA$62="&lt;11",0,Data!$KA$62)</f>
        <v>13669.6</v>
      </c>
      <c r="S196" s="618">
        <f>Data!$SM$62</f>
        <v>0</v>
      </c>
    </row>
    <row r="197" spans="1:21" x14ac:dyDescent="0.35">
      <c r="A197" s="328">
        <v>17</v>
      </c>
      <c r="B197" s="19" t="e">
        <f>INDEX($M$181:$M$199,MATCH($A$19,$L$181:$L$199,0))</f>
        <v>#N/A</v>
      </c>
      <c r="C197" s="621" t="e">
        <f>IF(INDEX($N$181:$N$199,MATCH($A$173,$L$181:$L$199,0))=0,"&lt;11",INDEX($N$181:$N$199,MATCH($A$173,$L$181:$L$199,0)))</f>
        <v>#N/A</v>
      </c>
      <c r="D197" s="357" t="e">
        <f t="shared" si="14"/>
        <v>#N/A</v>
      </c>
      <c r="E197" s="621" t="e">
        <f t="shared" si="15"/>
        <v>#N/A</v>
      </c>
      <c r="F197" s="357" t="e">
        <f t="shared" si="16"/>
        <v>#N/A</v>
      </c>
      <c r="G197" s="621" t="e">
        <f t="shared" si="17"/>
        <v>#N/A</v>
      </c>
      <c r="H197" s="618" t="e">
        <f>INDEX($R$181:$R216,MATCH($A197,$L$181:$L$199,0))/SUM($R$181:$R$199)</f>
        <v>#N/A</v>
      </c>
      <c r="I197" s="621" t="e">
        <f t="shared" si="19"/>
        <v>#N/A</v>
      </c>
      <c r="J197" s="357" t="e">
        <f t="shared" si="18"/>
        <v>#N/A</v>
      </c>
      <c r="K197" s="417"/>
      <c r="L197" s="338" t="e">
        <f>RANK($N197,$N$181:$N$199,0)+COUNTIF($N$181:$N197,$N197)-1</f>
        <v>#VALUE!</v>
      </c>
      <c r="M197" s="44" t="s">
        <v>96</v>
      </c>
      <c r="N197" s="624" t="str">
        <f>IF(Data!$KB$71="&lt;11",0,Data!$KB$71)</f>
        <v/>
      </c>
      <c r="O197" s="618" t="str">
        <f>Data!$SN$71</f>
        <v/>
      </c>
      <c r="P197" s="624" t="str">
        <f>IF(Data!$KB$72="&lt;11",0,Data!$KB$72)</f>
        <v/>
      </c>
      <c r="Q197" s="618" t="str">
        <f>Data!$SN$72</f>
        <v/>
      </c>
      <c r="R197" s="624">
        <f>IF(Data!$KB$62="&lt;11",0,Data!$KB$62)</f>
        <v>479408.8</v>
      </c>
      <c r="S197" s="618">
        <f>Data!$SN$62</f>
        <v>6.0000000000000001E-3</v>
      </c>
    </row>
    <row r="198" spans="1:21" x14ac:dyDescent="0.35">
      <c r="A198" s="328">
        <v>18</v>
      </c>
      <c r="B198" s="19" t="e">
        <f>INDEX($M$181:$M$199,MATCH($A$20,$L$181:$L$199,0))</f>
        <v>#N/A</v>
      </c>
      <c r="C198" s="621" t="e">
        <f>IF(INDEX($N$181:$N$199,MATCH($A$174,$L$181:$L$199,0))=0,"&lt;11",INDEX($N$181:$N$199,MATCH($A$174,$L$181:$L$199,0)))</f>
        <v>#N/A</v>
      </c>
      <c r="D198" s="357" t="e">
        <f t="shared" si="14"/>
        <v>#N/A</v>
      </c>
      <c r="E198" s="621" t="e">
        <f t="shared" si="15"/>
        <v>#N/A</v>
      </c>
      <c r="F198" s="357" t="e">
        <f t="shared" si="16"/>
        <v>#N/A</v>
      </c>
      <c r="G198" s="621" t="e">
        <f t="shared" si="17"/>
        <v>#N/A</v>
      </c>
      <c r="H198" s="618" t="e">
        <f>INDEX($R$181:$R217,MATCH($A198,$L$181:$L$199,0))/SUM($R$181:$R$199)</f>
        <v>#N/A</v>
      </c>
      <c r="I198" s="621" t="e">
        <f t="shared" si="19"/>
        <v>#N/A</v>
      </c>
      <c r="J198" s="357" t="e">
        <f t="shared" si="18"/>
        <v>#N/A</v>
      </c>
      <c r="K198" s="417"/>
      <c r="L198" s="338" t="e">
        <f>RANK($N198,$N$181:$N$199,0)+COUNTIF($N$181:$N198,$N198)-1</f>
        <v>#VALUE!</v>
      </c>
      <c r="M198" s="44" t="s">
        <v>97</v>
      </c>
      <c r="N198" s="624" t="str">
        <f>IF(Data!$KC$71="&lt;11",0,Data!$KC$71)</f>
        <v/>
      </c>
      <c r="O198" s="618" t="str">
        <f>Data!$SO$71</f>
        <v/>
      </c>
      <c r="P198" s="624" t="str">
        <f>IF(Data!$KC$72="&lt;11",0,Data!$KC$72)</f>
        <v/>
      </c>
      <c r="Q198" s="618" t="str">
        <f>Data!$SO$72</f>
        <v/>
      </c>
      <c r="R198" s="624">
        <f>IF(Data!$KC$62="&lt;11",0,Data!$KC$62)</f>
        <v>3107053.3</v>
      </c>
      <c r="S198" s="618">
        <f>Data!$SO$62</f>
        <v>3.5999999999999997E-2</v>
      </c>
    </row>
    <row r="199" spans="1:21" x14ac:dyDescent="0.35">
      <c r="A199" s="328">
        <v>19</v>
      </c>
      <c r="B199" s="19" t="e">
        <f>INDEX($M$181:$M$199,MATCH($A$21,$L$181:$L$199,0))</f>
        <v>#N/A</v>
      </c>
      <c r="C199" s="621" t="e">
        <f>IF(INDEX($N$181:$N$199,MATCH($A$175,$L$181:$L$199,0))=0,"&lt;11",INDEX($N$181:$N$199,MATCH($A$175,$L$181:$L$199,0)))</f>
        <v>#N/A</v>
      </c>
      <c r="D199" s="357" t="e">
        <f t="shared" si="14"/>
        <v>#N/A</v>
      </c>
      <c r="E199" s="621" t="e">
        <f t="shared" si="15"/>
        <v>#N/A</v>
      </c>
      <c r="F199" s="357" t="e">
        <f t="shared" si="16"/>
        <v>#N/A</v>
      </c>
      <c r="G199" s="621" t="e">
        <f t="shared" si="17"/>
        <v>#N/A</v>
      </c>
      <c r="H199" s="618" t="e">
        <f>INDEX($R$181:$R218,MATCH($A199,$L$181:$L$199,0))/SUM($R$181:$R$199)</f>
        <v>#N/A</v>
      </c>
      <c r="I199" s="621" t="e">
        <f t="shared" si="19"/>
        <v>#N/A</v>
      </c>
      <c r="J199" s="357" t="e">
        <f t="shared" si="18"/>
        <v>#N/A</v>
      </c>
      <c r="K199" s="417"/>
      <c r="L199" s="338" t="e">
        <f>RANK($N199,$N$181:$N$199,0)+COUNTIF($N$181:$N199,$N199)-1</f>
        <v>#VALUE!</v>
      </c>
      <c r="M199" s="44" t="s">
        <v>98</v>
      </c>
      <c r="N199" s="624" t="str">
        <f>IF(Data!$KD$71="&lt;11",0,Data!$KD$71)</f>
        <v/>
      </c>
      <c r="O199" s="618" t="str">
        <f>Data!$SP$71</f>
        <v/>
      </c>
      <c r="P199" s="624" t="str">
        <f>IF(Data!$KD$72="&lt;11",0,Data!$KD$72)</f>
        <v/>
      </c>
      <c r="Q199" s="618" t="str">
        <f>Data!$SP$72</f>
        <v/>
      </c>
      <c r="R199" s="624">
        <f>IF(Data!$KD$62="&lt;11",0,Data!$KD$62)</f>
        <v>2659676.6</v>
      </c>
      <c r="S199" s="618">
        <f>Data!$SP$62</f>
        <v>3.1E-2</v>
      </c>
    </row>
    <row r="201" spans="1:21" x14ac:dyDescent="0.35">
      <c r="B201" s="618"/>
      <c r="C201" s="618"/>
      <c r="D201" s="618"/>
      <c r="E201" s="618"/>
      <c r="F201" s="618"/>
      <c r="G201" s="618"/>
      <c r="H201" s="618"/>
      <c r="I201" s="618"/>
      <c r="J201" s="618"/>
      <c r="K201" s="618"/>
      <c r="L201" s="618"/>
      <c r="M201" s="618"/>
      <c r="N201" s="618"/>
      <c r="O201" s="618"/>
      <c r="P201" s="618"/>
      <c r="Q201" s="618"/>
      <c r="R201" s="618"/>
      <c r="S201" s="618"/>
      <c r="T201" s="618"/>
      <c r="U201"/>
    </row>
    <row r="202" spans="1:21" x14ac:dyDescent="0.35">
      <c r="B202"/>
      <c r="C202"/>
      <c r="D202"/>
      <c r="E202"/>
      <c r="F202"/>
      <c r="G202"/>
      <c r="H202"/>
      <c r="I202"/>
      <c r="J202"/>
      <c r="K202"/>
      <c r="L202"/>
      <c r="M202"/>
      <c r="N202"/>
      <c r="O202"/>
      <c r="P202"/>
      <c r="Q202"/>
      <c r="R202"/>
      <c r="S202"/>
      <c r="T202"/>
      <c r="U202"/>
    </row>
    <row r="203" spans="1:21" s="745" customFormat="1" x14ac:dyDescent="0.35">
      <c r="A203" s="739" t="s">
        <v>750</v>
      </c>
      <c r="B203" s="740"/>
      <c r="C203" s="740"/>
      <c r="D203" s="741"/>
      <c r="E203" s="741"/>
      <c r="F203" s="741"/>
      <c r="G203" s="741"/>
      <c r="H203" s="741"/>
      <c r="I203" s="741"/>
      <c r="J203" s="741"/>
      <c r="K203" s="741"/>
      <c r="L203" s="742"/>
      <c r="M203" s="743"/>
      <c r="N203" s="744"/>
      <c r="P203" s="746"/>
    </row>
    <row r="204" spans="1:21" x14ac:dyDescent="0.35">
      <c r="A204" s="328"/>
      <c r="B204" s="329" t="s">
        <v>101</v>
      </c>
      <c r="C204" s="330" t="str">
        <f>COUNTY_SELECT</f>
        <v>County Name</v>
      </c>
      <c r="D204" s="331"/>
      <c r="E204" s="330" t="str">
        <f>Data!$A$71</f>
        <v/>
      </c>
      <c r="F204" s="331"/>
      <c r="G204" s="642" t="s">
        <v>126</v>
      </c>
      <c r="H204" s="331"/>
      <c r="I204" s="634" t="s">
        <v>126</v>
      </c>
      <c r="J204" s="413"/>
      <c r="K204" s="413"/>
      <c r="L204" s="31"/>
      <c r="M204" s="323" t="s">
        <v>101</v>
      </c>
      <c r="N204" s="328" t="str">
        <f>COUNTY_SELECT</f>
        <v>County Name</v>
      </c>
      <c r="O204" s="251" t="s">
        <v>441</v>
      </c>
      <c r="P204" s="332" t="str">
        <f>Data!$A$72</f>
        <v/>
      </c>
      <c r="Q204" s="56" t="s">
        <v>441</v>
      </c>
      <c r="R204" s="333" t="s">
        <v>126</v>
      </c>
      <c r="S204" s="623" t="s">
        <v>441</v>
      </c>
    </row>
    <row r="205" spans="1:21" x14ac:dyDescent="0.35">
      <c r="A205" s="411"/>
      <c r="B205" s="628"/>
      <c r="C205" s="632" t="s">
        <v>758</v>
      </c>
      <c r="D205" s="416"/>
      <c r="E205" s="634" t="s">
        <v>754</v>
      </c>
      <c r="F205" s="416"/>
      <c r="G205" s="634" t="s">
        <v>758</v>
      </c>
      <c r="H205" s="413"/>
      <c r="I205" s="634" t="s">
        <v>754</v>
      </c>
      <c r="J205" s="413"/>
      <c r="K205" s="413"/>
      <c r="L205" s="31"/>
      <c r="M205" s="31"/>
      <c r="N205" s="31"/>
      <c r="O205" s="251"/>
      <c r="P205" s="56"/>
      <c r="Q205" s="56"/>
      <c r="S205" s="623"/>
    </row>
    <row r="206" spans="1:21" x14ac:dyDescent="0.35">
      <c r="A206" s="328">
        <v>1</v>
      </c>
      <c r="B206" s="19" t="e">
        <f t="shared" ref="B206:B224" si="20">INDEX($M$206:$M$224,MATCH($A206,$L$206:$L$224,0))</f>
        <v>#N/A</v>
      </c>
      <c r="C206" s="621" t="e">
        <f t="shared" ref="C206:C224" si="21">IF(INDEX($N$206:$N$224,MATCH($A157,$L$206:$L$224,0))&lt;11,"&lt;11",INDEX($N$206:$N$224,MATCH($A157,$L$206:$L$224,0)))</f>
        <v>#N/A</v>
      </c>
      <c r="D206" s="357" t="e">
        <f t="shared" ref="D206:D224" si="22">IF($C206="&lt;11","&lt;11",INDEX($O$206:$O$224,MATCH($A206,$L$206:$L$224,0)))</f>
        <v>#N/A</v>
      </c>
      <c r="E206" s="334" t="e">
        <f t="shared" ref="E206:E224" si="23">IF(INDEX($K$3:$K$21,MATCH($A206,$L$206:$L$224,0))&lt;11,"&lt;11",INDEX($K$3:$K$21,MATCH($A206,$L$206:$L$224,0)))</f>
        <v>#N/A</v>
      </c>
      <c r="F206" s="357" t="e">
        <f t="shared" ref="F206:F224" si="24">IF(AND(LEFT($K$2,4)="Very",$E206="&lt;11"),"&lt;11",INDEX($L$3:$L$21,MATCH($B206,$J$3:$J$21,0)))</f>
        <v>#N/A</v>
      </c>
      <c r="G206" s="621" t="e">
        <f t="shared" ref="G206:G224" si="25">INDEX($R$206:$R$224,MATCH($B206,$M$206:$M$224,0))</f>
        <v>#N/A</v>
      </c>
      <c r="H206" s="618" t="e">
        <f t="shared" ref="H206:H224" si="26">INDEX($R$206:$R$224,MATCH($A206,$L$206:$L$224,0))/SUM($R$206:$R$224)</f>
        <v>#N/A</v>
      </c>
      <c r="I206" s="621" t="e">
        <f>INDEX($O$3:$O$21,MATCH($B206,$J$3:$J$21,0))</f>
        <v>#N/A</v>
      </c>
      <c r="J206" s="357" t="e">
        <f t="shared" ref="J206:J224" si="27">INDEX($P$3:$P$21,MATCH($B206,$J$3:$J$21,0))</f>
        <v>#N/A</v>
      </c>
      <c r="K206" s="417"/>
      <c r="L206" s="338" t="e">
        <f>RANK($N206,$N$206:$N$224,0)+COUNTIF($N$206:$N206,$N206)-1</f>
        <v>#VALUE!</v>
      </c>
      <c r="M206" s="44" t="s">
        <v>82</v>
      </c>
      <c r="N206" s="617" t="str">
        <f>IF(Data!$KE$71="&lt;11",0,Data!$KE$71)</f>
        <v/>
      </c>
      <c r="O206" s="618" t="str">
        <f>Data!$SQ$71</f>
        <v/>
      </c>
      <c r="P206" s="617" t="str">
        <f>IF(Data!$KE$72="&lt;11",0,Data!$KE$72)</f>
        <v/>
      </c>
      <c r="Q206" s="618" t="str">
        <f>Data!$SQ$72</f>
        <v/>
      </c>
      <c r="R206" s="617">
        <f>IF(Data!$KE$62="&lt;11",0,Data!$KE$62)</f>
        <v>24421</v>
      </c>
      <c r="S206" s="618">
        <f>Data!$SQ$62</f>
        <v>0.32200000000000001</v>
      </c>
    </row>
    <row r="207" spans="1:21" x14ac:dyDescent="0.35">
      <c r="A207" s="328">
        <v>2</v>
      </c>
      <c r="B207" s="19" t="e">
        <f t="shared" si="20"/>
        <v>#N/A</v>
      </c>
      <c r="C207" s="621" t="e">
        <f t="shared" si="21"/>
        <v>#N/A</v>
      </c>
      <c r="D207" s="357" t="e">
        <f t="shared" si="22"/>
        <v>#N/A</v>
      </c>
      <c r="E207" s="621" t="e">
        <f t="shared" si="23"/>
        <v>#N/A</v>
      </c>
      <c r="F207" s="357" t="e">
        <f t="shared" si="24"/>
        <v>#N/A</v>
      </c>
      <c r="G207" s="621" t="e">
        <f t="shared" si="25"/>
        <v>#N/A</v>
      </c>
      <c r="H207" s="618" t="e">
        <f t="shared" si="26"/>
        <v>#N/A</v>
      </c>
      <c r="I207" s="621" t="e">
        <f t="shared" ref="I207:I224" si="28">INDEX($O$3:$O$21,MATCH($B207,$J$3:$J$21,0))</f>
        <v>#N/A</v>
      </c>
      <c r="J207" s="357" t="e">
        <f t="shared" si="27"/>
        <v>#N/A</v>
      </c>
      <c r="K207" s="417"/>
      <c r="L207" s="338" t="e">
        <f>RANK($N207,$N$206:$N$224,0)+COUNTIF($N$206:$N207,$N207)-1</f>
        <v>#VALUE!</v>
      </c>
      <c r="M207" s="44" t="s">
        <v>83</v>
      </c>
      <c r="N207" s="617" t="str">
        <f>IF(Data!$KF$71="&lt;11",0,Data!$KF$71)</f>
        <v/>
      </c>
      <c r="O207" s="618" t="str">
        <f>Data!$SR$71</f>
        <v/>
      </c>
      <c r="P207" s="617" t="str">
        <f>IF(Data!$KF$72="&lt;11",0,Data!$KF$72)</f>
        <v/>
      </c>
      <c r="Q207" s="618" t="str">
        <f>Data!$SR$72</f>
        <v/>
      </c>
      <c r="R207" s="617">
        <f>IF(Data!$KF$62="&lt;11",0,Data!$KF$62)</f>
        <v>27540</v>
      </c>
      <c r="S207" s="618">
        <f>Data!$SR$62</f>
        <v>0.36299999999999999</v>
      </c>
    </row>
    <row r="208" spans="1:21" x14ac:dyDescent="0.35">
      <c r="A208" s="328">
        <v>3</v>
      </c>
      <c r="B208" s="19" t="e">
        <f t="shared" si="20"/>
        <v>#N/A</v>
      </c>
      <c r="C208" s="621" t="e">
        <f t="shared" si="21"/>
        <v>#N/A</v>
      </c>
      <c r="D208" s="357" t="e">
        <f t="shared" si="22"/>
        <v>#N/A</v>
      </c>
      <c r="E208" s="621" t="e">
        <f t="shared" si="23"/>
        <v>#N/A</v>
      </c>
      <c r="F208" s="357" t="e">
        <f t="shared" si="24"/>
        <v>#N/A</v>
      </c>
      <c r="G208" s="621" t="e">
        <f t="shared" si="25"/>
        <v>#N/A</v>
      </c>
      <c r="H208" s="618" t="e">
        <f t="shared" si="26"/>
        <v>#N/A</v>
      </c>
      <c r="I208" s="621" t="e">
        <f t="shared" si="28"/>
        <v>#N/A</v>
      </c>
      <c r="J208" s="357" t="e">
        <f t="shared" si="27"/>
        <v>#N/A</v>
      </c>
      <c r="K208" s="417"/>
      <c r="L208" s="338" t="e">
        <f>RANK($N208,$N$206:$N$224,0)+COUNTIF($N$206:$N208,$N208)-1</f>
        <v>#VALUE!</v>
      </c>
      <c r="M208" s="44" t="s">
        <v>129</v>
      </c>
      <c r="N208" s="617" t="str">
        <f>IF(Data!$KG$71="&lt;11",0,Data!$KG$71)</f>
        <v/>
      </c>
      <c r="O208" s="618" t="str">
        <f>Data!$SS$71</f>
        <v/>
      </c>
      <c r="P208" s="617" t="str">
        <f>IF(Data!$KG$72="&lt;11",0,Data!$KG$72)</f>
        <v/>
      </c>
      <c r="Q208" s="618" t="str">
        <f>Data!$SS$72</f>
        <v/>
      </c>
      <c r="R208" s="617">
        <f>IF(Data!$KG$62="&lt;11",0,Data!$KG$62)</f>
        <v>7610</v>
      </c>
      <c r="S208" s="618">
        <f>Data!$SS$62</f>
        <v>0.1</v>
      </c>
    </row>
    <row r="209" spans="1:19" x14ac:dyDescent="0.35">
      <c r="A209" s="328">
        <v>4</v>
      </c>
      <c r="B209" s="19" t="e">
        <f t="shared" si="20"/>
        <v>#N/A</v>
      </c>
      <c r="C209" s="621" t="e">
        <f t="shared" si="21"/>
        <v>#N/A</v>
      </c>
      <c r="D209" s="357" t="e">
        <f t="shared" si="22"/>
        <v>#N/A</v>
      </c>
      <c r="E209" s="621" t="e">
        <f t="shared" si="23"/>
        <v>#N/A</v>
      </c>
      <c r="F209" s="357" t="e">
        <f t="shared" si="24"/>
        <v>#N/A</v>
      </c>
      <c r="G209" s="621" t="e">
        <f t="shared" si="25"/>
        <v>#N/A</v>
      </c>
      <c r="H209" s="618" t="e">
        <f t="shared" si="26"/>
        <v>#N/A</v>
      </c>
      <c r="I209" s="621" t="e">
        <f t="shared" si="28"/>
        <v>#N/A</v>
      </c>
      <c r="J209" s="357" t="e">
        <f t="shared" si="27"/>
        <v>#N/A</v>
      </c>
      <c r="K209" s="417"/>
      <c r="L209" s="338" t="e">
        <f>RANK($N209,$N$206:$N$224,0)+COUNTIF($N$206:$N209,$N209)-1</f>
        <v>#VALUE!</v>
      </c>
      <c r="M209" s="44" t="s">
        <v>84</v>
      </c>
      <c r="N209" s="617" t="str">
        <f>IF(Data!$KH$71="&lt;11",0,Data!$KH$71)</f>
        <v/>
      </c>
      <c r="O209" s="618" t="str">
        <f>Data!$ST$71</f>
        <v/>
      </c>
      <c r="P209" s="617" t="str">
        <f>IF(Data!$KH$72="&lt;11",0,Data!$KH$72)</f>
        <v/>
      </c>
      <c r="Q209" s="618" t="str">
        <f>Data!$ST$72</f>
        <v/>
      </c>
      <c r="R209" s="617">
        <f>IF(Data!$KH$62="&lt;11",0,Data!$KH$62)</f>
        <v>1895</v>
      </c>
      <c r="S209" s="618">
        <f>Data!$ST$62</f>
        <v>2.5000000000000001E-2</v>
      </c>
    </row>
    <row r="210" spans="1:19" x14ac:dyDescent="0.35">
      <c r="A210" s="328">
        <v>5</v>
      </c>
      <c r="B210" s="19" t="e">
        <f t="shared" si="20"/>
        <v>#N/A</v>
      </c>
      <c r="C210" s="621" t="e">
        <f t="shared" si="21"/>
        <v>#N/A</v>
      </c>
      <c r="D210" s="357" t="e">
        <f t="shared" si="22"/>
        <v>#N/A</v>
      </c>
      <c r="E210" s="621" t="e">
        <f t="shared" si="23"/>
        <v>#N/A</v>
      </c>
      <c r="F210" s="357" t="e">
        <f t="shared" si="24"/>
        <v>#N/A</v>
      </c>
      <c r="G210" s="621" t="e">
        <f t="shared" si="25"/>
        <v>#N/A</v>
      </c>
      <c r="H210" s="618" t="e">
        <f t="shared" si="26"/>
        <v>#N/A</v>
      </c>
      <c r="I210" s="621" t="e">
        <f t="shared" si="28"/>
        <v>#N/A</v>
      </c>
      <c r="J210" s="357" t="e">
        <f t="shared" si="27"/>
        <v>#N/A</v>
      </c>
      <c r="K210" s="417"/>
      <c r="L210" s="338" t="e">
        <f>RANK($N210,$N$206:$N$224,0)+COUNTIF($N$206:$N210,$N210)-1</f>
        <v>#VALUE!</v>
      </c>
      <c r="M210" s="44" t="s">
        <v>85</v>
      </c>
      <c r="N210" s="617" t="str">
        <f>IF(Data!$KI$71="&lt;11",0,Data!$KI$71)</f>
        <v/>
      </c>
      <c r="O210" s="618" t="str">
        <f>Data!$SU$71</f>
        <v/>
      </c>
      <c r="P210" s="617" t="str">
        <f>IF(Data!$KI$72="&lt;11",0,Data!$KI$72)</f>
        <v/>
      </c>
      <c r="Q210" s="618" t="str">
        <f>Data!$SU$72</f>
        <v/>
      </c>
      <c r="R210" s="617">
        <f>IF(Data!$KI$62="&lt;11",0,Data!$KI$62)</f>
        <v>347</v>
      </c>
      <c r="S210" s="618">
        <f>Data!$SU$62</f>
        <v>5.0000000000000001E-3</v>
      </c>
    </row>
    <row r="211" spans="1:19" x14ac:dyDescent="0.35">
      <c r="A211" s="328">
        <v>6</v>
      </c>
      <c r="B211" s="19" t="e">
        <f t="shared" si="20"/>
        <v>#N/A</v>
      </c>
      <c r="C211" s="621" t="e">
        <f t="shared" si="21"/>
        <v>#N/A</v>
      </c>
      <c r="D211" s="357" t="e">
        <f t="shared" si="22"/>
        <v>#N/A</v>
      </c>
      <c r="E211" s="621" t="e">
        <f t="shared" si="23"/>
        <v>#N/A</v>
      </c>
      <c r="F211" s="357" t="e">
        <f t="shared" si="24"/>
        <v>#N/A</v>
      </c>
      <c r="G211" s="621" t="e">
        <f t="shared" si="25"/>
        <v>#N/A</v>
      </c>
      <c r="H211" s="618" t="e">
        <f t="shared" si="26"/>
        <v>#N/A</v>
      </c>
      <c r="I211" s="621" t="e">
        <f t="shared" si="28"/>
        <v>#N/A</v>
      </c>
      <c r="J211" s="357" t="e">
        <f t="shared" si="27"/>
        <v>#N/A</v>
      </c>
      <c r="K211" s="417"/>
      <c r="L211" s="338" t="e">
        <f>RANK($N211,$N$206:$N$224,0)+COUNTIF($N$206:$N211,$N211)-1</f>
        <v>#VALUE!</v>
      </c>
      <c r="M211" s="44" t="s">
        <v>86</v>
      </c>
      <c r="N211" s="617" t="str">
        <f>IF(Data!$KJ$71="&lt;11",0,Data!$KJ$71)</f>
        <v/>
      </c>
      <c r="O211" s="618" t="str">
        <f>Data!$SV$71</f>
        <v/>
      </c>
      <c r="P211" s="617" t="str">
        <f>IF(Data!$KJ$72="&lt;11",0,Data!$KJ$72)</f>
        <v/>
      </c>
      <c r="Q211" s="618" t="str">
        <f>Data!$SV$72</f>
        <v/>
      </c>
      <c r="R211" s="617">
        <f>IF(Data!$KJ$62="&lt;11",0,Data!$KJ$62)</f>
        <v>2425</v>
      </c>
      <c r="S211" s="618">
        <f>Data!$SV$62</f>
        <v>3.2000000000000001E-2</v>
      </c>
    </row>
    <row r="212" spans="1:19" x14ac:dyDescent="0.35">
      <c r="A212" s="328">
        <v>7</v>
      </c>
      <c r="B212" s="19" t="e">
        <f t="shared" si="20"/>
        <v>#N/A</v>
      </c>
      <c r="C212" s="621" t="e">
        <f t="shared" si="21"/>
        <v>#N/A</v>
      </c>
      <c r="D212" s="357" t="e">
        <f t="shared" si="22"/>
        <v>#N/A</v>
      </c>
      <c r="E212" s="621" t="e">
        <f t="shared" si="23"/>
        <v>#N/A</v>
      </c>
      <c r="F212" s="357" t="e">
        <f t="shared" si="24"/>
        <v>#N/A</v>
      </c>
      <c r="G212" s="621" t="e">
        <f t="shared" si="25"/>
        <v>#N/A</v>
      </c>
      <c r="H212" s="618" t="e">
        <f t="shared" si="26"/>
        <v>#N/A</v>
      </c>
      <c r="I212" s="621" t="e">
        <f t="shared" si="28"/>
        <v>#N/A</v>
      </c>
      <c r="J212" s="357" t="e">
        <f t="shared" si="27"/>
        <v>#N/A</v>
      </c>
      <c r="K212" s="417"/>
      <c r="L212" s="338" t="e">
        <f>RANK($N212,$N$206:$N$224,0)+COUNTIF($N$206:$N212,$N212)-1</f>
        <v>#VALUE!</v>
      </c>
      <c r="M212" s="44" t="s">
        <v>381</v>
      </c>
      <c r="N212" s="617" t="str">
        <f>IF(Data!$KK$71="&lt;11",0,Data!$KK$71)</f>
        <v/>
      </c>
      <c r="O212" s="618" t="str">
        <f>Data!$SW$71</f>
        <v/>
      </c>
      <c r="P212" s="617" t="str">
        <f>IF(Data!$KK$72="&lt;11",0,Data!$KK$72)</f>
        <v/>
      </c>
      <c r="Q212" s="618" t="str">
        <f>Data!$SW$72</f>
        <v/>
      </c>
      <c r="R212" s="617">
        <f>IF(Data!$KK$62="&lt;11",0,Data!$KK$62)</f>
        <v>1208</v>
      </c>
      <c r="S212" s="618">
        <f>Data!$SW$62</f>
        <v>1.6E-2</v>
      </c>
    </row>
    <row r="213" spans="1:19" x14ac:dyDescent="0.35">
      <c r="A213" s="328">
        <v>8</v>
      </c>
      <c r="B213" s="19" t="e">
        <f t="shared" si="20"/>
        <v>#N/A</v>
      </c>
      <c r="C213" s="621" t="e">
        <f t="shared" si="21"/>
        <v>#N/A</v>
      </c>
      <c r="D213" s="357" t="e">
        <f t="shared" si="22"/>
        <v>#N/A</v>
      </c>
      <c r="E213" s="621" t="e">
        <f t="shared" si="23"/>
        <v>#N/A</v>
      </c>
      <c r="F213" s="357" t="e">
        <f t="shared" si="24"/>
        <v>#N/A</v>
      </c>
      <c r="G213" s="621" t="e">
        <f t="shared" si="25"/>
        <v>#N/A</v>
      </c>
      <c r="H213" s="618" t="e">
        <f t="shared" si="26"/>
        <v>#N/A</v>
      </c>
      <c r="I213" s="621" t="e">
        <f t="shared" si="28"/>
        <v>#N/A</v>
      </c>
      <c r="J213" s="357" t="e">
        <f t="shared" si="27"/>
        <v>#N/A</v>
      </c>
      <c r="K213" s="417"/>
      <c r="L213" s="338" t="e">
        <f>RANK($N213,$N$206:$N$224,0)+COUNTIF($N$206:$N213,$N213)-1</f>
        <v>#VALUE!</v>
      </c>
      <c r="M213" s="44" t="s">
        <v>88</v>
      </c>
      <c r="N213" s="617" t="str">
        <f>IF(Data!$KL$71="&lt;11",0,Data!$KL$71)</f>
        <v/>
      </c>
      <c r="O213" s="618" t="str">
        <f>Data!$SX$71</f>
        <v/>
      </c>
      <c r="P213" s="617" t="str">
        <f>IF(Data!$KL$72="&lt;11",0,Data!$KL$72)</f>
        <v/>
      </c>
      <c r="Q213" s="618" t="str">
        <f>Data!$SX$72</f>
        <v/>
      </c>
      <c r="R213" s="617">
        <f>IF(Data!$KL$62="&lt;11",0,Data!$KL$62)</f>
        <v>32</v>
      </c>
      <c r="S213" s="618">
        <f>Data!$SX$62</f>
        <v>0</v>
      </c>
    </row>
    <row r="214" spans="1:19" x14ac:dyDescent="0.35">
      <c r="A214" s="328">
        <v>9</v>
      </c>
      <c r="B214" s="19" t="e">
        <f t="shared" si="20"/>
        <v>#N/A</v>
      </c>
      <c r="C214" s="621" t="e">
        <f t="shared" si="21"/>
        <v>#N/A</v>
      </c>
      <c r="D214" s="357" t="e">
        <f t="shared" si="22"/>
        <v>#N/A</v>
      </c>
      <c r="E214" s="621" t="e">
        <f t="shared" si="23"/>
        <v>#N/A</v>
      </c>
      <c r="F214" s="357" t="e">
        <f t="shared" si="24"/>
        <v>#N/A</v>
      </c>
      <c r="G214" s="621" t="e">
        <f t="shared" si="25"/>
        <v>#N/A</v>
      </c>
      <c r="H214" s="618" t="e">
        <f t="shared" si="26"/>
        <v>#N/A</v>
      </c>
      <c r="I214" s="621" t="e">
        <f t="shared" si="28"/>
        <v>#N/A</v>
      </c>
      <c r="J214" s="357" t="e">
        <f t="shared" si="27"/>
        <v>#N/A</v>
      </c>
      <c r="K214" s="417"/>
      <c r="L214" s="338" t="e">
        <f>RANK($N214,$N$206:$N$224,0)+COUNTIF($N$206:$N214,$N214)-1</f>
        <v>#VALUE!</v>
      </c>
      <c r="M214" s="44" t="s">
        <v>89</v>
      </c>
      <c r="N214" s="617" t="str">
        <f>IF(Data!$KM$71="&lt;11",0,Data!$KM$71)</f>
        <v/>
      </c>
      <c r="O214" s="618" t="str">
        <f>Data!$SY$71</f>
        <v/>
      </c>
      <c r="P214" s="617" t="str">
        <f>IF(Data!$KM$72="&lt;11",0,Data!$KM$72)</f>
        <v/>
      </c>
      <c r="Q214" s="618" t="str">
        <f>Data!$SY$72</f>
        <v/>
      </c>
      <c r="R214" s="617">
        <f>IF(Data!$KM$62="&lt;11",0,Data!$KM$62)</f>
        <v>1877</v>
      </c>
      <c r="S214" s="618">
        <f>Data!$SY$62</f>
        <v>2.5000000000000001E-2</v>
      </c>
    </row>
    <row r="215" spans="1:19" x14ac:dyDescent="0.35">
      <c r="A215" s="328">
        <v>10</v>
      </c>
      <c r="B215" s="19" t="e">
        <f t="shared" si="20"/>
        <v>#N/A</v>
      </c>
      <c r="C215" s="621" t="e">
        <f t="shared" si="21"/>
        <v>#N/A</v>
      </c>
      <c r="D215" s="357" t="e">
        <f t="shared" si="22"/>
        <v>#N/A</v>
      </c>
      <c r="E215" s="621" t="e">
        <f t="shared" si="23"/>
        <v>#N/A</v>
      </c>
      <c r="F215" s="357" t="e">
        <f t="shared" si="24"/>
        <v>#N/A</v>
      </c>
      <c r="G215" s="621" t="e">
        <f t="shared" si="25"/>
        <v>#N/A</v>
      </c>
      <c r="H215" s="618" t="e">
        <f t="shared" si="26"/>
        <v>#N/A</v>
      </c>
      <c r="I215" s="621" t="e">
        <f t="shared" si="28"/>
        <v>#N/A</v>
      </c>
      <c r="J215" s="357" t="e">
        <f t="shared" si="27"/>
        <v>#N/A</v>
      </c>
      <c r="K215" s="417"/>
      <c r="L215" s="338" t="e">
        <f>RANK($N215,$N$206:$N$224,0)+COUNTIF($N$206:$N215,$N215)-1</f>
        <v>#VALUE!</v>
      </c>
      <c r="M215" s="44" t="s">
        <v>90</v>
      </c>
      <c r="N215" s="617" t="str">
        <f>IF(Data!$KN$71="&lt;11",0,Data!$KN$71)</f>
        <v/>
      </c>
      <c r="O215" s="618" t="str">
        <f>Data!$SZ$71</f>
        <v/>
      </c>
      <c r="P215" s="617" t="str">
        <f>IF(Data!$KN$72="&lt;11",0,Data!$KN$72)</f>
        <v/>
      </c>
      <c r="Q215" s="618" t="str">
        <f>Data!$SZ$72</f>
        <v/>
      </c>
      <c r="R215" s="617">
        <f>IF(Data!$KN$62="&lt;11",0,Data!$KN$62)</f>
        <v>345</v>
      </c>
      <c r="S215" s="618">
        <f>Data!$SZ$62</f>
        <v>5.0000000000000001E-3</v>
      </c>
    </row>
    <row r="216" spans="1:19" x14ac:dyDescent="0.35">
      <c r="A216" s="328">
        <v>11</v>
      </c>
      <c r="B216" s="19" t="e">
        <f t="shared" si="20"/>
        <v>#N/A</v>
      </c>
      <c r="C216" s="621" t="e">
        <f t="shared" si="21"/>
        <v>#N/A</v>
      </c>
      <c r="D216" s="357" t="e">
        <f t="shared" si="22"/>
        <v>#N/A</v>
      </c>
      <c r="E216" s="621" t="e">
        <f t="shared" si="23"/>
        <v>#N/A</v>
      </c>
      <c r="F216" s="357" t="e">
        <f t="shared" si="24"/>
        <v>#N/A</v>
      </c>
      <c r="G216" s="621" t="e">
        <f t="shared" si="25"/>
        <v>#N/A</v>
      </c>
      <c r="H216" s="618" t="e">
        <f t="shared" si="26"/>
        <v>#N/A</v>
      </c>
      <c r="I216" s="621" t="e">
        <f t="shared" si="28"/>
        <v>#N/A</v>
      </c>
      <c r="J216" s="357" t="e">
        <f t="shared" si="27"/>
        <v>#N/A</v>
      </c>
      <c r="K216" s="417"/>
      <c r="L216" s="338" t="e">
        <f>RANK($N216,$N$206:$N$224,0)+COUNTIF($N$206:$N216,$N216)-1</f>
        <v>#VALUE!</v>
      </c>
      <c r="M216" s="44" t="s">
        <v>91</v>
      </c>
      <c r="N216" s="617" t="str">
        <f>IF(Data!$KO$71="&lt;11",0,Data!$KO$71)</f>
        <v/>
      </c>
      <c r="O216" s="618" t="str">
        <f>Data!$TA$71</f>
        <v/>
      </c>
      <c r="P216" s="617" t="str">
        <f>IF(Data!$KO$72="&lt;11",0,Data!$KO$72)</f>
        <v/>
      </c>
      <c r="Q216" s="618" t="str">
        <f>Data!$TA$72</f>
        <v/>
      </c>
      <c r="R216" s="617">
        <f>IF(Data!$KO$62="&lt;11",0,Data!$KO$62)</f>
        <v>177</v>
      </c>
      <c r="S216" s="618">
        <f>Data!$TA$62</f>
        <v>2E-3</v>
      </c>
    </row>
    <row r="217" spans="1:19" x14ac:dyDescent="0.35">
      <c r="A217" s="328">
        <v>12</v>
      </c>
      <c r="B217" s="19" t="e">
        <f t="shared" si="20"/>
        <v>#N/A</v>
      </c>
      <c r="C217" s="621" t="e">
        <f t="shared" si="21"/>
        <v>#N/A</v>
      </c>
      <c r="D217" s="357" t="e">
        <f t="shared" si="22"/>
        <v>#N/A</v>
      </c>
      <c r="E217" s="621" t="e">
        <f t="shared" si="23"/>
        <v>#N/A</v>
      </c>
      <c r="F217" s="357" t="e">
        <f t="shared" si="24"/>
        <v>#N/A</v>
      </c>
      <c r="G217" s="621" t="e">
        <f t="shared" si="25"/>
        <v>#N/A</v>
      </c>
      <c r="H217" s="618" t="e">
        <f t="shared" si="26"/>
        <v>#N/A</v>
      </c>
      <c r="I217" s="621" t="e">
        <f t="shared" si="28"/>
        <v>#N/A</v>
      </c>
      <c r="J217" s="357" t="e">
        <f t="shared" si="27"/>
        <v>#N/A</v>
      </c>
      <c r="K217" s="417"/>
      <c r="L217" s="338" t="e">
        <f>RANK($N217,$N$206:$N$224,0)+COUNTIF($N$206:$N217,$N217)-1</f>
        <v>#VALUE!</v>
      </c>
      <c r="M217" s="44" t="s">
        <v>92</v>
      </c>
      <c r="N217" s="617" t="str">
        <f>IF(Data!$KP$71="&lt;11",0,Data!$KP$71)</f>
        <v/>
      </c>
      <c r="O217" s="618" t="str">
        <f>Data!$TB$71</f>
        <v/>
      </c>
      <c r="P217" s="617" t="str">
        <f>IF(Data!$KP$72="&lt;11",0,Data!$KP$72)</f>
        <v/>
      </c>
      <c r="Q217" s="618" t="str">
        <f>Data!$TB$72</f>
        <v/>
      </c>
      <c r="R217" s="617">
        <f>IF(Data!$KP$62="&lt;11",0,Data!$KP$62)</f>
        <v>834</v>
      </c>
      <c r="S217" s="618">
        <f>Data!$TB$62</f>
        <v>1.0999999999999999E-2</v>
      </c>
    </row>
    <row r="218" spans="1:19" x14ac:dyDescent="0.35">
      <c r="A218" s="328">
        <v>13</v>
      </c>
      <c r="B218" s="19" t="e">
        <f t="shared" si="20"/>
        <v>#N/A</v>
      </c>
      <c r="C218" s="621" t="e">
        <f t="shared" si="21"/>
        <v>#N/A</v>
      </c>
      <c r="D218" s="357" t="e">
        <f t="shared" si="22"/>
        <v>#N/A</v>
      </c>
      <c r="E218" s="621" t="e">
        <f t="shared" si="23"/>
        <v>#N/A</v>
      </c>
      <c r="F218" s="357" t="e">
        <f t="shared" si="24"/>
        <v>#N/A</v>
      </c>
      <c r="G218" s="621" t="e">
        <f t="shared" si="25"/>
        <v>#N/A</v>
      </c>
      <c r="H218" s="618" t="e">
        <f t="shared" si="26"/>
        <v>#N/A</v>
      </c>
      <c r="I218" s="621" t="e">
        <f t="shared" si="28"/>
        <v>#N/A</v>
      </c>
      <c r="J218" s="357" t="e">
        <f t="shared" si="27"/>
        <v>#N/A</v>
      </c>
      <c r="K218" s="417"/>
      <c r="L218" s="338" t="e">
        <f>RANK($N218,$N$206:$N$224,0)+COUNTIF($N$206:$N218,$N218)-1</f>
        <v>#VALUE!</v>
      </c>
      <c r="M218" s="44" t="s">
        <v>93</v>
      </c>
      <c r="N218" s="617" t="str">
        <f>IF(Data!$KQ$71="&lt;11",0,Data!$KQ$71)</f>
        <v/>
      </c>
      <c r="O218" s="618" t="str">
        <f>Data!$TC$71</f>
        <v/>
      </c>
      <c r="P218" s="617" t="str">
        <f>IF(Data!$KQ$72="&lt;11",0,Data!$KQ$72)</f>
        <v/>
      </c>
      <c r="Q218" s="618" t="str">
        <f>Data!$TC$72</f>
        <v/>
      </c>
      <c r="R218" s="617">
        <f>IF(Data!$KQ$62="&lt;11",0,Data!$KQ$62)</f>
        <v>68</v>
      </c>
      <c r="S218" s="618">
        <f>Data!$TC$62</f>
        <v>1E-3</v>
      </c>
    </row>
    <row r="219" spans="1:19" x14ac:dyDescent="0.35">
      <c r="A219" s="328">
        <v>14</v>
      </c>
      <c r="B219" s="19" t="e">
        <f t="shared" si="20"/>
        <v>#N/A</v>
      </c>
      <c r="C219" s="621" t="e">
        <f t="shared" si="21"/>
        <v>#N/A</v>
      </c>
      <c r="D219" s="357" t="e">
        <f t="shared" si="22"/>
        <v>#N/A</v>
      </c>
      <c r="E219" s="621" t="e">
        <f t="shared" si="23"/>
        <v>#N/A</v>
      </c>
      <c r="F219" s="357" t="e">
        <f t="shared" si="24"/>
        <v>#N/A</v>
      </c>
      <c r="G219" s="621" t="e">
        <f t="shared" si="25"/>
        <v>#N/A</v>
      </c>
      <c r="H219" s="618" t="e">
        <f t="shared" si="26"/>
        <v>#N/A</v>
      </c>
      <c r="I219" s="621" t="e">
        <f t="shared" si="28"/>
        <v>#N/A</v>
      </c>
      <c r="J219" s="357" t="e">
        <f t="shared" si="27"/>
        <v>#N/A</v>
      </c>
      <c r="K219" s="417"/>
      <c r="L219" s="338" t="e">
        <f>RANK($N219,$N$206:$N$224,0)+COUNTIF($N$206:$N219,$N219)-1</f>
        <v>#VALUE!</v>
      </c>
      <c r="M219" s="44" t="s">
        <v>94</v>
      </c>
      <c r="N219" s="617" t="str">
        <f>IF(Data!$KR$71="&lt;11",0,Data!$KR$71)</f>
        <v/>
      </c>
      <c r="O219" s="618" t="str">
        <f>Data!$TD$71</f>
        <v/>
      </c>
      <c r="P219" s="617" t="str">
        <f>IF(Data!$KR$72="&lt;11",0,Data!$KR$72)</f>
        <v/>
      </c>
      <c r="Q219" s="618" t="str">
        <f>Data!$TD$72</f>
        <v/>
      </c>
      <c r="R219" s="617">
        <f>IF(Data!$KR$62="&lt;11",0,Data!$KR$62)</f>
        <v>1063</v>
      </c>
      <c r="S219" s="618">
        <f>Data!$TD$62</f>
        <v>1.4E-2</v>
      </c>
    </row>
    <row r="220" spans="1:19" x14ac:dyDescent="0.35">
      <c r="A220" s="328">
        <v>15</v>
      </c>
      <c r="B220" s="19" t="e">
        <f t="shared" si="20"/>
        <v>#N/A</v>
      </c>
      <c r="C220" s="621" t="e">
        <f t="shared" si="21"/>
        <v>#N/A</v>
      </c>
      <c r="D220" s="357" t="e">
        <f t="shared" si="22"/>
        <v>#N/A</v>
      </c>
      <c r="E220" s="621" t="e">
        <f t="shared" si="23"/>
        <v>#N/A</v>
      </c>
      <c r="F220" s="357" t="e">
        <f t="shared" si="24"/>
        <v>#N/A</v>
      </c>
      <c r="G220" s="621" t="e">
        <f t="shared" si="25"/>
        <v>#N/A</v>
      </c>
      <c r="H220" s="618" t="e">
        <f t="shared" si="26"/>
        <v>#N/A</v>
      </c>
      <c r="I220" s="621" t="e">
        <f t="shared" si="28"/>
        <v>#N/A</v>
      </c>
      <c r="J220" s="357" t="e">
        <f t="shared" si="27"/>
        <v>#N/A</v>
      </c>
      <c r="K220" s="417"/>
      <c r="L220" s="338" t="e">
        <f>RANK($N220,$N$206:$N$224,0)+COUNTIF($N$206:$N220,$N220)-1</f>
        <v>#VALUE!</v>
      </c>
      <c r="M220" s="44" t="s">
        <v>95</v>
      </c>
      <c r="N220" s="617" t="str">
        <f>IF(Data!$KS$71="&lt;11",0,Data!$KS$71)</f>
        <v/>
      </c>
      <c r="O220" s="618" t="str">
        <f>Data!$TE$71</f>
        <v/>
      </c>
      <c r="P220" s="617" t="str">
        <f>IF(Data!$KS$72="&lt;11",0,Data!$KS$72)</f>
        <v/>
      </c>
      <c r="Q220" s="618" t="str">
        <f>Data!$TE$72</f>
        <v/>
      </c>
      <c r="R220" s="617">
        <f>IF(Data!$KS$62="&lt;11",0,Data!$KS$62)</f>
        <v>34</v>
      </c>
      <c r="S220" s="618">
        <f>Data!$TE$62</f>
        <v>0</v>
      </c>
    </row>
    <row r="221" spans="1:19" x14ac:dyDescent="0.35">
      <c r="A221" s="328">
        <v>16</v>
      </c>
      <c r="B221" s="19" t="e">
        <f t="shared" si="20"/>
        <v>#N/A</v>
      </c>
      <c r="C221" s="621" t="e">
        <f t="shared" si="21"/>
        <v>#N/A</v>
      </c>
      <c r="D221" s="357" t="e">
        <f t="shared" si="22"/>
        <v>#N/A</v>
      </c>
      <c r="E221" s="621" t="e">
        <f t="shared" si="23"/>
        <v>#N/A</v>
      </c>
      <c r="F221" s="357" t="e">
        <f t="shared" si="24"/>
        <v>#N/A</v>
      </c>
      <c r="G221" s="621" t="e">
        <f t="shared" si="25"/>
        <v>#N/A</v>
      </c>
      <c r="H221" s="618" t="e">
        <f t="shared" si="26"/>
        <v>#N/A</v>
      </c>
      <c r="I221" s="621" t="e">
        <f t="shared" si="28"/>
        <v>#N/A</v>
      </c>
      <c r="J221" s="357" t="e">
        <f t="shared" si="27"/>
        <v>#N/A</v>
      </c>
      <c r="K221" s="417"/>
      <c r="L221" s="338" t="e">
        <f>RANK($N221,$N$206:$N$224,0)+COUNTIF($N$206:$N221,$N221)-1</f>
        <v>#VALUE!</v>
      </c>
      <c r="M221" s="44" t="s">
        <v>301</v>
      </c>
      <c r="N221" s="617" t="str">
        <f>IF(Data!$KT$71="&lt;11",0,Data!$KT$71)</f>
        <v/>
      </c>
      <c r="O221" s="618" t="str">
        <f>Data!$TF$71</f>
        <v/>
      </c>
      <c r="P221" s="617" t="str">
        <f>IF(Data!$KT$72="&lt;11",0,Data!$KT$72)</f>
        <v/>
      </c>
      <c r="Q221" s="618" t="str">
        <f>Data!$TF$72</f>
        <v/>
      </c>
      <c r="R221" s="617">
        <f>IF(Data!$KT$62="&lt;11",0,Data!$KT$62)</f>
        <v>15</v>
      </c>
      <c r="S221" s="618">
        <f>Data!$TF$62</f>
        <v>0</v>
      </c>
    </row>
    <row r="222" spans="1:19" x14ac:dyDescent="0.35">
      <c r="A222" s="328">
        <v>17</v>
      </c>
      <c r="B222" s="19" t="e">
        <f t="shared" si="20"/>
        <v>#N/A</v>
      </c>
      <c r="C222" s="621" t="e">
        <f t="shared" si="21"/>
        <v>#N/A</v>
      </c>
      <c r="D222" s="357" t="e">
        <f t="shared" si="22"/>
        <v>#N/A</v>
      </c>
      <c r="E222" s="621" t="e">
        <f t="shared" si="23"/>
        <v>#N/A</v>
      </c>
      <c r="F222" s="357" t="e">
        <f t="shared" si="24"/>
        <v>#N/A</v>
      </c>
      <c r="G222" s="621" t="e">
        <f t="shared" si="25"/>
        <v>#N/A</v>
      </c>
      <c r="H222" s="618" t="e">
        <f t="shared" si="26"/>
        <v>#N/A</v>
      </c>
      <c r="I222" s="621" t="e">
        <f t="shared" si="28"/>
        <v>#N/A</v>
      </c>
      <c r="J222" s="357" t="e">
        <f t="shared" si="27"/>
        <v>#N/A</v>
      </c>
      <c r="K222" s="417"/>
      <c r="L222" s="338" t="e">
        <f>RANK($N222,$N$206:$N$224,0)+COUNTIF($N$206:$N222,$N222)-1</f>
        <v>#VALUE!</v>
      </c>
      <c r="M222" s="44" t="s">
        <v>96</v>
      </c>
      <c r="N222" s="617" t="str">
        <f>IF(Data!$KU$71="&lt;11",0,Data!$KU$71)</f>
        <v/>
      </c>
      <c r="O222" s="618" t="str">
        <f>Data!$TG$71</f>
        <v/>
      </c>
      <c r="P222" s="617" t="str">
        <f>IF(Data!$KU$72="&lt;11",0,Data!$KU$72)</f>
        <v/>
      </c>
      <c r="Q222" s="618" t="str">
        <f>Data!$TG$72</f>
        <v/>
      </c>
      <c r="R222" s="617">
        <f>IF(Data!$KU$62="&lt;11",0,Data!$KU$62)</f>
        <v>353</v>
      </c>
      <c r="S222" s="618">
        <f>Data!$TG$62</f>
        <v>5.0000000000000001E-3</v>
      </c>
    </row>
    <row r="223" spans="1:19" x14ac:dyDescent="0.35">
      <c r="A223" s="328">
        <v>18</v>
      </c>
      <c r="B223" s="19" t="e">
        <f t="shared" si="20"/>
        <v>#N/A</v>
      </c>
      <c r="C223" s="621" t="e">
        <f t="shared" si="21"/>
        <v>#N/A</v>
      </c>
      <c r="D223" s="357" t="e">
        <f t="shared" si="22"/>
        <v>#N/A</v>
      </c>
      <c r="E223" s="621" t="e">
        <f t="shared" si="23"/>
        <v>#N/A</v>
      </c>
      <c r="F223" s="357" t="e">
        <f t="shared" si="24"/>
        <v>#N/A</v>
      </c>
      <c r="G223" s="621" t="e">
        <f t="shared" si="25"/>
        <v>#N/A</v>
      </c>
      <c r="H223" s="618" t="e">
        <f t="shared" si="26"/>
        <v>#N/A</v>
      </c>
      <c r="I223" s="621" t="e">
        <f t="shared" si="28"/>
        <v>#N/A</v>
      </c>
      <c r="J223" s="357" t="e">
        <f t="shared" si="27"/>
        <v>#N/A</v>
      </c>
      <c r="K223" s="417"/>
      <c r="L223" s="338" t="e">
        <f>RANK($N223,$N$206:$N$224,0)+COUNTIF($N$206:$N223,$N223)-1</f>
        <v>#VALUE!</v>
      </c>
      <c r="M223" s="44" t="s">
        <v>97</v>
      </c>
      <c r="N223" s="617" t="str">
        <f>IF(Data!$KV$71="&lt;11",0,Data!$KV$71)</f>
        <v/>
      </c>
      <c r="O223" s="618" t="str">
        <f>Data!$TH$71</f>
        <v/>
      </c>
      <c r="P223" s="617" t="str">
        <f>IF(Data!$KV$72="&lt;11",0,Data!$KV$72)</f>
        <v/>
      </c>
      <c r="Q223" s="618" t="str">
        <f>Data!$TH$72</f>
        <v/>
      </c>
      <c r="R223" s="617">
        <f>IF(Data!$KV$62="&lt;11",0,Data!$KV$62)</f>
        <v>2163</v>
      </c>
      <c r="S223" s="618">
        <f>Data!$TH$62</f>
        <v>2.9000000000000001E-2</v>
      </c>
    </row>
    <row r="224" spans="1:19" x14ac:dyDescent="0.35">
      <c r="A224" s="328">
        <v>19</v>
      </c>
      <c r="B224" s="19" t="e">
        <f t="shared" si="20"/>
        <v>#N/A</v>
      </c>
      <c r="C224" s="621" t="e">
        <f t="shared" si="21"/>
        <v>#N/A</v>
      </c>
      <c r="D224" s="357" t="e">
        <f t="shared" si="22"/>
        <v>#N/A</v>
      </c>
      <c r="E224" s="621" t="e">
        <f t="shared" si="23"/>
        <v>#N/A</v>
      </c>
      <c r="F224" s="357" t="e">
        <f t="shared" si="24"/>
        <v>#N/A</v>
      </c>
      <c r="G224" s="621" t="e">
        <f t="shared" si="25"/>
        <v>#N/A</v>
      </c>
      <c r="H224" s="618" t="e">
        <f t="shared" si="26"/>
        <v>#N/A</v>
      </c>
      <c r="I224" s="621" t="e">
        <f t="shared" si="28"/>
        <v>#N/A</v>
      </c>
      <c r="J224" s="357" t="e">
        <f t="shared" si="27"/>
        <v>#N/A</v>
      </c>
      <c r="K224" s="417"/>
      <c r="L224" s="338" t="e">
        <f>RANK($N224,$N$206:$N$224,0)+COUNTIF($N$206:$N224,$N224)-1</f>
        <v>#VALUE!</v>
      </c>
      <c r="M224" s="44" t="s">
        <v>98</v>
      </c>
      <c r="N224" s="617" t="str">
        <f>IF(Data!$KW$71="&lt;11",0,Data!$KW$71)</f>
        <v/>
      </c>
      <c r="O224" s="618" t="str">
        <f>Data!$TI$71</f>
        <v/>
      </c>
      <c r="P224" s="617" t="str">
        <f>IF(Data!$KW$72="&lt;11",0,Data!$KW$72)</f>
        <v/>
      </c>
      <c r="Q224" s="618" t="str">
        <f>Data!$TI$72</f>
        <v/>
      </c>
      <c r="R224" s="617">
        <f>IF(Data!$KW$62="&lt;11",0,Data!$KW$62)</f>
        <v>3359</v>
      </c>
      <c r="S224" s="618">
        <f>Data!$TI$62</f>
        <v>4.3999999999999997E-2</v>
      </c>
    </row>
    <row r="227" spans="1:21" x14ac:dyDescent="0.35">
      <c r="B227" s="617"/>
      <c r="C227" s="617"/>
      <c r="D227" s="617"/>
      <c r="E227" s="617"/>
      <c r="F227" s="617"/>
      <c r="G227" s="617"/>
      <c r="H227" s="617"/>
      <c r="I227" s="617"/>
      <c r="J227" s="617"/>
      <c r="K227" s="617"/>
      <c r="L227" s="617"/>
      <c r="M227" s="617"/>
      <c r="N227" s="617"/>
      <c r="O227" s="617"/>
      <c r="P227" s="617"/>
      <c r="Q227" s="617"/>
      <c r="R227" s="617"/>
      <c r="S227" s="617"/>
      <c r="T227" s="617"/>
      <c r="U227" s="616"/>
    </row>
    <row r="228" spans="1:21" x14ac:dyDescent="0.35">
      <c r="A228" s="619" t="s">
        <v>751</v>
      </c>
      <c r="B228" s="324"/>
      <c r="C228" s="324"/>
      <c r="D228" s="325"/>
      <c r="E228" s="325"/>
      <c r="F228" s="325"/>
      <c r="G228" s="325"/>
      <c r="H228" s="325"/>
      <c r="I228" s="325"/>
      <c r="J228" s="325"/>
      <c r="K228" s="325"/>
      <c r="L228" s="326"/>
      <c r="M228" s="327"/>
    </row>
    <row r="229" spans="1:21" x14ac:dyDescent="0.35">
      <c r="A229" s="620"/>
      <c r="B229" s="329" t="s">
        <v>101</v>
      </c>
      <c r="C229" s="330" t="str">
        <f>COUNTY_SELECT</f>
        <v>County Name</v>
      </c>
      <c r="D229" s="331"/>
      <c r="E229" s="330" t="str">
        <f>Data!$A$71</f>
        <v/>
      </c>
      <c r="F229" s="644"/>
      <c r="G229" s="642" t="s">
        <v>126</v>
      </c>
      <c r="H229" s="644"/>
      <c r="I229" s="642" t="s">
        <v>126</v>
      </c>
      <c r="J229" s="139"/>
      <c r="K229" s="413"/>
      <c r="L229" s="31"/>
      <c r="M229" s="323" t="s">
        <v>101</v>
      </c>
      <c r="N229" s="328" t="str">
        <f>COUNTY_SELECT</f>
        <v>County Name</v>
      </c>
      <c r="O229" s="251" t="s">
        <v>441</v>
      </c>
      <c r="P229" s="332" t="str">
        <f>Data!$A$72</f>
        <v/>
      </c>
      <c r="Q229" s="56" t="s">
        <v>441</v>
      </c>
      <c r="R229" s="333" t="s">
        <v>126</v>
      </c>
      <c r="S229" s="623" t="s">
        <v>441</v>
      </c>
    </row>
    <row r="230" spans="1:21" x14ac:dyDescent="0.35">
      <c r="A230" s="645"/>
      <c r="B230" s="628"/>
      <c r="C230" s="634" t="s">
        <v>759</v>
      </c>
      <c r="D230" s="416"/>
      <c r="E230" s="632" t="s">
        <v>754</v>
      </c>
      <c r="F230" s="635"/>
      <c r="G230" s="634" t="s">
        <v>759</v>
      </c>
      <c r="H230" s="139"/>
      <c r="I230" s="634" t="s">
        <v>754</v>
      </c>
      <c r="J230" s="139"/>
      <c r="K230" s="413"/>
      <c r="L230" s="31"/>
      <c r="M230" s="31"/>
      <c r="N230" s="31"/>
      <c r="O230" s="251"/>
      <c r="P230" s="56"/>
      <c r="Q230" s="56"/>
      <c r="S230" s="623"/>
    </row>
    <row r="231" spans="1:21" x14ac:dyDescent="0.35">
      <c r="A231" s="328">
        <v>1</v>
      </c>
      <c r="B231" s="19" t="e">
        <f t="shared" ref="B231:B249" si="29">INDEX($M$231:$M$249,MATCH($A231,$L$231:$L$249,0))</f>
        <v>#N/A</v>
      </c>
      <c r="C231" s="621" t="e">
        <f>IF(INDEX($N$231:$N$249,MATCH($A231,$L$231:$L$249,0))&lt;11,"&lt;11",INDEX($N$231:$N$249,MATCH($A231,$L$231:$L$249,0)))</f>
        <v>#N/A</v>
      </c>
      <c r="D231" s="357" t="e">
        <f t="shared" ref="D231:D249" si="30">IF($C231="&lt;11","&lt;11",INDEX($O$231:$O$249,MATCH($A231,$L$231:$L$249,0)))</f>
        <v>#N/A</v>
      </c>
      <c r="E231" s="334" t="e">
        <f t="shared" ref="E231:E249" si="31">IF(INDEX($K$3:$K$21,MATCH($A231,$L$231:$L$249,0))&lt;11,"&lt;11",INDEX($K$3:$K$21,MATCH($A231,$L$231:$L$249,0)))</f>
        <v>#N/A</v>
      </c>
      <c r="F231" s="357" t="e">
        <f>IF(AND(LEFT($K$2,4)="Very",$E231="&lt;11"),"&lt;11",INDEX($L$3:$L$21,MATCH($B231,$J$3:$J$21,0)))</f>
        <v>#N/A</v>
      </c>
      <c r="G231" s="621" t="e">
        <f t="shared" ref="G231:G249" si="32">INDEX($R$231:$R$249,MATCH($B231,$M$231:$M$249,0))</f>
        <v>#N/A</v>
      </c>
      <c r="H231" s="618" t="e">
        <f t="shared" ref="H231:H249" si="33">INDEX($R$231:$R$249,MATCH($A231,$L$231:$L$249,0))/SUM($R$231:$R$249)</f>
        <v>#N/A</v>
      </c>
      <c r="I231" s="621" t="e">
        <f>INDEX($O$3:$O$21,MATCH($B231,$J$3:$J$21,0))</f>
        <v>#N/A</v>
      </c>
      <c r="J231" s="357" t="e">
        <f>INDEX($P$3:$P$21,MATCH($B231,$J$3:$J$21,0))</f>
        <v>#N/A</v>
      </c>
      <c r="K231" s="417"/>
      <c r="L231" s="338" t="e">
        <f>RANK($N231,$N$231:$N$249,0)+COUNTIF($N$231:$N231,$N231)-1</f>
        <v>#VALUE!</v>
      </c>
      <c r="M231" s="44" t="s">
        <v>82</v>
      </c>
      <c r="N231" s="617" t="str">
        <f>IF(Data!$KX$71="&lt;11",0,Data!$KX$71)</f>
        <v/>
      </c>
      <c r="O231" s="618" t="str">
        <f>Data!$TJ$71</f>
        <v/>
      </c>
      <c r="P231" s="617" t="str">
        <f>IF(Data!$KX$72="&lt;11",0,Data!$KX$72)</f>
        <v/>
      </c>
      <c r="Q231" s="618" t="str">
        <f>Data!$TJ$72</f>
        <v/>
      </c>
      <c r="R231" s="617">
        <f>IF(Data!$KX$62="&lt;11",0,Data!$KX$62)</f>
        <v>20650</v>
      </c>
      <c r="S231" s="618">
        <f>Data!$TJ$62</f>
        <v>0.26300000000000001</v>
      </c>
    </row>
    <row r="232" spans="1:21" x14ac:dyDescent="0.35">
      <c r="A232" s="328">
        <v>2</v>
      </c>
      <c r="B232" s="19" t="e">
        <f t="shared" si="29"/>
        <v>#N/A</v>
      </c>
      <c r="C232" s="621" t="e">
        <f t="shared" ref="C232:C249" si="34">IF(INDEX($N$231:$N$249,MATCH($A232,$L$231:$L$249,0))&lt;11,"&lt;11",INDEX($N$231:$N$249,MATCH($A232,$L$231:$L$249,0)))</f>
        <v>#N/A</v>
      </c>
      <c r="D232" s="357" t="e">
        <f t="shared" si="30"/>
        <v>#N/A</v>
      </c>
      <c r="E232" s="621" t="e">
        <f t="shared" si="31"/>
        <v>#N/A</v>
      </c>
      <c r="F232" s="357" t="e">
        <f t="shared" ref="F232:F249" si="35">IF(AND(LEFT($K$2,4)="Very",$E232="&lt;11"),"&lt;11",INDEX($L$3:$L$21,MATCH($B232,$J$3:$J$21,0)))</f>
        <v>#N/A</v>
      </c>
      <c r="G232" s="621" t="e">
        <f t="shared" si="32"/>
        <v>#N/A</v>
      </c>
      <c r="H232" s="618" t="e">
        <f t="shared" si="33"/>
        <v>#N/A</v>
      </c>
      <c r="I232" s="621" t="e">
        <f t="shared" ref="I232:I249" si="36">INDEX($O$3:$O$21,MATCH($B232,$J$3:$J$21,0))</f>
        <v>#N/A</v>
      </c>
      <c r="J232" s="357" t="e">
        <f t="shared" ref="J232:J249" si="37">INDEX($P$3:$P$21,MATCH($B232,$J$3:$J$21,0))</f>
        <v>#N/A</v>
      </c>
      <c r="K232" s="417"/>
      <c r="L232" s="338" t="e">
        <f>RANK($N232,$N$231:$N$249,0)+COUNTIF($N$231:$N232,$N232)-1</f>
        <v>#VALUE!</v>
      </c>
      <c r="M232" s="44" t="s">
        <v>83</v>
      </c>
      <c r="N232" s="617" t="str">
        <f>IF(Data!$KY$71="&lt;11",0,Data!$KY$71)</f>
        <v/>
      </c>
      <c r="O232" s="618" t="str">
        <f>Data!$TK$71</f>
        <v/>
      </c>
      <c r="P232" s="617" t="str">
        <f>IF(Data!$KY$72="&lt;11",0,Data!$KY$72)</f>
        <v/>
      </c>
      <c r="Q232" s="618" t="str">
        <f>Data!$TK$72</f>
        <v/>
      </c>
      <c r="R232" s="617">
        <f>IF(Data!$KY$62="&lt;11",0,Data!$KY$62)</f>
        <v>30888</v>
      </c>
      <c r="S232" s="618">
        <f>Data!$TK$62</f>
        <v>0.39400000000000002</v>
      </c>
    </row>
    <row r="233" spans="1:21" x14ac:dyDescent="0.35">
      <c r="A233" s="328">
        <v>3</v>
      </c>
      <c r="B233" s="19" t="e">
        <f t="shared" si="29"/>
        <v>#N/A</v>
      </c>
      <c r="C233" s="621" t="e">
        <f t="shared" si="34"/>
        <v>#N/A</v>
      </c>
      <c r="D233" s="357" t="e">
        <f t="shared" si="30"/>
        <v>#N/A</v>
      </c>
      <c r="E233" s="621" t="e">
        <f t="shared" si="31"/>
        <v>#N/A</v>
      </c>
      <c r="F233" s="357" t="e">
        <f t="shared" si="35"/>
        <v>#N/A</v>
      </c>
      <c r="G233" s="621" t="e">
        <f t="shared" si="32"/>
        <v>#N/A</v>
      </c>
      <c r="H233" s="618" t="e">
        <f t="shared" si="33"/>
        <v>#N/A</v>
      </c>
      <c r="I233" s="621" t="e">
        <f t="shared" si="36"/>
        <v>#N/A</v>
      </c>
      <c r="J233" s="357" t="e">
        <f t="shared" si="37"/>
        <v>#N/A</v>
      </c>
      <c r="K233" s="417"/>
      <c r="L233" s="338" t="e">
        <f>RANK($N233,$N$231:$N$249,0)+COUNTIF($N$231:$N233,$N233)-1</f>
        <v>#VALUE!</v>
      </c>
      <c r="M233" s="44" t="s">
        <v>129</v>
      </c>
      <c r="N233" s="617" t="str">
        <f>IF(Data!$KZ$71="&lt;11",0,Data!$KZ$71)</f>
        <v/>
      </c>
      <c r="O233" s="618" t="str">
        <f>Data!$TL$71</f>
        <v/>
      </c>
      <c r="P233" s="617" t="str">
        <f>IF(Data!$KZ$72="&lt;11",0,Data!$KZ$72)</f>
        <v/>
      </c>
      <c r="Q233" s="618" t="str">
        <f>Data!$TL$72</f>
        <v/>
      </c>
      <c r="R233" s="617">
        <f>IF(Data!$KZ$62="&lt;11",0,Data!$KZ$62)</f>
        <v>7472</v>
      </c>
      <c r="S233" s="618">
        <f>Data!$TL$62</f>
        <v>9.5000000000000001E-2</v>
      </c>
    </row>
    <row r="234" spans="1:21" x14ac:dyDescent="0.35">
      <c r="A234" s="328">
        <v>4</v>
      </c>
      <c r="B234" s="19" t="e">
        <f t="shared" si="29"/>
        <v>#N/A</v>
      </c>
      <c r="C234" s="621" t="e">
        <f t="shared" si="34"/>
        <v>#N/A</v>
      </c>
      <c r="D234" s="357" t="e">
        <f t="shared" si="30"/>
        <v>#N/A</v>
      </c>
      <c r="E234" s="621" t="e">
        <f t="shared" si="31"/>
        <v>#N/A</v>
      </c>
      <c r="F234" s="357" t="e">
        <f t="shared" si="35"/>
        <v>#N/A</v>
      </c>
      <c r="G234" s="621" t="e">
        <f t="shared" si="32"/>
        <v>#N/A</v>
      </c>
      <c r="H234" s="618" t="e">
        <f t="shared" si="33"/>
        <v>#N/A</v>
      </c>
      <c r="I234" s="621" t="e">
        <f t="shared" si="36"/>
        <v>#N/A</v>
      </c>
      <c r="J234" s="357" t="e">
        <f t="shared" si="37"/>
        <v>#N/A</v>
      </c>
      <c r="K234" s="417"/>
      <c r="L234" s="338" t="e">
        <f>RANK($N234,$N$231:$N$249,0)+COUNTIF($N$231:$N234,$N234)-1</f>
        <v>#VALUE!</v>
      </c>
      <c r="M234" s="44" t="s">
        <v>84</v>
      </c>
      <c r="N234" s="617" t="str">
        <f>IF(Data!$LA$71="&lt;11",0,Data!$LA$71)</f>
        <v/>
      </c>
      <c r="O234" s="618" t="str">
        <f>Data!$TM$71</f>
        <v/>
      </c>
      <c r="P234" s="617" t="str">
        <f>IF(Data!$LA$72="&lt;11",0,Data!$LA$72)</f>
        <v/>
      </c>
      <c r="Q234" s="618" t="str">
        <f>Data!$TM$72</f>
        <v/>
      </c>
      <c r="R234" s="617">
        <f>IF(Data!$LA$62="&lt;11",0,Data!$LA$62)</f>
        <v>2232</v>
      </c>
      <c r="S234" s="618">
        <f>Data!$TM$62</f>
        <v>2.8000000000000001E-2</v>
      </c>
    </row>
    <row r="235" spans="1:21" x14ac:dyDescent="0.35">
      <c r="A235" s="328">
        <v>5</v>
      </c>
      <c r="B235" s="19" t="e">
        <f t="shared" si="29"/>
        <v>#N/A</v>
      </c>
      <c r="C235" s="621" t="e">
        <f t="shared" si="34"/>
        <v>#N/A</v>
      </c>
      <c r="D235" s="357" t="e">
        <f t="shared" si="30"/>
        <v>#N/A</v>
      </c>
      <c r="E235" s="621" t="e">
        <f t="shared" si="31"/>
        <v>#N/A</v>
      </c>
      <c r="F235" s="357" t="e">
        <f t="shared" si="35"/>
        <v>#N/A</v>
      </c>
      <c r="G235" s="621" t="e">
        <f t="shared" si="32"/>
        <v>#N/A</v>
      </c>
      <c r="H235" s="618" t="e">
        <f t="shared" si="33"/>
        <v>#N/A</v>
      </c>
      <c r="I235" s="621" t="e">
        <f t="shared" si="36"/>
        <v>#N/A</v>
      </c>
      <c r="J235" s="357" t="e">
        <f t="shared" si="37"/>
        <v>#N/A</v>
      </c>
      <c r="K235" s="417"/>
      <c r="L235" s="338" t="e">
        <f>RANK($N235,$N$231:$N$249,0)+COUNTIF($N$231:$N235,$N235)-1</f>
        <v>#VALUE!</v>
      </c>
      <c r="M235" s="44" t="s">
        <v>85</v>
      </c>
      <c r="N235" s="617" t="str">
        <f>IF(Data!$LB$71="&lt;11",0,Data!$LB$71)</f>
        <v/>
      </c>
      <c r="O235" s="618" t="str">
        <f>Data!$TN$71</f>
        <v/>
      </c>
      <c r="P235" s="617" t="str">
        <f>IF(Data!$LB$72="&lt;11",0,Data!$LB$72)</f>
        <v/>
      </c>
      <c r="Q235" s="618" t="str">
        <f>Data!$TN$72</f>
        <v/>
      </c>
      <c r="R235" s="617">
        <f>IF(Data!$LB$62="&lt;11",0,Data!$LB$62)</f>
        <v>395</v>
      </c>
      <c r="S235" s="618">
        <f>Data!$TN$62</f>
        <v>5.0000000000000001E-3</v>
      </c>
    </row>
    <row r="236" spans="1:21" x14ac:dyDescent="0.35">
      <c r="A236" s="328">
        <v>6</v>
      </c>
      <c r="B236" s="19" t="e">
        <f t="shared" si="29"/>
        <v>#N/A</v>
      </c>
      <c r="C236" s="621" t="e">
        <f t="shared" si="34"/>
        <v>#N/A</v>
      </c>
      <c r="D236" s="357" t="e">
        <f t="shared" si="30"/>
        <v>#N/A</v>
      </c>
      <c r="E236" s="621" t="e">
        <f t="shared" si="31"/>
        <v>#N/A</v>
      </c>
      <c r="F236" s="357" t="e">
        <f t="shared" si="35"/>
        <v>#N/A</v>
      </c>
      <c r="G236" s="621" t="e">
        <f t="shared" si="32"/>
        <v>#N/A</v>
      </c>
      <c r="H236" s="618" t="e">
        <f t="shared" si="33"/>
        <v>#N/A</v>
      </c>
      <c r="I236" s="621" t="e">
        <f t="shared" si="36"/>
        <v>#N/A</v>
      </c>
      <c r="J236" s="357" t="e">
        <f t="shared" si="37"/>
        <v>#N/A</v>
      </c>
      <c r="K236" s="417"/>
      <c r="L236" s="338" t="e">
        <f>RANK($N236,$N$231:$N$249,0)+COUNTIF($N$231:$N236,$N236)-1</f>
        <v>#VALUE!</v>
      </c>
      <c r="M236" s="44" t="s">
        <v>86</v>
      </c>
      <c r="N236" s="617" t="str">
        <f>IF(Data!$LC$71="&lt;11",0,Data!$LC$71)</f>
        <v/>
      </c>
      <c r="O236" s="618" t="str">
        <f>Data!$TO$71</f>
        <v/>
      </c>
      <c r="P236" s="617" t="str">
        <f>IF(Data!$LC$72="&lt;11",0,Data!$LC$72)</f>
        <v/>
      </c>
      <c r="Q236" s="618" t="str">
        <f>Data!$TO$72</f>
        <v/>
      </c>
      <c r="R236" s="617">
        <f>IF(Data!$LC$62="&lt;11",0,Data!$LC$62)</f>
        <v>2712</v>
      </c>
      <c r="S236" s="618">
        <f>Data!$TO$62</f>
        <v>3.5000000000000003E-2</v>
      </c>
    </row>
    <row r="237" spans="1:21" x14ac:dyDescent="0.35">
      <c r="A237" s="328">
        <v>7</v>
      </c>
      <c r="B237" s="19" t="e">
        <f t="shared" si="29"/>
        <v>#N/A</v>
      </c>
      <c r="C237" s="621" t="e">
        <f t="shared" si="34"/>
        <v>#N/A</v>
      </c>
      <c r="D237" s="357" t="e">
        <f t="shared" si="30"/>
        <v>#N/A</v>
      </c>
      <c r="E237" s="621" t="e">
        <f t="shared" si="31"/>
        <v>#N/A</v>
      </c>
      <c r="F237" s="357" t="e">
        <f t="shared" si="35"/>
        <v>#N/A</v>
      </c>
      <c r="G237" s="621" t="e">
        <f t="shared" si="32"/>
        <v>#N/A</v>
      </c>
      <c r="H237" s="618" t="e">
        <f t="shared" si="33"/>
        <v>#N/A</v>
      </c>
      <c r="I237" s="621" t="e">
        <f t="shared" si="36"/>
        <v>#N/A</v>
      </c>
      <c r="J237" s="357" t="e">
        <f t="shared" si="37"/>
        <v>#N/A</v>
      </c>
      <c r="K237" s="417"/>
      <c r="L237" s="338" t="e">
        <f>RANK($N237,$N$231:$N$249,0)+COUNTIF($N$231:$N237,$N237)-1</f>
        <v>#VALUE!</v>
      </c>
      <c r="M237" s="44" t="s">
        <v>381</v>
      </c>
      <c r="N237" s="617" t="str">
        <f>IF(Data!$LD$71="&lt;11",0,Data!$LD$71)</f>
        <v/>
      </c>
      <c r="O237" s="618" t="str">
        <f>Data!$TP$71</f>
        <v/>
      </c>
      <c r="P237" s="617" t="str">
        <f>IF(Data!$LD$72="&lt;11",0,Data!$LD$72)</f>
        <v/>
      </c>
      <c r="Q237" s="618" t="str">
        <f>Data!$TP$72</f>
        <v/>
      </c>
      <c r="R237" s="617">
        <f>IF(Data!$LD$62="&lt;11",0,Data!$LD$62)</f>
        <v>947</v>
      </c>
      <c r="S237" s="618">
        <f>Data!$TP$62</f>
        <v>1.2E-2</v>
      </c>
    </row>
    <row r="238" spans="1:21" x14ac:dyDescent="0.35">
      <c r="A238" s="328">
        <v>8</v>
      </c>
      <c r="B238" s="19" t="e">
        <f t="shared" si="29"/>
        <v>#N/A</v>
      </c>
      <c r="C238" s="621" t="e">
        <f t="shared" si="34"/>
        <v>#N/A</v>
      </c>
      <c r="D238" s="357" t="e">
        <f t="shared" si="30"/>
        <v>#N/A</v>
      </c>
      <c r="E238" s="621" t="e">
        <f t="shared" si="31"/>
        <v>#N/A</v>
      </c>
      <c r="F238" s="357" t="e">
        <f t="shared" si="35"/>
        <v>#N/A</v>
      </c>
      <c r="G238" s="621" t="e">
        <f t="shared" si="32"/>
        <v>#N/A</v>
      </c>
      <c r="H238" s="618" t="e">
        <f t="shared" si="33"/>
        <v>#N/A</v>
      </c>
      <c r="I238" s="621" t="e">
        <f t="shared" si="36"/>
        <v>#N/A</v>
      </c>
      <c r="J238" s="357" t="e">
        <f t="shared" si="37"/>
        <v>#N/A</v>
      </c>
      <c r="K238" s="417"/>
      <c r="L238" s="338" t="e">
        <f>RANK($N238,$N$231:$N$249,0)+COUNTIF($N$231:$N238,$N238)-1</f>
        <v>#VALUE!</v>
      </c>
      <c r="M238" s="44" t="s">
        <v>88</v>
      </c>
      <c r="N238" s="617" t="str">
        <f>IF(Data!$LE$71="&lt;11",0,Data!$LE$71)</f>
        <v/>
      </c>
      <c r="O238" s="618" t="str">
        <f>Data!$TQ$71</f>
        <v/>
      </c>
      <c r="P238" s="617" t="str">
        <f>IF(Data!$LE$72="&lt;11",0,Data!$LE$72)</f>
        <v/>
      </c>
      <c r="Q238" s="618" t="str">
        <f>Data!$TQ$72</f>
        <v/>
      </c>
      <c r="R238" s="617">
        <f>IF(Data!$LE$62="&lt;11",0,Data!$LE$62)</f>
        <v>27</v>
      </c>
      <c r="S238" s="618">
        <f>Data!$TQ$62</f>
        <v>0</v>
      </c>
    </row>
    <row r="239" spans="1:21" x14ac:dyDescent="0.35">
      <c r="A239" s="328">
        <v>9</v>
      </c>
      <c r="B239" s="19" t="e">
        <f t="shared" si="29"/>
        <v>#N/A</v>
      </c>
      <c r="C239" s="621" t="e">
        <f t="shared" si="34"/>
        <v>#N/A</v>
      </c>
      <c r="D239" s="357" t="e">
        <f t="shared" si="30"/>
        <v>#N/A</v>
      </c>
      <c r="E239" s="621" t="e">
        <f t="shared" si="31"/>
        <v>#N/A</v>
      </c>
      <c r="F239" s="357" t="e">
        <f t="shared" si="35"/>
        <v>#N/A</v>
      </c>
      <c r="G239" s="621" t="e">
        <f t="shared" si="32"/>
        <v>#N/A</v>
      </c>
      <c r="H239" s="618" t="e">
        <f t="shared" si="33"/>
        <v>#N/A</v>
      </c>
      <c r="I239" s="621" t="e">
        <f t="shared" si="36"/>
        <v>#N/A</v>
      </c>
      <c r="J239" s="357" t="e">
        <f t="shared" si="37"/>
        <v>#N/A</v>
      </c>
      <c r="K239" s="417"/>
      <c r="L239" s="338" t="e">
        <f>RANK($N239,$N$231:$N$249,0)+COUNTIF($N$231:$N239,$N239)-1</f>
        <v>#VALUE!</v>
      </c>
      <c r="M239" s="44" t="s">
        <v>89</v>
      </c>
      <c r="N239" s="617" t="str">
        <f>IF(Data!$LF$71="&lt;11",0,Data!$LF$71)</f>
        <v/>
      </c>
      <c r="O239" s="618" t="str">
        <f>Data!$TR$71</f>
        <v/>
      </c>
      <c r="P239" s="617" t="str">
        <f>IF(Data!$LF$72="&lt;11",0,Data!$LF$72)</f>
        <v/>
      </c>
      <c r="Q239" s="618" t="str">
        <f>Data!$TR$72</f>
        <v/>
      </c>
      <c r="R239" s="617">
        <f>IF(Data!$LF$62="&lt;11",0,Data!$LF$62)</f>
        <v>3270</v>
      </c>
      <c r="S239" s="618">
        <f>Data!$TR$62</f>
        <v>4.2000000000000003E-2</v>
      </c>
    </row>
    <row r="240" spans="1:21" x14ac:dyDescent="0.35">
      <c r="A240" s="328">
        <v>10</v>
      </c>
      <c r="B240" s="19" t="e">
        <f t="shared" si="29"/>
        <v>#N/A</v>
      </c>
      <c r="C240" s="621" t="e">
        <f t="shared" si="34"/>
        <v>#N/A</v>
      </c>
      <c r="D240" s="357" t="e">
        <f t="shared" si="30"/>
        <v>#N/A</v>
      </c>
      <c r="E240" s="621" t="e">
        <f t="shared" si="31"/>
        <v>#N/A</v>
      </c>
      <c r="F240" s="357" t="e">
        <f t="shared" si="35"/>
        <v>#N/A</v>
      </c>
      <c r="G240" s="621" t="e">
        <f t="shared" si="32"/>
        <v>#N/A</v>
      </c>
      <c r="H240" s="618" t="e">
        <f t="shared" si="33"/>
        <v>#N/A</v>
      </c>
      <c r="I240" s="621" t="e">
        <f t="shared" si="36"/>
        <v>#N/A</v>
      </c>
      <c r="J240" s="357" t="e">
        <f t="shared" si="37"/>
        <v>#N/A</v>
      </c>
      <c r="K240" s="417"/>
      <c r="L240" s="338" t="e">
        <f>RANK($N240,$N$231:$N$249,0)+COUNTIF($N$231:$N240,$N240)-1</f>
        <v>#VALUE!</v>
      </c>
      <c r="M240" s="44" t="s">
        <v>90</v>
      </c>
      <c r="N240" s="617" t="str">
        <f>IF(Data!$LG$71="&lt;11",0,Data!$LG$71)</f>
        <v/>
      </c>
      <c r="O240" s="618" t="str">
        <f>Data!$TS$71</f>
        <v/>
      </c>
      <c r="P240" s="617" t="str">
        <f>IF(Data!$LG$72="&lt;11",0,Data!$LG$72)</f>
        <v/>
      </c>
      <c r="Q240" s="618" t="str">
        <f>Data!$TS$72</f>
        <v/>
      </c>
      <c r="R240" s="617">
        <f>IF(Data!$LG$62="&lt;11",0,Data!$LG$62)</f>
        <v>757</v>
      </c>
      <c r="S240" s="618">
        <f>Data!$TS$62</f>
        <v>0.01</v>
      </c>
    </row>
    <row r="241" spans="1:21" x14ac:dyDescent="0.35">
      <c r="A241" s="328">
        <v>11</v>
      </c>
      <c r="B241" s="19" t="e">
        <f t="shared" si="29"/>
        <v>#N/A</v>
      </c>
      <c r="C241" s="621" t="e">
        <f t="shared" si="34"/>
        <v>#N/A</v>
      </c>
      <c r="D241" s="357" t="e">
        <f t="shared" si="30"/>
        <v>#N/A</v>
      </c>
      <c r="E241" s="621" t="e">
        <f t="shared" si="31"/>
        <v>#N/A</v>
      </c>
      <c r="F241" s="357" t="e">
        <f t="shared" si="35"/>
        <v>#N/A</v>
      </c>
      <c r="G241" s="621" t="e">
        <f t="shared" si="32"/>
        <v>#N/A</v>
      </c>
      <c r="H241" s="618" t="e">
        <f t="shared" si="33"/>
        <v>#N/A</v>
      </c>
      <c r="I241" s="621" t="e">
        <f t="shared" si="36"/>
        <v>#N/A</v>
      </c>
      <c r="J241" s="357" t="e">
        <f t="shared" si="37"/>
        <v>#N/A</v>
      </c>
      <c r="K241" s="417"/>
      <c r="L241" s="338" t="e">
        <f>RANK($N241,$N$231:$N$249,0)+COUNTIF($N$231:$N241,$N241)-1</f>
        <v>#VALUE!</v>
      </c>
      <c r="M241" s="44" t="s">
        <v>91</v>
      </c>
      <c r="N241" s="617" t="str">
        <f>IF(Data!$LH$71="&lt;11",0,Data!$LH$71)</f>
        <v/>
      </c>
      <c r="O241" s="618" t="str">
        <f>Data!$TT$71</f>
        <v/>
      </c>
      <c r="P241" s="617" t="str">
        <f>IF(Data!$LH$72="&lt;11",0,Data!$LH$72)</f>
        <v/>
      </c>
      <c r="Q241" s="618" t="str">
        <f>Data!$TT$72</f>
        <v/>
      </c>
      <c r="R241" s="617">
        <f>IF(Data!$LH$62="&lt;11",0,Data!$LH$62)</f>
        <v>84</v>
      </c>
      <c r="S241" s="618">
        <f>Data!$TT$62</f>
        <v>1E-3</v>
      </c>
    </row>
    <row r="242" spans="1:21" x14ac:dyDescent="0.35">
      <c r="A242" s="328">
        <v>12</v>
      </c>
      <c r="B242" s="19" t="e">
        <f t="shared" si="29"/>
        <v>#N/A</v>
      </c>
      <c r="C242" s="621" t="e">
        <f t="shared" si="34"/>
        <v>#N/A</v>
      </c>
      <c r="D242" s="357" t="e">
        <f t="shared" si="30"/>
        <v>#N/A</v>
      </c>
      <c r="E242" s="621" t="e">
        <f t="shared" si="31"/>
        <v>#N/A</v>
      </c>
      <c r="F242" s="357" t="e">
        <f t="shared" si="35"/>
        <v>#N/A</v>
      </c>
      <c r="G242" s="621" t="e">
        <f t="shared" si="32"/>
        <v>#N/A</v>
      </c>
      <c r="H242" s="618" t="e">
        <f t="shared" si="33"/>
        <v>#N/A</v>
      </c>
      <c r="I242" s="621" t="e">
        <f t="shared" si="36"/>
        <v>#N/A</v>
      </c>
      <c r="J242" s="357" t="e">
        <f t="shared" si="37"/>
        <v>#N/A</v>
      </c>
      <c r="K242" s="417"/>
      <c r="L242" s="338" t="e">
        <f>RANK($N242,$N$231:$N$249,0)+COUNTIF($N$231:$N242,$N242)-1</f>
        <v>#VALUE!</v>
      </c>
      <c r="M242" s="44" t="s">
        <v>92</v>
      </c>
      <c r="N242" s="617" t="str">
        <f>IF(Data!$LI$71="&lt;11",0,Data!$LI$71)</f>
        <v/>
      </c>
      <c r="O242" s="618" t="str">
        <f>Data!$TU$71</f>
        <v/>
      </c>
      <c r="P242" s="617" t="str">
        <f>IF(Data!$LI$72="&lt;11",0,Data!$LI$72)</f>
        <v/>
      </c>
      <c r="Q242" s="618" t="str">
        <f>Data!$TU$72</f>
        <v/>
      </c>
      <c r="R242" s="617">
        <f>IF(Data!$LI$62="&lt;11",0,Data!$LI$62)</f>
        <v>523</v>
      </c>
      <c r="S242" s="618">
        <f>Data!$TU$62</f>
        <v>7.0000000000000001E-3</v>
      </c>
    </row>
    <row r="243" spans="1:21" x14ac:dyDescent="0.35">
      <c r="A243" s="328">
        <v>13</v>
      </c>
      <c r="B243" s="19" t="e">
        <f t="shared" si="29"/>
        <v>#N/A</v>
      </c>
      <c r="C243" s="621" t="e">
        <f t="shared" si="34"/>
        <v>#N/A</v>
      </c>
      <c r="D243" s="357" t="e">
        <f t="shared" si="30"/>
        <v>#N/A</v>
      </c>
      <c r="E243" s="621" t="e">
        <f t="shared" si="31"/>
        <v>#N/A</v>
      </c>
      <c r="F243" s="357" t="e">
        <f t="shared" si="35"/>
        <v>#N/A</v>
      </c>
      <c r="G243" s="621" t="e">
        <f t="shared" si="32"/>
        <v>#N/A</v>
      </c>
      <c r="H243" s="618" t="e">
        <f t="shared" si="33"/>
        <v>#N/A</v>
      </c>
      <c r="I243" s="621" t="e">
        <f t="shared" si="36"/>
        <v>#N/A</v>
      </c>
      <c r="J243" s="357" t="e">
        <f t="shared" si="37"/>
        <v>#N/A</v>
      </c>
      <c r="K243" s="417"/>
      <c r="L243" s="338" t="e">
        <f>RANK($N243,$N$231:$N$249,0)+COUNTIF($N$231:$N243,$N243)-1</f>
        <v>#VALUE!</v>
      </c>
      <c r="M243" s="44" t="s">
        <v>93</v>
      </c>
      <c r="N243" s="617" t="str">
        <f>IF(Data!$LJ$71="&lt;11",0,Data!$LJ$71)</f>
        <v/>
      </c>
      <c r="O243" s="618" t="str">
        <f>Data!$TV$71</f>
        <v/>
      </c>
      <c r="P243" s="617" t="str">
        <f>IF(Data!$LJ$72="&lt;11",0,Data!$LJ$72)</f>
        <v/>
      </c>
      <c r="Q243" s="618" t="str">
        <f>Data!$TV$72</f>
        <v/>
      </c>
      <c r="R243" s="617">
        <f>IF(Data!$LJ$62="&lt;11",0,Data!$LJ$62)</f>
        <v>114</v>
      </c>
      <c r="S243" s="618">
        <f>Data!$TV$62</f>
        <v>1E-3</v>
      </c>
    </row>
    <row r="244" spans="1:21" x14ac:dyDescent="0.35">
      <c r="A244" s="328">
        <v>14</v>
      </c>
      <c r="B244" s="19" t="e">
        <f t="shared" si="29"/>
        <v>#N/A</v>
      </c>
      <c r="C244" s="621" t="e">
        <f t="shared" si="34"/>
        <v>#N/A</v>
      </c>
      <c r="D244" s="357" t="e">
        <f t="shared" si="30"/>
        <v>#N/A</v>
      </c>
      <c r="E244" s="621" t="e">
        <f t="shared" si="31"/>
        <v>#N/A</v>
      </c>
      <c r="F244" s="357" t="e">
        <f t="shared" si="35"/>
        <v>#N/A</v>
      </c>
      <c r="G244" s="621" t="e">
        <f t="shared" si="32"/>
        <v>#N/A</v>
      </c>
      <c r="H244" s="618" t="e">
        <f t="shared" si="33"/>
        <v>#N/A</v>
      </c>
      <c r="I244" s="621" t="e">
        <f t="shared" si="36"/>
        <v>#N/A</v>
      </c>
      <c r="J244" s="357" t="e">
        <f t="shared" si="37"/>
        <v>#N/A</v>
      </c>
      <c r="K244" s="417"/>
      <c r="L244" s="338" t="e">
        <f>RANK($N244,$N$231:$N$249,0)+COUNTIF($N$231:$N244,$N244)-1</f>
        <v>#VALUE!</v>
      </c>
      <c r="M244" s="44" t="s">
        <v>94</v>
      </c>
      <c r="N244" s="617" t="str">
        <f>IF(Data!$LK$71="&lt;11",0,Data!$LK$71)</f>
        <v/>
      </c>
      <c r="O244" s="618" t="str">
        <f>Data!$TW$71</f>
        <v/>
      </c>
      <c r="P244" s="617" t="str">
        <f>IF(Data!$LK$72="&lt;11",0,Data!$LK$72)</f>
        <v/>
      </c>
      <c r="Q244" s="618" t="str">
        <f>Data!$TW$72</f>
        <v/>
      </c>
      <c r="R244" s="617">
        <f>IF(Data!$LK$62="&lt;11",0,Data!$LK$62)</f>
        <v>1811</v>
      </c>
      <c r="S244" s="618">
        <f>Data!$TW$62</f>
        <v>2.3E-2</v>
      </c>
    </row>
    <row r="245" spans="1:21" x14ac:dyDescent="0.35">
      <c r="A245" s="328">
        <v>15</v>
      </c>
      <c r="B245" s="19" t="e">
        <f t="shared" si="29"/>
        <v>#N/A</v>
      </c>
      <c r="C245" s="621" t="e">
        <f t="shared" si="34"/>
        <v>#N/A</v>
      </c>
      <c r="D245" s="357" t="e">
        <f t="shared" si="30"/>
        <v>#N/A</v>
      </c>
      <c r="E245" s="621" t="e">
        <f t="shared" si="31"/>
        <v>#N/A</v>
      </c>
      <c r="F245" s="357" t="e">
        <f t="shared" si="35"/>
        <v>#N/A</v>
      </c>
      <c r="G245" s="621" t="e">
        <f t="shared" si="32"/>
        <v>#N/A</v>
      </c>
      <c r="H245" s="618" t="e">
        <f t="shared" si="33"/>
        <v>#N/A</v>
      </c>
      <c r="I245" s="621" t="e">
        <f t="shared" si="36"/>
        <v>#N/A</v>
      </c>
      <c r="J245" s="357" t="e">
        <f t="shared" si="37"/>
        <v>#N/A</v>
      </c>
      <c r="K245" s="417"/>
      <c r="L245" s="338" t="e">
        <f>RANK($N245,$N$231:$N$249,0)+COUNTIF($N$231:$N245,$N245)-1</f>
        <v>#VALUE!</v>
      </c>
      <c r="M245" s="44" t="s">
        <v>95</v>
      </c>
      <c r="N245" s="617" t="str">
        <f>IF(Data!$LL$71="&lt;11",0,Data!$LL$71)</f>
        <v/>
      </c>
      <c r="O245" s="618" t="str">
        <f>Data!$TX$71</f>
        <v/>
      </c>
      <c r="P245" s="617" t="str">
        <f>IF(Data!$LL$72="&lt;11",0,Data!$LL$72)</f>
        <v/>
      </c>
      <c r="Q245" s="618" t="str">
        <f>Data!$TX$72</f>
        <v/>
      </c>
      <c r="R245" s="617">
        <f>IF(Data!$LL$62="&lt;11",0,Data!$LL$62)</f>
        <v>23</v>
      </c>
      <c r="S245" s="618">
        <f>Data!$TX$62</f>
        <v>0</v>
      </c>
    </row>
    <row r="246" spans="1:21" x14ac:dyDescent="0.35">
      <c r="A246" s="328">
        <v>16</v>
      </c>
      <c r="B246" s="19" t="e">
        <f t="shared" si="29"/>
        <v>#N/A</v>
      </c>
      <c r="C246" s="621" t="e">
        <f t="shared" si="34"/>
        <v>#N/A</v>
      </c>
      <c r="D246" s="357" t="e">
        <f t="shared" si="30"/>
        <v>#N/A</v>
      </c>
      <c r="E246" s="621" t="e">
        <f t="shared" si="31"/>
        <v>#N/A</v>
      </c>
      <c r="F246" s="357" t="e">
        <f t="shared" si="35"/>
        <v>#N/A</v>
      </c>
      <c r="G246" s="621" t="e">
        <f t="shared" si="32"/>
        <v>#N/A</v>
      </c>
      <c r="H246" s="618" t="e">
        <f t="shared" si="33"/>
        <v>#N/A</v>
      </c>
      <c r="I246" s="621" t="e">
        <f t="shared" si="36"/>
        <v>#N/A</v>
      </c>
      <c r="J246" s="357" t="e">
        <f t="shared" si="37"/>
        <v>#N/A</v>
      </c>
      <c r="K246" s="417"/>
      <c r="L246" s="338" t="e">
        <f>RANK($N246,$N$231:$N$249,0)+COUNTIF($N$231:$N246,$N246)-1</f>
        <v>#VALUE!</v>
      </c>
      <c r="M246" s="44" t="s">
        <v>301</v>
      </c>
      <c r="N246" s="617" t="str">
        <f>IF(Data!$LM$71="&lt;11",0,Data!$LM$71)</f>
        <v/>
      </c>
      <c r="O246" s="618" t="str">
        <f>Data!$TY$71</f>
        <v/>
      </c>
      <c r="P246" s="617" t="str">
        <f>IF(Data!$LM$72="&lt;11",0,Data!$LM$72)</f>
        <v/>
      </c>
      <c r="Q246" s="618" t="str">
        <f>Data!$TY$72</f>
        <v/>
      </c>
      <c r="R246" s="617">
        <f>IF(Data!$LM$62="&lt;11",0,Data!$LM$62)</f>
        <v>20</v>
      </c>
      <c r="S246" s="618">
        <f>Data!$TY$62</f>
        <v>0</v>
      </c>
    </row>
    <row r="247" spans="1:21" x14ac:dyDescent="0.35">
      <c r="A247" s="328">
        <v>17</v>
      </c>
      <c r="B247" s="19" t="e">
        <f t="shared" si="29"/>
        <v>#N/A</v>
      </c>
      <c r="C247" s="621" t="e">
        <f t="shared" si="34"/>
        <v>#N/A</v>
      </c>
      <c r="D247" s="357" t="e">
        <f t="shared" si="30"/>
        <v>#N/A</v>
      </c>
      <c r="E247" s="621" t="e">
        <f t="shared" si="31"/>
        <v>#N/A</v>
      </c>
      <c r="F247" s="357" t="e">
        <f t="shared" si="35"/>
        <v>#N/A</v>
      </c>
      <c r="G247" s="621" t="e">
        <f t="shared" si="32"/>
        <v>#N/A</v>
      </c>
      <c r="H247" s="618" t="e">
        <f t="shared" si="33"/>
        <v>#N/A</v>
      </c>
      <c r="I247" s="621" t="e">
        <f t="shared" si="36"/>
        <v>#N/A</v>
      </c>
      <c r="J247" s="357" t="e">
        <f t="shared" si="37"/>
        <v>#N/A</v>
      </c>
      <c r="K247" s="417"/>
      <c r="L247" s="338" t="e">
        <f>RANK($N247,$N$231:$N$249,0)+COUNTIF($N$231:$N247,$N247)-1</f>
        <v>#VALUE!</v>
      </c>
      <c r="M247" s="44" t="s">
        <v>96</v>
      </c>
      <c r="N247" s="617" t="str">
        <f>IF(Data!$LN$71="&lt;11",0,Data!$LN$71)</f>
        <v/>
      </c>
      <c r="O247" s="618" t="str">
        <f>Data!$TZ$71</f>
        <v/>
      </c>
      <c r="P247" s="617" t="str">
        <f>IF(Data!$LN$72="&lt;11",0,Data!$LN$72)</f>
        <v/>
      </c>
      <c r="Q247" s="618" t="str">
        <f>Data!$TZ$72</f>
        <v/>
      </c>
      <c r="R247" s="617">
        <f>IF(Data!$LN$62="&lt;11",0,Data!$LN$62)</f>
        <v>666</v>
      </c>
      <c r="S247" s="618">
        <f>Data!$TZ$62</f>
        <v>8.0000000000000002E-3</v>
      </c>
    </row>
    <row r="248" spans="1:21" x14ac:dyDescent="0.35">
      <c r="A248" s="328">
        <v>18</v>
      </c>
      <c r="B248" s="19" t="e">
        <f t="shared" si="29"/>
        <v>#N/A</v>
      </c>
      <c r="C248" s="621" t="e">
        <f t="shared" si="34"/>
        <v>#N/A</v>
      </c>
      <c r="D248" s="357" t="e">
        <f t="shared" si="30"/>
        <v>#N/A</v>
      </c>
      <c r="E248" s="621" t="e">
        <f t="shared" si="31"/>
        <v>#N/A</v>
      </c>
      <c r="F248" s="357" t="e">
        <f t="shared" si="35"/>
        <v>#N/A</v>
      </c>
      <c r="G248" s="621" t="e">
        <f t="shared" si="32"/>
        <v>#N/A</v>
      </c>
      <c r="H248" s="618" t="e">
        <f t="shared" si="33"/>
        <v>#N/A</v>
      </c>
      <c r="I248" s="621" t="e">
        <f t="shared" si="36"/>
        <v>#N/A</v>
      </c>
      <c r="J248" s="357" t="e">
        <f t="shared" si="37"/>
        <v>#N/A</v>
      </c>
      <c r="K248" s="417"/>
      <c r="L248" s="338" t="e">
        <f>RANK($N248,$N$231:$N$249,0)+COUNTIF($N$231:$N248,$N248)-1</f>
        <v>#VALUE!</v>
      </c>
      <c r="M248" s="44" t="s">
        <v>97</v>
      </c>
      <c r="N248" s="617" t="str">
        <f>IF(Data!$LO$71="&lt;11",0,Data!$LO$71)</f>
        <v/>
      </c>
      <c r="O248" s="618" t="str">
        <f>Data!$UA$71</f>
        <v/>
      </c>
      <c r="P248" s="617" t="str">
        <f>IF(Data!$LO$72="&lt;11",0,Data!$LO$72)</f>
        <v/>
      </c>
      <c r="Q248" s="618" t="str">
        <f>Data!$UA$72</f>
        <v/>
      </c>
      <c r="R248" s="617">
        <f>IF(Data!$LO$62="&lt;11",0,Data!$LO$62)</f>
        <v>3410</v>
      </c>
      <c r="S248" s="618">
        <f>Data!$UA$62</f>
        <v>4.2999999999999997E-2</v>
      </c>
    </row>
    <row r="249" spans="1:21" x14ac:dyDescent="0.35">
      <c r="A249" s="328">
        <v>19</v>
      </c>
      <c r="B249" s="19" t="e">
        <f t="shared" si="29"/>
        <v>#N/A</v>
      </c>
      <c r="C249" s="621" t="e">
        <f t="shared" si="34"/>
        <v>#N/A</v>
      </c>
      <c r="D249" s="357" t="e">
        <f t="shared" si="30"/>
        <v>#N/A</v>
      </c>
      <c r="E249" s="621" t="e">
        <f t="shared" si="31"/>
        <v>#N/A</v>
      </c>
      <c r="F249" s="357" t="e">
        <f t="shared" si="35"/>
        <v>#N/A</v>
      </c>
      <c r="G249" s="621" t="e">
        <f t="shared" si="32"/>
        <v>#N/A</v>
      </c>
      <c r="H249" s="618" t="e">
        <f t="shared" si="33"/>
        <v>#N/A</v>
      </c>
      <c r="I249" s="621" t="e">
        <f t="shared" si="36"/>
        <v>#N/A</v>
      </c>
      <c r="J249" s="357" t="e">
        <f t="shared" si="37"/>
        <v>#N/A</v>
      </c>
      <c r="K249" s="417"/>
      <c r="L249" s="338" t="e">
        <f>RANK($N249,$N$231:$N$249,0)+COUNTIF($N$231:$N249,$N249)-1</f>
        <v>#VALUE!</v>
      </c>
      <c r="M249" s="44" t="s">
        <v>98</v>
      </c>
      <c r="N249" s="617" t="str">
        <f>IF(Data!$LP$71="&lt;11",0,Data!$LP$71)</f>
        <v/>
      </c>
      <c r="O249" s="618" t="str">
        <f>Data!$UB$71</f>
        <v/>
      </c>
      <c r="P249" s="617" t="str">
        <f>IF(Data!$LP$72="&lt;11",0,Data!$LP$72)</f>
        <v/>
      </c>
      <c r="Q249" s="618" t="str">
        <f>Data!$UB$72</f>
        <v/>
      </c>
      <c r="R249" s="617">
        <f>IF(Data!$LP$62="&lt;11",0,Data!$LP$62)</f>
        <v>2409</v>
      </c>
      <c r="S249" s="618">
        <f>Data!$UB$62</f>
        <v>3.1E-2</v>
      </c>
    </row>
    <row r="252" spans="1:21" x14ac:dyDescent="0.35">
      <c r="A252"/>
      <c r="B252"/>
      <c r="C252"/>
      <c r="D252"/>
      <c r="E252"/>
      <c r="F252"/>
      <c r="G252"/>
      <c r="H252"/>
      <c r="I252"/>
      <c r="J252"/>
      <c r="K252"/>
      <c r="L252"/>
      <c r="M252"/>
      <c r="N252"/>
      <c r="O252"/>
      <c r="P252"/>
      <c r="Q252"/>
      <c r="R252"/>
      <c r="S252"/>
      <c r="T252"/>
      <c r="U252"/>
    </row>
    <row r="254" spans="1:21" x14ac:dyDescent="0.35">
      <c r="A254" s="619" t="s">
        <v>752</v>
      </c>
      <c r="B254" s="324"/>
      <c r="C254" s="324"/>
      <c r="D254" s="325"/>
      <c r="E254" s="325"/>
      <c r="F254" s="325"/>
      <c r="G254" s="325"/>
      <c r="H254" s="325"/>
      <c r="I254" s="325"/>
      <c r="J254" s="325"/>
      <c r="K254" s="325"/>
      <c r="L254" s="326"/>
      <c r="M254" s="327"/>
    </row>
    <row r="255" spans="1:21" x14ac:dyDescent="0.35">
      <c r="A255" s="620"/>
      <c r="B255" s="329" t="s">
        <v>101</v>
      </c>
      <c r="C255" s="330" t="str">
        <f>COUNTY_SELECT</f>
        <v>County Name</v>
      </c>
      <c r="D255" s="331"/>
      <c r="E255" s="330" t="str">
        <f>Data!$A$71</f>
        <v/>
      </c>
      <c r="F255" s="331"/>
      <c r="G255" s="330" t="s">
        <v>126</v>
      </c>
      <c r="H255" s="331"/>
      <c r="I255" s="633" t="s">
        <v>126</v>
      </c>
      <c r="J255"/>
      <c r="K255"/>
      <c r="L255" s="31"/>
      <c r="M255" s="323" t="s">
        <v>101</v>
      </c>
      <c r="N255" s="328" t="str">
        <f>COUNTY_SELECT</f>
        <v>County Name</v>
      </c>
      <c r="O255" s="251" t="s">
        <v>441</v>
      </c>
      <c r="P255" s="332" t="str">
        <f>Data!$A$72</f>
        <v/>
      </c>
      <c r="Q255" s="56" t="s">
        <v>441</v>
      </c>
      <c r="R255" s="333" t="s">
        <v>126</v>
      </c>
      <c r="S255" s="623" t="s">
        <v>441</v>
      </c>
    </row>
    <row r="256" spans="1:21" x14ac:dyDescent="0.35">
      <c r="A256" s="645"/>
      <c r="B256" s="628"/>
      <c r="C256" s="632" t="s">
        <v>760</v>
      </c>
      <c r="D256" s="416"/>
      <c r="E256" s="632" t="s">
        <v>754</v>
      </c>
      <c r="F256" s="416"/>
      <c r="G256" s="634" t="s">
        <v>760</v>
      </c>
      <c r="H256" s="413"/>
      <c r="I256" s="646" t="s">
        <v>754</v>
      </c>
      <c r="J256"/>
      <c r="K256"/>
      <c r="L256" s="31"/>
      <c r="M256" s="31"/>
      <c r="N256" s="411"/>
      <c r="O256" s="251"/>
      <c r="P256" s="9"/>
      <c r="Q256" s="56"/>
      <c r="R256" s="411"/>
      <c r="S256" s="623"/>
    </row>
    <row r="257" spans="1:19" x14ac:dyDescent="0.35">
      <c r="A257" s="328">
        <v>1</v>
      </c>
      <c r="B257" s="19" t="e">
        <f t="shared" ref="B257:B275" si="38">INDEX($M$257:$M$275,MATCH($A257,$L$257:$L$275,0))</f>
        <v>#N/A</v>
      </c>
      <c r="C257" s="621" t="e">
        <f t="shared" ref="C257:C275" si="39">IF(INDEX($N$257:$N$275,MATCH($A257,$L$257:$L$275,0))&lt;11,"&lt;11",INDEX($N$257:$N$275,MATCH($A257,$L$257:$L$275,0)))</f>
        <v>#N/A</v>
      </c>
      <c r="D257" s="357" t="e">
        <f t="shared" ref="D257:D275" si="40">IF($C257="&lt;11","&lt;11",INDEX($O$257:$O$275,MATCH($A257,$L$257:$L$275,0)))</f>
        <v>#N/A</v>
      </c>
      <c r="E257" s="334" t="e">
        <f t="shared" ref="E257:E275" si="41">IF(INDEX($K$3:$K$21,MATCH($A257,$L$257:$L$275,0))&lt;11,"&lt;11",INDEX($K$3:$K$21,MATCH($A257,$L$257:$L$275,0)))</f>
        <v>#N/A</v>
      </c>
      <c r="F257" s="357" t="e">
        <f t="shared" ref="F257:F275" si="42">IF(AND(LEFT($K$2,4)="Very",$E257="&lt;11"),"&lt;11",INDEX($L$3:$L$21,MATCH($B257,$J$3:$J$21,0)))</f>
        <v>#N/A</v>
      </c>
      <c r="G257" s="621" t="e">
        <f t="shared" ref="G257:G275" si="43">INDEX($R$257:$R$275,MATCH($B257,$M$257:$M$275,0))</f>
        <v>#N/A</v>
      </c>
      <c r="H257" s="618" t="e">
        <f t="shared" ref="H257:H275" si="44">INDEX($R$257:$R$275,MATCH($A257,$L$257:$L$275,0))/SUM($R$257:$R$275)</f>
        <v>#N/A</v>
      </c>
      <c r="I257" s="621" t="e">
        <f t="shared" ref="I257:I275" si="45">INDEX($O$3:$O$21,MATCH($B257,$J$3:$J$21,0))</f>
        <v>#N/A</v>
      </c>
      <c r="J257" s="647" t="e">
        <f t="shared" ref="J257:J275" si="46">INDEX($P$3:$P$21,MATCH($B257,$J$3:$J$21,0))</f>
        <v>#N/A</v>
      </c>
      <c r="K257"/>
      <c r="L257" s="338" t="e">
        <f>RANK($N257,$N$257:$N$275,0)+COUNTIF($N$257:$N257,$N257)-1</f>
        <v>#VALUE!</v>
      </c>
      <c r="M257" s="44" t="s">
        <v>82</v>
      </c>
      <c r="N257" s="622" t="str">
        <f>IF(Data!$LQ$71="&lt;11",0,Data!$LQ$71)</f>
        <v/>
      </c>
      <c r="O257" s="618" t="str">
        <f>Data!$UC$71</f>
        <v/>
      </c>
      <c r="P257" s="622" t="str">
        <f>IF(Data!$LQ$72="&lt;11",0,Data!$LQ$72)</f>
        <v/>
      </c>
      <c r="Q257" s="618" t="str">
        <f>Data!$UC$72</f>
        <v/>
      </c>
      <c r="R257" s="622">
        <f>IF(Data!$LQ$62="&lt;11",0,Data!$LQ$62)</f>
        <v>131639</v>
      </c>
      <c r="S257" s="618" t="str">
        <f>Data!$UC$72</f>
        <v/>
      </c>
    </row>
    <row r="258" spans="1:19" x14ac:dyDescent="0.35">
      <c r="A258" s="328">
        <v>2</v>
      </c>
      <c r="B258" s="19" t="e">
        <f t="shared" si="38"/>
        <v>#N/A</v>
      </c>
      <c r="C258" s="621" t="e">
        <f t="shared" si="39"/>
        <v>#N/A</v>
      </c>
      <c r="D258" s="357" t="e">
        <f t="shared" si="40"/>
        <v>#N/A</v>
      </c>
      <c r="E258" s="621" t="e">
        <f t="shared" si="41"/>
        <v>#N/A</v>
      </c>
      <c r="F258" s="357" t="e">
        <f t="shared" si="42"/>
        <v>#N/A</v>
      </c>
      <c r="G258" s="621" t="e">
        <f t="shared" si="43"/>
        <v>#N/A</v>
      </c>
      <c r="H258" s="618" t="e">
        <f t="shared" si="44"/>
        <v>#N/A</v>
      </c>
      <c r="I258" s="646" t="e">
        <f t="shared" si="45"/>
        <v>#N/A</v>
      </c>
      <c r="J258" s="648" t="e">
        <f t="shared" si="46"/>
        <v>#N/A</v>
      </c>
      <c r="K258"/>
      <c r="L258" s="338" t="e">
        <f>RANK($N258,$N$257:$N$275,0)+COUNTIF($N$257:$N258,$N258)-1</f>
        <v>#VALUE!</v>
      </c>
      <c r="M258" s="44" t="s">
        <v>83</v>
      </c>
      <c r="N258" s="622" t="str">
        <f>IF(Data!$LR$71="&lt;11",0,Data!$LR$71)</f>
        <v/>
      </c>
      <c r="O258" s="618" t="str">
        <f>Data!$UD$71</f>
        <v/>
      </c>
      <c r="P258" s="622" t="str">
        <f>IF(Data!$LR$72="&lt;11",0,Data!$LR$72)</f>
        <v/>
      </c>
      <c r="Q258" s="618" t="str">
        <f>Data!$UD$72</f>
        <v/>
      </c>
      <c r="R258" s="622">
        <f>IF(Data!$LR$62="&lt;11",0,Data!$LR$62)</f>
        <v>145073</v>
      </c>
      <c r="S258" s="618" t="str">
        <f>Data!$UD$72</f>
        <v/>
      </c>
    </row>
    <row r="259" spans="1:19" x14ac:dyDescent="0.35">
      <c r="A259" s="328">
        <v>3</v>
      </c>
      <c r="B259" s="19" t="e">
        <f t="shared" si="38"/>
        <v>#N/A</v>
      </c>
      <c r="C259" s="621" t="e">
        <f t="shared" si="39"/>
        <v>#N/A</v>
      </c>
      <c r="D259" s="357" t="e">
        <f t="shared" si="40"/>
        <v>#N/A</v>
      </c>
      <c r="E259" s="621" t="e">
        <f t="shared" si="41"/>
        <v>#N/A</v>
      </c>
      <c r="F259" s="357" t="e">
        <f t="shared" si="42"/>
        <v>#N/A</v>
      </c>
      <c r="G259" s="621" t="e">
        <f t="shared" si="43"/>
        <v>#N/A</v>
      </c>
      <c r="H259" s="618" t="e">
        <f t="shared" si="44"/>
        <v>#N/A</v>
      </c>
      <c r="I259" s="646" t="e">
        <f t="shared" si="45"/>
        <v>#N/A</v>
      </c>
      <c r="J259" s="648" t="e">
        <f t="shared" si="46"/>
        <v>#N/A</v>
      </c>
      <c r="K259"/>
      <c r="L259" s="338" t="e">
        <f>RANK($N259,$N$257:$N$275,0)+COUNTIF($N$257:$N259,$N259)-1</f>
        <v>#VALUE!</v>
      </c>
      <c r="M259" s="44" t="s">
        <v>129</v>
      </c>
      <c r="N259" s="622" t="str">
        <f>IF(Data!$LS$71="&lt;11",0,Data!$LS$71)</f>
        <v/>
      </c>
      <c r="O259" s="618" t="str">
        <f>Data!$UE$71</f>
        <v/>
      </c>
      <c r="P259" s="622" t="str">
        <f>IF(Data!$LS$72="&lt;11",0,Data!$LS$72)</f>
        <v/>
      </c>
      <c r="Q259" s="618" t="str">
        <f>Data!$UE$72</f>
        <v/>
      </c>
      <c r="R259" s="622">
        <f>IF(Data!$LS$62="&lt;11",0,Data!$LS$62)</f>
        <v>64562</v>
      </c>
      <c r="S259" s="618" t="str">
        <f>Data!$UE$72</f>
        <v/>
      </c>
    </row>
    <row r="260" spans="1:19" x14ac:dyDescent="0.35">
      <c r="A260" s="328">
        <v>4</v>
      </c>
      <c r="B260" s="19" t="e">
        <f t="shared" si="38"/>
        <v>#N/A</v>
      </c>
      <c r="C260" s="621" t="e">
        <f t="shared" si="39"/>
        <v>#N/A</v>
      </c>
      <c r="D260" s="357" t="e">
        <f t="shared" si="40"/>
        <v>#N/A</v>
      </c>
      <c r="E260" s="621" t="e">
        <f t="shared" si="41"/>
        <v>#N/A</v>
      </c>
      <c r="F260" s="357" t="e">
        <f t="shared" si="42"/>
        <v>#N/A</v>
      </c>
      <c r="G260" s="621" t="e">
        <f t="shared" si="43"/>
        <v>#N/A</v>
      </c>
      <c r="H260" s="618" t="e">
        <f t="shared" si="44"/>
        <v>#N/A</v>
      </c>
      <c r="I260" s="646" t="e">
        <f t="shared" si="45"/>
        <v>#N/A</v>
      </c>
      <c r="J260" s="648" t="e">
        <f t="shared" si="46"/>
        <v>#N/A</v>
      </c>
      <c r="K260"/>
      <c r="L260" s="338" t="e">
        <f>RANK($N260,$N$257:$N$275,0)+COUNTIF($N$257:$N260,$N260)-1</f>
        <v>#VALUE!</v>
      </c>
      <c r="M260" s="44" t="s">
        <v>84</v>
      </c>
      <c r="N260" s="622" t="str">
        <f>IF(Data!$LT$71="&lt;11",0,Data!$LT$71)</f>
        <v/>
      </c>
      <c r="O260" s="618" t="str">
        <f>Data!$UF$71</f>
        <v/>
      </c>
      <c r="P260" s="622" t="str">
        <f>IF(Data!$LT$72="&lt;11",0,Data!$LT$72)</f>
        <v/>
      </c>
      <c r="Q260" s="618" t="str">
        <f>Data!$UF$72</f>
        <v/>
      </c>
      <c r="R260" s="622">
        <f>IF(Data!$LT$62="&lt;11",0,Data!$LT$62)</f>
        <v>10720</v>
      </c>
      <c r="S260" s="618" t="str">
        <f>Data!$UF$72</f>
        <v/>
      </c>
    </row>
    <row r="261" spans="1:19" x14ac:dyDescent="0.35">
      <c r="A261" s="328">
        <v>5</v>
      </c>
      <c r="B261" s="19" t="e">
        <f t="shared" si="38"/>
        <v>#N/A</v>
      </c>
      <c r="C261" s="621" t="e">
        <f t="shared" si="39"/>
        <v>#N/A</v>
      </c>
      <c r="D261" s="357" t="e">
        <f t="shared" si="40"/>
        <v>#N/A</v>
      </c>
      <c r="E261" s="621" t="e">
        <f t="shared" si="41"/>
        <v>#N/A</v>
      </c>
      <c r="F261" s="357" t="e">
        <f t="shared" si="42"/>
        <v>#N/A</v>
      </c>
      <c r="G261" s="621" t="e">
        <f t="shared" si="43"/>
        <v>#N/A</v>
      </c>
      <c r="H261" s="618" t="e">
        <f t="shared" si="44"/>
        <v>#N/A</v>
      </c>
      <c r="I261" s="646" t="e">
        <f t="shared" si="45"/>
        <v>#N/A</v>
      </c>
      <c r="J261" s="648" t="e">
        <f t="shared" si="46"/>
        <v>#N/A</v>
      </c>
      <c r="K261"/>
      <c r="L261" s="338" t="e">
        <f>RANK($N261,$N$257:$N$275,0)+COUNTIF($N$257:$N261,$N261)-1</f>
        <v>#VALUE!</v>
      </c>
      <c r="M261" s="44" t="s">
        <v>85</v>
      </c>
      <c r="N261" s="622" t="str">
        <f>IF(Data!$LU$71="&lt;11",0,Data!$LU$71)</f>
        <v/>
      </c>
      <c r="O261" s="618" t="str">
        <f>Data!$UG$71</f>
        <v/>
      </c>
      <c r="P261" s="622" t="str">
        <f>IF(Data!$LU$72="&lt;11",0,Data!$LU$72)</f>
        <v/>
      </c>
      <c r="Q261" s="618" t="str">
        <f>Data!$UG$72</f>
        <v/>
      </c>
      <c r="R261" s="622">
        <f>IF(Data!$LU$62="&lt;11",0,Data!$LU$62)</f>
        <v>2363</v>
      </c>
      <c r="S261" s="618" t="str">
        <f>Data!$UG$72</f>
        <v/>
      </c>
    </row>
    <row r="262" spans="1:19" x14ac:dyDescent="0.35">
      <c r="A262" s="328">
        <v>6</v>
      </c>
      <c r="B262" s="19" t="e">
        <f t="shared" si="38"/>
        <v>#N/A</v>
      </c>
      <c r="C262" s="621" t="e">
        <f t="shared" si="39"/>
        <v>#N/A</v>
      </c>
      <c r="D262" s="357" t="e">
        <f t="shared" si="40"/>
        <v>#N/A</v>
      </c>
      <c r="E262" s="621" t="e">
        <f t="shared" si="41"/>
        <v>#N/A</v>
      </c>
      <c r="F262" s="357" t="e">
        <f t="shared" si="42"/>
        <v>#N/A</v>
      </c>
      <c r="G262" s="621" t="e">
        <f t="shared" si="43"/>
        <v>#N/A</v>
      </c>
      <c r="H262" s="618" t="e">
        <f t="shared" si="44"/>
        <v>#N/A</v>
      </c>
      <c r="I262" s="646" t="e">
        <f t="shared" si="45"/>
        <v>#N/A</v>
      </c>
      <c r="J262" s="648" t="e">
        <f t="shared" si="46"/>
        <v>#N/A</v>
      </c>
      <c r="K262"/>
      <c r="L262" s="338" t="e">
        <f>RANK($N262,$N$257:$N$275,0)+COUNTIF($N$257:$N262,$N262)-1</f>
        <v>#VALUE!</v>
      </c>
      <c r="M262" s="44" t="s">
        <v>86</v>
      </c>
      <c r="N262" s="622" t="str">
        <f>IF(Data!$LV$71="&lt;11",0,Data!$LV$71)</f>
        <v/>
      </c>
      <c r="O262" s="618" t="str">
        <f>Data!$UH$71</f>
        <v/>
      </c>
      <c r="P262" s="622" t="str">
        <f>IF(Data!$LV$72="&lt;11",0,Data!$LV$72)</f>
        <v/>
      </c>
      <c r="Q262" s="618" t="str">
        <f>Data!$UH$72</f>
        <v/>
      </c>
      <c r="R262" s="622">
        <f>IF(Data!$LV$62="&lt;11",0,Data!$LV$62)</f>
        <v>13746</v>
      </c>
      <c r="S262" s="618" t="str">
        <f>Data!$UH$72</f>
        <v/>
      </c>
    </row>
    <row r="263" spans="1:19" x14ac:dyDescent="0.35">
      <c r="A263" s="328">
        <v>7</v>
      </c>
      <c r="B263" s="19" t="e">
        <f t="shared" si="38"/>
        <v>#N/A</v>
      </c>
      <c r="C263" s="621" t="e">
        <f t="shared" si="39"/>
        <v>#N/A</v>
      </c>
      <c r="D263" s="357" t="e">
        <f t="shared" si="40"/>
        <v>#N/A</v>
      </c>
      <c r="E263" s="621" t="e">
        <f t="shared" si="41"/>
        <v>#N/A</v>
      </c>
      <c r="F263" s="357" t="e">
        <f t="shared" si="42"/>
        <v>#N/A</v>
      </c>
      <c r="G263" s="621" t="e">
        <f t="shared" si="43"/>
        <v>#N/A</v>
      </c>
      <c r="H263" s="618" t="e">
        <f t="shared" si="44"/>
        <v>#N/A</v>
      </c>
      <c r="I263" s="646" t="e">
        <f t="shared" si="45"/>
        <v>#N/A</v>
      </c>
      <c r="J263" s="648" t="e">
        <f t="shared" si="46"/>
        <v>#N/A</v>
      </c>
      <c r="K263"/>
      <c r="L263" s="338" t="e">
        <f>RANK($N263,$N$257:$N$275,0)+COUNTIF($N$257:$N263,$N263)-1</f>
        <v>#VALUE!</v>
      </c>
      <c r="M263" s="44" t="s">
        <v>381</v>
      </c>
      <c r="N263" s="622" t="str">
        <f>IF(Data!$LW$71="&lt;11",0,Data!$LW$71)</f>
        <v/>
      </c>
      <c r="O263" s="618" t="str">
        <f>Data!$UI$71</f>
        <v/>
      </c>
      <c r="P263" s="622" t="str">
        <f>IF(Data!$LW$72="&lt;11",0,Data!$LW$72)</f>
        <v/>
      </c>
      <c r="Q263" s="618" t="str">
        <f>Data!$UI$72</f>
        <v/>
      </c>
      <c r="R263" s="622">
        <f>IF(Data!$LW$62="&lt;11",0,Data!$LW$62)</f>
        <v>7267</v>
      </c>
      <c r="S263" s="618" t="str">
        <f>Data!$UI$72</f>
        <v/>
      </c>
    </row>
    <row r="264" spans="1:19" x14ac:dyDescent="0.35">
      <c r="A264" s="328">
        <v>8</v>
      </c>
      <c r="B264" s="19" t="e">
        <f t="shared" si="38"/>
        <v>#N/A</v>
      </c>
      <c r="C264" s="621" t="e">
        <f t="shared" si="39"/>
        <v>#N/A</v>
      </c>
      <c r="D264" s="357" t="e">
        <f t="shared" si="40"/>
        <v>#N/A</v>
      </c>
      <c r="E264" s="621" t="e">
        <f t="shared" si="41"/>
        <v>#N/A</v>
      </c>
      <c r="F264" s="357" t="e">
        <f t="shared" si="42"/>
        <v>#N/A</v>
      </c>
      <c r="G264" s="621" t="e">
        <f t="shared" si="43"/>
        <v>#N/A</v>
      </c>
      <c r="H264" s="618" t="e">
        <f t="shared" si="44"/>
        <v>#N/A</v>
      </c>
      <c r="I264" s="646" t="e">
        <f t="shared" si="45"/>
        <v>#N/A</v>
      </c>
      <c r="J264" s="648" t="e">
        <f t="shared" si="46"/>
        <v>#N/A</v>
      </c>
      <c r="K264"/>
      <c r="L264" s="338" t="e">
        <f>RANK($N264,$N$257:$N$275,0)+COUNTIF($N$257:$N264,$N264)-1</f>
        <v>#VALUE!</v>
      </c>
      <c r="M264" s="44" t="s">
        <v>88</v>
      </c>
      <c r="N264" s="622" t="str">
        <f>IF(Data!$LX$71="&lt;11",0,Data!$LX$71)</f>
        <v/>
      </c>
      <c r="O264" s="618" t="str">
        <f>Data!$UJ$71</f>
        <v/>
      </c>
      <c r="P264" s="622" t="str">
        <f>IF(Data!$LX$72="&lt;11",0,Data!$LX$72)</f>
        <v/>
      </c>
      <c r="Q264" s="618" t="str">
        <f>Data!$UJ$72</f>
        <v/>
      </c>
      <c r="R264" s="622">
        <f>IF(Data!$LX$62="&lt;11",0,Data!$LX$62)</f>
        <v>256</v>
      </c>
      <c r="S264" s="618" t="str">
        <f>Data!$UJ$72</f>
        <v/>
      </c>
    </row>
    <row r="265" spans="1:19" x14ac:dyDescent="0.35">
      <c r="A265" s="328">
        <v>9</v>
      </c>
      <c r="B265" s="19" t="e">
        <f t="shared" si="38"/>
        <v>#N/A</v>
      </c>
      <c r="C265" s="621" t="e">
        <f t="shared" si="39"/>
        <v>#N/A</v>
      </c>
      <c r="D265" s="357" t="e">
        <f t="shared" si="40"/>
        <v>#N/A</v>
      </c>
      <c r="E265" s="621" t="e">
        <f t="shared" si="41"/>
        <v>#N/A</v>
      </c>
      <c r="F265" s="357" t="e">
        <f t="shared" si="42"/>
        <v>#N/A</v>
      </c>
      <c r="G265" s="621" t="e">
        <f t="shared" si="43"/>
        <v>#N/A</v>
      </c>
      <c r="H265" s="618" t="e">
        <f t="shared" si="44"/>
        <v>#N/A</v>
      </c>
      <c r="I265" s="646" t="e">
        <f t="shared" si="45"/>
        <v>#N/A</v>
      </c>
      <c r="J265" s="648" t="e">
        <f t="shared" si="46"/>
        <v>#N/A</v>
      </c>
      <c r="K265"/>
      <c r="L265" s="338" t="e">
        <f>RANK($N265,$N$257:$N$275,0)+COUNTIF($N$257:$N265,$N265)-1</f>
        <v>#VALUE!</v>
      </c>
      <c r="M265" s="44" t="s">
        <v>89</v>
      </c>
      <c r="N265" s="622" t="str">
        <f>IF(Data!$LY$71="&lt;11",0,Data!$LY$71)</f>
        <v/>
      </c>
      <c r="O265" s="618" t="str">
        <f>Data!$UK$71</f>
        <v/>
      </c>
      <c r="P265" s="622" t="str">
        <f>IF(Data!$LY$72="&lt;11",0,Data!$LY$72)</f>
        <v/>
      </c>
      <c r="Q265" s="618" t="str">
        <f>Data!$UK$72</f>
        <v/>
      </c>
      <c r="R265" s="622">
        <f>IF(Data!$LY$62="&lt;11",0,Data!$LY$62)</f>
        <v>32465</v>
      </c>
      <c r="S265" s="618" t="str">
        <f>Data!$UK$72</f>
        <v/>
      </c>
    </row>
    <row r="266" spans="1:19" x14ac:dyDescent="0.35">
      <c r="A266" s="328">
        <v>10</v>
      </c>
      <c r="B266" s="19" t="e">
        <f t="shared" si="38"/>
        <v>#N/A</v>
      </c>
      <c r="C266" s="621" t="e">
        <f t="shared" si="39"/>
        <v>#N/A</v>
      </c>
      <c r="D266" s="357" t="e">
        <f t="shared" si="40"/>
        <v>#N/A</v>
      </c>
      <c r="E266" s="621" t="e">
        <f t="shared" si="41"/>
        <v>#N/A</v>
      </c>
      <c r="F266" s="357" t="e">
        <f t="shared" si="42"/>
        <v>#N/A</v>
      </c>
      <c r="G266" s="621" t="e">
        <f t="shared" si="43"/>
        <v>#N/A</v>
      </c>
      <c r="H266" s="618" t="e">
        <f t="shared" si="44"/>
        <v>#N/A</v>
      </c>
      <c r="I266" s="646" t="e">
        <f t="shared" si="45"/>
        <v>#N/A</v>
      </c>
      <c r="J266" s="648" t="e">
        <f t="shared" si="46"/>
        <v>#N/A</v>
      </c>
      <c r="K266"/>
      <c r="L266" s="338" t="e">
        <f>RANK($N266,$N$257:$N$275,0)+COUNTIF($N$257:$N266,$N266)-1</f>
        <v>#VALUE!</v>
      </c>
      <c r="M266" s="44" t="s">
        <v>90</v>
      </c>
      <c r="N266" s="622" t="str">
        <f>IF(Data!$LZ$71="&lt;11",0,Data!$LZ$71)</f>
        <v/>
      </c>
      <c r="O266" s="618" t="str">
        <f>Data!$UL$71</f>
        <v/>
      </c>
      <c r="P266" s="622" t="str">
        <f>IF(Data!$LZ$72="&lt;11",0,Data!$LZ$72)</f>
        <v/>
      </c>
      <c r="Q266" s="618" t="str">
        <f>Data!$UL$72</f>
        <v/>
      </c>
      <c r="R266" s="622">
        <f>IF(Data!$LZ$62="&lt;11",0,Data!$LZ$62)</f>
        <v>4449</v>
      </c>
      <c r="S266" s="618" t="str">
        <f>Data!$UL$72</f>
        <v/>
      </c>
    </row>
    <row r="267" spans="1:19" x14ac:dyDescent="0.35">
      <c r="A267" s="328">
        <v>11</v>
      </c>
      <c r="B267" s="19" t="e">
        <f t="shared" si="38"/>
        <v>#N/A</v>
      </c>
      <c r="C267" s="621" t="e">
        <f t="shared" si="39"/>
        <v>#N/A</v>
      </c>
      <c r="D267" s="357" t="e">
        <f t="shared" si="40"/>
        <v>#N/A</v>
      </c>
      <c r="E267" s="621" t="e">
        <f t="shared" si="41"/>
        <v>#N/A</v>
      </c>
      <c r="F267" s="357" t="e">
        <f t="shared" si="42"/>
        <v>#N/A</v>
      </c>
      <c r="G267" s="621" t="e">
        <f t="shared" si="43"/>
        <v>#N/A</v>
      </c>
      <c r="H267" s="618" t="e">
        <f t="shared" si="44"/>
        <v>#N/A</v>
      </c>
      <c r="I267" s="646" t="e">
        <f t="shared" si="45"/>
        <v>#N/A</v>
      </c>
      <c r="J267" s="648" t="e">
        <f t="shared" si="46"/>
        <v>#N/A</v>
      </c>
      <c r="K267"/>
      <c r="L267" s="338" t="e">
        <f>RANK($N267,$N$257:$N$275,0)+COUNTIF($N$257:$N267,$N267)-1</f>
        <v>#VALUE!</v>
      </c>
      <c r="M267" s="44" t="s">
        <v>91</v>
      </c>
      <c r="N267" s="622" t="str">
        <f>IF(Data!$MA$71="&lt;11",0,Data!$MA$71)</f>
        <v/>
      </c>
      <c r="O267" s="618" t="str">
        <f>Data!$UM$71</f>
        <v/>
      </c>
      <c r="P267" s="622" t="str">
        <f>IF(Data!$MA$72="&lt;11",0,Data!$MA$72)</f>
        <v/>
      </c>
      <c r="Q267" s="618" t="str">
        <f>Data!$UM$72</f>
        <v/>
      </c>
      <c r="R267" s="622">
        <f>IF(Data!$MA$62="&lt;11",0,Data!$MA$62)</f>
        <v>586</v>
      </c>
      <c r="S267" s="618" t="str">
        <f>Data!$UM$72</f>
        <v/>
      </c>
    </row>
    <row r="268" spans="1:19" x14ac:dyDescent="0.35">
      <c r="A268" s="328">
        <v>12</v>
      </c>
      <c r="B268" s="19" t="e">
        <f t="shared" si="38"/>
        <v>#N/A</v>
      </c>
      <c r="C268" s="621" t="e">
        <f t="shared" si="39"/>
        <v>#N/A</v>
      </c>
      <c r="D268" s="357" t="e">
        <f t="shared" si="40"/>
        <v>#N/A</v>
      </c>
      <c r="E268" s="621" t="e">
        <f t="shared" si="41"/>
        <v>#N/A</v>
      </c>
      <c r="F268" s="357" t="e">
        <f t="shared" si="42"/>
        <v>#N/A</v>
      </c>
      <c r="G268" s="621" t="e">
        <f t="shared" si="43"/>
        <v>#N/A</v>
      </c>
      <c r="H268" s="618" t="e">
        <f t="shared" si="44"/>
        <v>#N/A</v>
      </c>
      <c r="I268" s="646" t="e">
        <f t="shared" si="45"/>
        <v>#N/A</v>
      </c>
      <c r="J268" s="648" t="e">
        <f t="shared" si="46"/>
        <v>#N/A</v>
      </c>
      <c r="K268"/>
      <c r="L268" s="338" t="e">
        <f>RANK($N268,$N$257:$N$275,0)+COUNTIF($N$257:$N268,$N268)-1</f>
        <v>#VALUE!</v>
      </c>
      <c r="M268" s="44" t="s">
        <v>92</v>
      </c>
      <c r="N268" s="622" t="str">
        <f>IF(Data!$MB$71="&lt;11",0,Data!$MB$71)</f>
        <v/>
      </c>
      <c r="O268" s="618" t="str">
        <f>Data!$UN$71</f>
        <v/>
      </c>
      <c r="P268" s="622" t="str">
        <f>IF(Data!$MB$72="&lt;11",0,Data!$MB$72)</f>
        <v/>
      </c>
      <c r="Q268" s="618" t="str">
        <f>Data!$UN$72</f>
        <v/>
      </c>
      <c r="R268" s="622">
        <f>IF(Data!$MB$62="&lt;11",0,Data!$MB$62)</f>
        <v>11153</v>
      </c>
      <c r="S268" s="618" t="str">
        <f>Data!$UN$72</f>
        <v/>
      </c>
    </row>
    <row r="269" spans="1:19" x14ac:dyDescent="0.35">
      <c r="A269" s="328">
        <v>13</v>
      </c>
      <c r="B269" s="19" t="e">
        <f t="shared" si="38"/>
        <v>#N/A</v>
      </c>
      <c r="C269" s="621" t="e">
        <f t="shared" si="39"/>
        <v>#N/A</v>
      </c>
      <c r="D269" s="357" t="e">
        <f t="shared" si="40"/>
        <v>#N/A</v>
      </c>
      <c r="E269" s="621" t="e">
        <f t="shared" si="41"/>
        <v>#N/A</v>
      </c>
      <c r="F269" s="357" t="e">
        <f t="shared" si="42"/>
        <v>#N/A</v>
      </c>
      <c r="G269" s="621" t="e">
        <f t="shared" si="43"/>
        <v>#N/A</v>
      </c>
      <c r="H269" s="618" t="e">
        <f t="shared" si="44"/>
        <v>#N/A</v>
      </c>
      <c r="I269" s="646" t="e">
        <f t="shared" si="45"/>
        <v>#N/A</v>
      </c>
      <c r="J269" s="648" t="e">
        <f t="shared" si="46"/>
        <v>#N/A</v>
      </c>
      <c r="K269"/>
      <c r="L269" s="338" t="e">
        <f>RANK($N269,$N$257:$N$275,0)+COUNTIF($N$257:$N269,$N269)-1</f>
        <v>#VALUE!</v>
      </c>
      <c r="M269" s="44" t="s">
        <v>93</v>
      </c>
      <c r="N269" s="622" t="str">
        <f>IF(Data!$MC$71="&lt;11",0,Data!$MC$71)</f>
        <v/>
      </c>
      <c r="O269" s="618" t="str">
        <f>Data!$UO$71</f>
        <v/>
      </c>
      <c r="P269" s="622" t="str">
        <f>IF(Data!$MC$72="&lt;11",0,Data!$MC$72)</f>
        <v/>
      </c>
      <c r="Q269" s="618" t="str">
        <f>Data!$UO$72</f>
        <v/>
      </c>
      <c r="R269" s="622">
        <f>IF(Data!$MC$62="&lt;11",0,Data!$MC$62)</f>
        <v>408</v>
      </c>
      <c r="S269" s="618" t="str">
        <f>Data!$UO$72</f>
        <v/>
      </c>
    </row>
    <row r="270" spans="1:19" x14ac:dyDescent="0.35">
      <c r="A270" s="328">
        <v>14</v>
      </c>
      <c r="B270" s="19" t="e">
        <f t="shared" si="38"/>
        <v>#N/A</v>
      </c>
      <c r="C270" s="621" t="e">
        <f t="shared" si="39"/>
        <v>#N/A</v>
      </c>
      <c r="D270" s="357" t="e">
        <f t="shared" si="40"/>
        <v>#N/A</v>
      </c>
      <c r="E270" s="621" t="e">
        <f t="shared" si="41"/>
        <v>#N/A</v>
      </c>
      <c r="F270" s="357" t="e">
        <f t="shared" si="42"/>
        <v>#N/A</v>
      </c>
      <c r="G270" s="621" t="e">
        <f t="shared" si="43"/>
        <v>#N/A</v>
      </c>
      <c r="H270" s="618" t="e">
        <f t="shared" si="44"/>
        <v>#N/A</v>
      </c>
      <c r="I270" s="646" t="e">
        <f t="shared" si="45"/>
        <v>#N/A</v>
      </c>
      <c r="J270" s="648" t="e">
        <f t="shared" si="46"/>
        <v>#N/A</v>
      </c>
      <c r="K270"/>
      <c r="L270" s="338" t="e">
        <f>RANK($N270,$N$257:$N$275,0)+COUNTIF($N$257:$N270,$N270)-1</f>
        <v>#VALUE!</v>
      </c>
      <c r="M270" s="44" t="s">
        <v>94</v>
      </c>
      <c r="N270" s="622" t="str">
        <f>IF(Data!$MD$71="&lt;11",0,Data!$MD$71)</f>
        <v/>
      </c>
      <c r="O270" s="618" t="str">
        <f>Data!$UP$71</f>
        <v/>
      </c>
      <c r="P270" s="622" t="str">
        <f>IF(Data!$MD$72="&lt;11",0,Data!$MD$72)</f>
        <v/>
      </c>
      <c r="Q270" s="618" t="str">
        <f>Data!$UP$72</f>
        <v/>
      </c>
      <c r="R270" s="622">
        <f>IF(Data!$MD$62="&lt;11",0,Data!$MD$62)</f>
        <v>6337</v>
      </c>
      <c r="S270" s="618" t="str">
        <f>Data!$UP$72</f>
        <v/>
      </c>
    </row>
    <row r="271" spans="1:19" x14ac:dyDescent="0.35">
      <c r="A271" s="328">
        <v>15</v>
      </c>
      <c r="B271" s="19" t="e">
        <f t="shared" si="38"/>
        <v>#N/A</v>
      </c>
      <c r="C271" s="621" t="e">
        <f t="shared" si="39"/>
        <v>#N/A</v>
      </c>
      <c r="D271" s="357" t="e">
        <f t="shared" si="40"/>
        <v>#N/A</v>
      </c>
      <c r="E271" s="621" t="e">
        <f t="shared" si="41"/>
        <v>#N/A</v>
      </c>
      <c r="F271" s="357" t="e">
        <f t="shared" si="42"/>
        <v>#N/A</v>
      </c>
      <c r="G271" s="621" t="e">
        <f t="shared" si="43"/>
        <v>#N/A</v>
      </c>
      <c r="H271" s="618" t="e">
        <f t="shared" si="44"/>
        <v>#N/A</v>
      </c>
      <c r="I271" s="646" t="e">
        <f t="shared" si="45"/>
        <v>#N/A</v>
      </c>
      <c r="J271" s="648" t="e">
        <f t="shared" si="46"/>
        <v>#N/A</v>
      </c>
      <c r="K271"/>
      <c r="L271" s="338" t="e">
        <f>RANK($N271,$N$257:$N$275,0)+COUNTIF($N$257:$N271,$N271)-1</f>
        <v>#VALUE!</v>
      </c>
      <c r="M271" s="44" t="s">
        <v>95</v>
      </c>
      <c r="N271" s="622" t="str">
        <f>IF(Data!$ME$71="&lt;11",0,Data!$ME$71)</f>
        <v/>
      </c>
      <c r="O271" s="618" t="str">
        <f>Data!$UQ$71</f>
        <v/>
      </c>
      <c r="P271" s="622" t="str">
        <f>IF(Data!$ME$72="&lt;11",0,Data!$ME$72)</f>
        <v/>
      </c>
      <c r="Q271" s="618" t="str">
        <f>Data!$UQ$72</f>
        <v/>
      </c>
      <c r="R271" s="622">
        <f>IF(Data!$ME$62="&lt;11",0,Data!$ME$62)</f>
        <v>143</v>
      </c>
      <c r="S271" s="618" t="str">
        <f>Data!$UQ$72</f>
        <v/>
      </c>
    </row>
    <row r="272" spans="1:19" x14ac:dyDescent="0.35">
      <c r="A272" s="328">
        <v>16</v>
      </c>
      <c r="B272" s="19" t="e">
        <f t="shared" si="38"/>
        <v>#N/A</v>
      </c>
      <c r="C272" s="621" t="e">
        <f t="shared" si="39"/>
        <v>#N/A</v>
      </c>
      <c r="D272" s="357" t="e">
        <f t="shared" si="40"/>
        <v>#N/A</v>
      </c>
      <c r="E272" s="621" t="e">
        <f t="shared" si="41"/>
        <v>#N/A</v>
      </c>
      <c r="F272" s="357" t="e">
        <f t="shared" si="42"/>
        <v>#N/A</v>
      </c>
      <c r="G272" s="621" t="e">
        <f t="shared" si="43"/>
        <v>#N/A</v>
      </c>
      <c r="H272" s="618" t="e">
        <f t="shared" si="44"/>
        <v>#N/A</v>
      </c>
      <c r="I272" s="646" t="e">
        <f t="shared" si="45"/>
        <v>#N/A</v>
      </c>
      <c r="J272" s="648" t="e">
        <f t="shared" si="46"/>
        <v>#N/A</v>
      </c>
      <c r="K272"/>
      <c r="L272" s="338" t="e">
        <f>RANK($N272,$N$257:$N$275,0)+COUNTIF($N$257:$N272,$N272)-1</f>
        <v>#VALUE!</v>
      </c>
      <c r="M272" s="44" t="s">
        <v>301</v>
      </c>
      <c r="N272" s="622" t="str">
        <f>IF(Data!$MF$71="&lt;11",0,Data!$MF$71)</f>
        <v/>
      </c>
      <c r="O272" s="618" t="str">
        <f>Data!$UR$71</f>
        <v/>
      </c>
      <c r="P272" s="622" t="str">
        <f>IF(Data!$MF$72="&lt;11",0,Data!$MF$72)</f>
        <v/>
      </c>
      <c r="Q272" s="618" t="str">
        <f>Data!$UR$72</f>
        <v/>
      </c>
      <c r="R272" s="622">
        <f>IF(Data!$MF$62="&lt;11",0,Data!$MF$62)</f>
        <v>75</v>
      </c>
      <c r="S272" s="618" t="str">
        <f>Data!$UR$72</f>
        <v/>
      </c>
    </row>
    <row r="273" spans="1:21" x14ac:dyDescent="0.35">
      <c r="A273" s="328">
        <v>17</v>
      </c>
      <c r="B273" s="19" t="e">
        <f t="shared" si="38"/>
        <v>#N/A</v>
      </c>
      <c r="C273" s="621" t="e">
        <f t="shared" si="39"/>
        <v>#N/A</v>
      </c>
      <c r="D273" s="357" t="e">
        <f t="shared" si="40"/>
        <v>#N/A</v>
      </c>
      <c r="E273" s="621" t="e">
        <f t="shared" si="41"/>
        <v>#N/A</v>
      </c>
      <c r="F273" s="357" t="e">
        <f t="shared" si="42"/>
        <v>#N/A</v>
      </c>
      <c r="G273" s="621" t="e">
        <f t="shared" si="43"/>
        <v>#N/A</v>
      </c>
      <c r="H273" s="618" t="e">
        <f t="shared" si="44"/>
        <v>#N/A</v>
      </c>
      <c r="I273" s="646" t="e">
        <f t="shared" si="45"/>
        <v>#N/A</v>
      </c>
      <c r="J273" s="648" t="e">
        <f t="shared" si="46"/>
        <v>#N/A</v>
      </c>
      <c r="K273"/>
      <c r="L273" s="338" t="e">
        <f>RANK($N273,$N$257:$N$275,0)+COUNTIF($N$257:$N273,$N273)-1</f>
        <v>#VALUE!</v>
      </c>
      <c r="M273" s="44" t="s">
        <v>96</v>
      </c>
      <c r="N273" s="622" t="str">
        <f>IF(Data!$MG$71="&lt;11",0,Data!$MG$71)</f>
        <v/>
      </c>
      <c r="O273" s="618" t="str">
        <f>Data!$US$71</f>
        <v/>
      </c>
      <c r="P273" s="622" t="str">
        <f>IF(Data!$MG$72="&lt;11",0,Data!$MG$72)</f>
        <v/>
      </c>
      <c r="Q273" s="618" t="str">
        <f>Data!$US$72</f>
        <v/>
      </c>
      <c r="R273" s="622">
        <f>IF(Data!$MG$62="&lt;11",0,Data!$MG$62)</f>
        <v>2460</v>
      </c>
      <c r="S273" s="618" t="str">
        <f>Data!$US$72</f>
        <v/>
      </c>
    </row>
    <row r="274" spans="1:21" x14ac:dyDescent="0.35">
      <c r="A274" s="328">
        <v>18</v>
      </c>
      <c r="B274" s="19" t="e">
        <f t="shared" si="38"/>
        <v>#N/A</v>
      </c>
      <c r="C274" s="621" t="e">
        <f t="shared" si="39"/>
        <v>#N/A</v>
      </c>
      <c r="D274" s="357" t="e">
        <f t="shared" si="40"/>
        <v>#N/A</v>
      </c>
      <c r="E274" s="621" t="e">
        <f t="shared" si="41"/>
        <v>#N/A</v>
      </c>
      <c r="F274" s="357" t="e">
        <f t="shared" si="42"/>
        <v>#N/A</v>
      </c>
      <c r="G274" s="621" t="e">
        <f t="shared" si="43"/>
        <v>#N/A</v>
      </c>
      <c r="H274" s="618" t="e">
        <f t="shared" si="44"/>
        <v>#N/A</v>
      </c>
      <c r="I274" s="646" t="e">
        <f t="shared" si="45"/>
        <v>#N/A</v>
      </c>
      <c r="J274" s="648" t="e">
        <f t="shared" si="46"/>
        <v>#N/A</v>
      </c>
      <c r="K274"/>
      <c r="L274" s="338" t="e">
        <f>RANK($N274,$N$257:$N$275,0)+COUNTIF($N$257:$N274,$N274)-1</f>
        <v>#VALUE!</v>
      </c>
      <c r="M274" s="44" t="s">
        <v>97</v>
      </c>
      <c r="N274" s="622" t="str">
        <f>IF(Data!$MH$71="&lt;11",0,Data!$MH$71)</f>
        <v/>
      </c>
      <c r="O274" s="618" t="str">
        <f>Data!$UT$71</f>
        <v/>
      </c>
      <c r="P274" s="622" t="str">
        <f>IF(Data!$MH$72="&lt;11",0,Data!$MH$72)</f>
        <v/>
      </c>
      <c r="Q274" s="618" t="str">
        <f>Data!$UT$72</f>
        <v/>
      </c>
      <c r="R274" s="622">
        <f>IF(Data!$MH$62="&lt;11",0,Data!$MH$62)</f>
        <v>22667</v>
      </c>
      <c r="S274" s="618" t="str">
        <f>Data!$UT$72</f>
        <v/>
      </c>
    </row>
    <row r="275" spans="1:21" x14ac:dyDescent="0.35">
      <c r="A275" s="328">
        <v>19</v>
      </c>
      <c r="B275" s="19" t="e">
        <f t="shared" si="38"/>
        <v>#N/A</v>
      </c>
      <c r="C275" s="621" t="e">
        <f t="shared" si="39"/>
        <v>#N/A</v>
      </c>
      <c r="D275" s="357" t="e">
        <f t="shared" si="40"/>
        <v>#N/A</v>
      </c>
      <c r="E275" s="621" t="e">
        <f t="shared" si="41"/>
        <v>#N/A</v>
      </c>
      <c r="F275" s="357" t="e">
        <f t="shared" si="42"/>
        <v>#N/A</v>
      </c>
      <c r="G275" s="621" t="e">
        <f t="shared" si="43"/>
        <v>#N/A</v>
      </c>
      <c r="H275" s="618" t="e">
        <f t="shared" si="44"/>
        <v>#N/A</v>
      </c>
      <c r="I275" s="646" t="e">
        <f t="shared" si="45"/>
        <v>#N/A</v>
      </c>
      <c r="J275" s="648" t="e">
        <f t="shared" si="46"/>
        <v>#N/A</v>
      </c>
      <c r="K275"/>
      <c r="L275" s="338" t="e">
        <f>RANK($N275,$N$257:$N$275,0)+COUNTIF($N$257:$N275,$N275)-1</f>
        <v>#VALUE!</v>
      </c>
      <c r="M275" s="44" t="s">
        <v>98</v>
      </c>
      <c r="N275" s="622" t="str">
        <f>IF(Data!$MI$71="&lt;11",0,Data!$MI$71)</f>
        <v/>
      </c>
      <c r="O275" s="618" t="str">
        <f>Data!$UU$71</f>
        <v/>
      </c>
      <c r="P275" s="622" t="str">
        <f>IF(Data!$MI$72="&lt;11",0,Data!$MI$72)</f>
        <v/>
      </c>
      <c r="Q275" s="618" t="str">
        <f>Data!$UU$72</f>
        <v/>
      </c>
      <c r="R275" s="622">
        <f>IF(Data!$MI$62="&lt;11",0,Data!$MI$62)</f>
        <v>16591</v>
      </c>
      <c r="S275" s="618" t="str">
        <f>Data!$UU$72</f>
        <v/>
      </c>
    </row>
    <row r="278" spans="1:21" x14ac:dyDescent="0.35">
      <c r="B278" s="618" t="str">
        <f>Data!$UC$71</f>
        <v/>
      </c>
      <c r="C278" s="618" t="str">
        <f>Data!$UD$71</f>
        <v/>
      </c>
      <c r="D278" s="618" t="str">
        <f>Data!$UE$71</f>
        <v/>
      </c>
      <c r="E278" s="618" t="str">
        <f>Data!$UF$71</f>
        <v/>
      </c>
      <c r="F278" s="618" t="str">
        <f>Data!$UG$71</f>
        <v/>
      </c>
      <c r="G278" s="618" t="str">
        <f>Data!$UH$71</f>
        <v/>
      </c>
      <c r="H278" s="618" t="str">
        <f>Data!$UI$71</f>
        <v/>
      </c>
      <c r="I278" s="618" t="str">
        <f>Data!$UJ$71</f>
        <v/>
      </c>
      <c r="J278" s="618" t="str">
        <f>Data!$UK$71</f>
        <v/>
      </c>
      <c r="K278" s="618" t="str">
        <f>Data!$UL$71</f>
        <v/>
      </c>
      <c r="L278" s="618" t="str">
        <f>Data!$UM$71</f>
        <v/>
      </c>
      <c r="M278" s="618" t="str">
        <f>Data!$UN$71</f>
        <v/>
      </c>
      <c r="N278" s="618" t="str">
        <f>Data!$UO$71</f>
        <v/>
      </c>
      <c r="O278" s="618" t="str">
        <f>Data!$UP$71</f>
        <v/>
      </c>
      <c r="P278" s="618" t="str">
        <f>Data!$UQ$71</f>
        <v/>
      </c>
      <c r="Q278" s="618" t="str">
        <f>Data!$UR$71</f>
        <v/>
      </c>
      <c r="R278" s="618" t="str">
        <f>Data!$US$71</f>
        <v/>
      </c>
      <c r="S278" s="618" t="str">
        <f>Data!$UT$71</f>
        <v/>
      </c>
      <c r="T278" s="618" t="str">
        <f>Data!$UU$71</f>
        <v/>
      </c>
      <c r="U278" s="616" t="s">
        <v>748</v>
      </c>
    </row>
    <row r="281" spans="1:21" x14ac:dyDescent="0.35">
      <c r="A281" s="619" t="s">
        <v>753</v>
      </c>
      <c r="B281" s="324"/>
      <c r="C281" s="324"/>
      <c r="D281" s="325"/>
      <c r="E281" s="325"/>
      <c r="F281" s="325"/>
      <c r="G281" s="325"/>
      <c r="H281" s="325"/>
      <c r="I281" s="325"/>
      <c r="J281" s="325"/>
      <c r="K281" s="325"/>
      <c r="L281" s="326"/>
      <c r="M281" s="327"/>
    </row>
    <row r="282" spans="1:21" x14ac:dyDescent="0.35">
      <c r="A282" s="620"/>
      <c r="B282" s="329" t="s">
        <v>101</v>
      </c>
      <c r="C282" s="330" t="str">
        <f>COUNTY_SELECT</f>
        <v>County Name</v>
      </c>
      <c r="D282" s="331"/>
      <c r="E282" s="330" t="str">
        <f>Data!$A$71</f>
        <v/>
      </c>
      <c r="F282" s="331"/>
      <c r="G282" s="642" t="s">
        <v>126</v>
      </c>
      <c r="H282" s="644"/>
      <c r="I282" s="634" t="s">
        <v>126</v>
      </c>
      <c r="J282" s="139"/>
      <c r="K282" s="139"/>
      <c r="L282" s="31"/>
      <c r="M282" s="323" t="s">
        <v>101</v>
      </c>
      <c r="N282" s="328" t="str">
        <f>COUNTY_SELECT</f>
        <v>County Name</v>
      </c>
      <c r="O282" s="251" t="s">
        <v>441</v>
      </c>
      <c r="P282" s="332" t="str">
        <f>Data!$A$72</f>
        <v/>
      </c>
      <c r="Q282" s="56" t="s">
        <v>441</v>
      </c>
      <c r="R282" s="333" t="s">
        <v>126</v>
      </c>
      <c r="S282" s="623" t="s">
        <v>441</v>
      </c>
    </row>
    <row r="283" spans="1:21" x14ac:dyDescent="0.35">
      <c r="A283" s="645"/>
      <c r="B283" s="628"/>
      <c r="C283" s="632" t="s">
        <v>761</v>
      </c>
      <c r="D283" s="416"/>
      <c r="E283" s="632" t="s">
        <v>754</v>
      </c>
      <c r="F283" s="416"/>
      <c r="G283" s="634" t="s">
        <v>761</v>
      </c>
      <c r="H283" s="139"/>
      <c r="I283" s="634" t="s">
        <v>754</v>
      </c>
      <c r="J283" s="139"/>
      <c r="K283" s="139"/>
      <c r="L283" s="31"/>
      <c r="M283" s="31"/>
      <c r="N283" s="411"/>
      <c r="O283" s="251"/>
      <c r="P283" s="9"/>
      <c r="Q283" s="56"/>
      <c r="R283" s="411"/>
      <c r="S283" s="623"/>
    </row>
    <row r="284" spans="1:21" x14ac:dyDescent="0.35">
      <c r="A284" s="328">
        <v>1</v>
      </c>
      <c r="B284" s="19" t="e">
        <f t="shared" ref="B284:B302" si="47">INDEX($M$284:$M$302,MATCH($A284,$L$284:$L$302,0))</f>
        <v>#N/A</v>
      </c>
      <c r="C284" s="621" t="e">
        <f t="shared" ref="C284:C302" si="48">IF(INDEX($N$284:$N$302,MATCH($A284,$L$284:$L$302,0))=0,"&lt;11",INDEX($N$284:$N$302,MATCH($A284,$L$284:$L$302,0)))</f>
        <v>#N/A</v>
      </c>
      <c r="D284" s="357" t="e">
        <f t="shared" ref="D284:D302" si="49">IF($C284="&lt;11","&lt;11",INDEX($O$284:$O$302,MATCH($A284,$L$284:$L$302,0)))</f>
        <v>#N/A</v>
      </c>
      <c r="E284" s="334" t="e">
        <f t="shared" ref="E284:E302" si="50">IF(INDEX($K$3:$K$21,MATCH($A284,$L$284:$L$302,0))&lt;11,"&lt;11",INDEX($K$3:$K$21,MATCH($A284,$L$284:$L$302,0)))</f>
        <v>#N/A</v>
      </c>
      <c r="F284" s="357" t="e">
        <f t="shared" ref="F284:F302" si="51">IF(AND(LEFT($K$2,4)="Very",$E284="&lt;11"),"&lt;11",INDEX($L$3:$L$21,MATCH($B284,$J$3:$J$21,0)))</f>
        <v>#N/A</v>
      </c>
      <c r="G284" s="621" t="e">
        <f t="shared" ref="G284:G302" si="52">INDEX($R$284:$R$302,MATCH($B284,$M$284:$M$302,0))</f>
        <v>#N/A</v>
      </c>
      <c r="H284" s="618" t="e">
        <f t="shared" ref="H284:H302" si="53">INDEX($R$284:$R$302,MATCH($A284,$L$284:$L$302,0))/SUM($R$284:$R$302)</f>
        <v>#N/A</v>
      </c>
      <c r="I284" s="649" t="e">
        <f t="shared" ref="I284:I302" si="54">INDEX($O$3:$O$21,MATCH($B284,$J$3:$J$21,0))</f>
        <v>#N/A</v>
      </c>
      <c r="J284" s="647" t="e">
        <f t="shared" ref="J284:J302" si="55">INDEX($P$3:$P$21,MATCH($B284,$J$3:$J$21,0))</f>
        <v>#N/A</v>
      </c>
      <c r="K284" s="417"/>
      <c r="L284" s="338" t="e">
        <f>RANK($N284,$N$284:$N$302,0)+COUNTIF($N$284:$N284,$N284)-1</f>
        <v>#VALUE!</v>
      </c>
      <c r="M284" s="44" t="s">
        <v>82</v>
      </c>
      <c r="N284" s="622" t="str">
        <f>IF(Data!$MJ$71="&lt;11",0,Data!$MJ$71)</f>
        <v/>
      </c>
      <c r="O284" s="618" t="str">
        <f>Data!$UV$71</f>
        <v/>
      </c>
      <c r="P284" s="622" t="str">
        <f>IF(Data!$MJ$72="&lt;11",0,Data!$MJ$72)</f>
        <v/>
      </c>
      <c r="Q284" s="618" t="str">
        <f>Data!$UV$72</f>
        <v/>
      </c>
      <c r="R284" s="622">
        <f>IF(Data!$MJ$62="&lt;11",0,Data!$MJ$62)</f>
        <v>79691</v>
      </c>
      <c r="S284" s="618">
        <f>Data!$UV$62</f>
        <v>0.30399999999999999</v>
      </c>
    </row>
    <row r="285" spans="1:21" x14ac:dyDescent="0.35">
      <c r="A285" s="328">
        <v>2</v>
      </c>
      <c r="B285" s="19" t="e">
        <f t="shared" si="47"/>
        <v>#N/A</v>
      </c>
      <c r="C285" s="621" t="e">
        <f t="shared" si="48"/>
        <v>#N/A</v>
      </c>
      <c r="D285" s="357" t="e">
        <f t="shared" si="49"/>
        <v>#N/A</v>
      </c>
      <c r="E285" s="621" t="e">
        <f t="shared" si="50"/>
        <v>#N/A</v>
      </c>
      <c r="F285" s="357" t="e">
        <f t="shared" si="51"/>
        <v>#N/A</v>
      </c>
      <c r="G285" s="621" t="e">
        <f t="shared" si="52"/>
        <v>#N/A</v>
      </c>
      <c r="H285" s="618" t="e">
        <f t="shared" si="53"/>
        <v>#N/A</v>
      </c>
      <c r="I285" s="650" t="e">
        <f t="shared" si="54"/>
        <v>#N/A</v>
      </c>
      <c r="J285" s="417" t="e">
        <f t="shared" si="55"/>
        <v>#N/A</v>
      </c>
      <c r="K285" s="417"/>
      <c r="L285" s="338" t="e">
        <f>RANK($N285,$N$284:$N$302,0)+COUNTIF($N$284:$N285,$N285)-1</f>
        <v>#VALUE!</v>
      </c>
      <c r="M285" s="44" t="s">
        <v>83</v>
      </c>
      <c r="N285" s="622" t="str">
        <f>IF(Data!$MK$71="&lt;11",0,Data!$MK$71)</f>
        <v/>
      </c>
      <c r="O285" s="618" t="str">
        <f>Data!$UW$71</f>
        <v/>
      </c>
      <c r="P285" s="622" t="str">
        <f>IF(Data!$MK$72="&lt;11",0,Data!$MK$72)</f>
        <v/>
      </c>
      <c r="Q285" s="618" t="str">
        <f>Data!$UW$72</f>
        <v/>
      </c>
      <c r="R285" s="622">
        <f>IF(Data!$MK$62="&lt;11",0,Data!$MK$62)</f>
        <v>85780</v>
      </c>
      <c r="S285" s="618">
        <f>Data!$UW$62</f>
        <v>0.32700000000000001</v>
      </c>
    </row>
    <row r="286" spans="1:21" x14ac:dyDescent="0.35">
      <c r="A286" s="328">
        <v>3</v>
      </c>
      <c r="B286" s="19" t="e">
        <f t="shared" si="47"/>
        <v>#N/A</v>
      </c>
      <c r="C286" s="621" t="e">
        <f t="shared" si="48"/>
        <v>#N/A</v>
      </c>
      <c r="D286" s="357" t="e">
        <f t="shared" si="49"/>
        <v>#N/A</v>
      </c>
      <c r="E286" s="621" t="e">
        <f t="shared" si="50"/>
        <v>#N/A</v>
      </c>
      <c r="F286" s="357" t="e">
        <f t="shared" si="51"/>
        <v>#N/A</v>
      </c>
      <c r="G286" s="621" t="e">
        <f t="shared" si="52"/>
        <v>#N/A</v>
      </c>
      <c r="H286" s="618" t="e">
        <f t="shared" si="53"/>
        <v>#N/A</v>
      </c>
      <c r="I286" s="650" t="e">
        <f t="shared" si="54"/>
        <v>#N/A</v>
      </c>
      <c r="J286" s="417" t="e">
        <f t="shared" si="55"/>
        <v>#N/A</v>
      </c>
      <c r="K286" s="417"/>
      <c r="L286" s="338" t="e">
        <f>RANK($N286,$N$284:$N$302,0)+COUNTIF($N$284:$N286,$N286)-1</f>
        <v>#VALUE!</v>
      </c>
      <c r="M286" s="44" t="s">
        <v>129</v>
      </c>
      <c r="N286" s="622" t="str">
        <f>IF(Data!$ML$71="&lt;11",0,Data!$ML$71)</f>
        <v/>
      </c>
      <c r="O286" s="618" t="str">
        <f>Data!$UX$71</f>
        <v/>
      </c>
      <c r="P286" s="622" t="str">
        <f>IF(Data!$ML$72="&lt;11",0,Data!$ML$72)</f>
        <v/>
      </c>
      <c r="Q286" s="618" t="str">
        <f>Data!$UX$72</f>
        <v/>
      </c>
      <c r="R286" s="622">
        <f>IF(Data!$ML$62="&lt;11",0,Data!$ML$62)</f>
        <v>36070</v>
      </c>
      <c r="S286" s="618">
        <f>Data!$UX$62</f>
        <v>0.13800000000000001</v>
      </c>
    </row>
    <row r="287" spans="1:21" x14ac:dyDescent="0.35">
      <c r="A287" s="328">
        <v>4</v>
      </c>
      <c r="B287" s="19" t="e">
        <f t="shared" si="47"/>
        <v>#N/A</v>
      </c>
      <c r="C287" s="621" t="e">
        <f t="shared" si="48"/>
        <v>#N/A</v>
      </c>
      <c r="D287" s="357" t="e">
        <f t="shared" si="49"/>
        <v>#N/A</v>
      </c>
      <c r="E287" s="621" t="e">
        <f t="shared" si="50"/>
        <v>#N/A</v>
      </c>
      <c r="F287" s="357" t="e">
        <f t="shared" si="51"/>
        <v>#N/A</v>
      </c>
      <c r="G287" s="621" t="e">
        <f t="shared" si="52"/>
        <v>#N/A</v>
      </c>
      <c r="H287" s="618" t="e">
        <f t="shared" si="53"/>
        <v>#N/A</v>
      </c>
      <c r="I287" s="650" t="e">
        <f t="shared" si="54"/>
        <v>#N/A</v>
      </c>
      <c r="J287" s="417" t="e">
        <f t="shared" si="55"/>
        <v>#N/A</v>
      </c>
      <c r="K287" s="417"/>
      <c r="L287" s="338" t="e">
        <f>RANK($N287,$N$284:$N$302,0)+COUNTIF($N$284:$N287,$N287)-1</f>
        <v>#VALUE!</v>
      </c>
      <c r="M287" s="44" t="s">
        <v>84</v>
      </c>
      <c r="N287" s="622" t="str">
        <f>IF(Data!$MM$71="&lt;11",0,Data!$MM$71)</f>
        <v/>
      </c>
      <c r="O287" s="618" t="str">
        <f>Data!$UY$71</f>
        <v/>
      </c>
      <c r="P287" s="622" t="str">
        <f>IF(Data!$MM$72="&lt;11",0,Data!$MM$72)</f>
        <v/>
      </c>
      <c r="Q287" s="618" t="str">
        <f>Data!$UY$72</f>
        <v/>
      </c>
      <c r="R287" s="622">
        <f>IF(Data!$MM$62="&lt;11",0,Data!$MM$62)</f>
        <v>5965</v>
      </c>
      <c r="S287" s="618">
        <f>Data!$UY$62</f>
        <v>2.3E-2</v>
      </c>
    </row>
    <row r="288" spans="1:21" x14ac:dyDescent="0.35">
      <c r="A288" s="328">
        <v>5</v>
      </c>
      <c r="B288" s="19" t="e">
        <f t="shared" si="47"/>
        <v>#N/A</v>
      </c>
      <c r="C288" s="621" t="e">
        <f t="shared" si="48"/>
        <v>#N/A</v>
      </c>
      <c r="D288" s="357" t="e">
        <f t="shared" si="49"/>
        <v>#N/A</v>
      </c>
      <c r="E288" s="621" t="e">
        <f t="shared" si="50"/>
        <v>#N/A</v>
      </c>
      <c r="F288" s="357" t="e">
        <f t="shared" si="51"/>
        <v>#N/A</v>
      </c>
      <c r="G288" s="621" t="e">
        <f t="shared" si="52"/>
        <v>#N/A</v>
      </c>
      <c r="H288" s="618" t="e">
        <f t="shared" si="53"/>
        <v>#N/A</v>
      </c>
      <c r="I288" s="650" t="e">
        <f t="shared" si="54"/>
        <v>#N/A</v>
      </c>
      <c r="J288" s="417" t="e">
        <f t="shared" si="55"/>
        <v>#N/A</v>
      </c>
      <c r="K288" s="417"/>
      <c r="L288" s="338" t="e">
        <f>RANK($N288,$N$284:$N$302,0)+COUNTIF($N$284:$N288,$N288)-1</f>
        <v>#VALUE!</v>
      </c>
      <c r="M288" s="44" t="s">
        <v>85</v>
      </c>
      <c r="N288" s="622" t="str">
        <f>IF(Data!$MN$71="&lt;11",0,Data!$MN$71)</f>
        <v/>
      </c>
      <c r="O288" s="618" t="str">
        <f>Data!$UZ$71</f>
        <v/>
      </c>
      <c r="P288" s="622" t="str">
        <f>IF(Data!$MN$72="&lt;11",0,Data!$MN$72)</f>
        <v/>
      </c>
      <c r="Q288" s="618" t="str">
        <f>Data!$UZ$72</f>
        <v/>
      </c>
      <c r="R288" s="622">
        <f>IF(Data!$MN$62="&lt;11",0,Data!$MN$62)</f>
        <v>1079</v>
      </c>
      <c r="S288" s="618">
        <f>Data!$UZ$62</f>
        <v>4.0000000000000001E-3</v>
      </c>
    </row>
    <row r="289" spans="1:19" x14ac:dyDescent="0.35">
      <c r="A289" s="328">
        <v>6</v>
      </c>
      <c r="B289" s="19" t="e">
        <f t="shared" si="47"/>
        <v>#N/A</v>
      </c>
      <c r="C289" s="621" t="e">
        <f t="shared" si="48"/>
        <v>#N/A</v>
      </c>
      <c r="D289" s="357" t="e">
        <f t="shared" si="49"/>
        <v>#N/A</v>
      </c>
      <c r="E289" s="621" t="e">
        <f t="shared" si="50"/>
        <v>#N/A</v>
      </c>
      <c r="F289" s="357" t="e">
        <f t="shared" si="51"/>
        <v>#N/A</v>
      </c>
      <c r="G289" s="621" t="e">
        <f t="shared" si="52"/>
        <v>#N/A</v>
      </c>
      <c r="H289" s="618" t="e">
        <f t="shared" si="53"/>
        <v>#N/A</v>
      </c>
      <c r="I289" s="650" t="e">
        <f t="shared" si="54"/>
        <v>#N/A</v>
      </c>
      <c r="J289" s="417" t="e">
        <f t="shared" si="55"/>
        <v>#N/A</v>
      </c>
      <c r="K289" s="417"/>
      <c r="L289" s="338" t="e">
        <f>RANK($N289,$N$284:$N$302,0)+COUNTIF($N$284:$N289,$N289)-1</f>
        <v>#VALUE!</v>
      </c>
      <c r="M289" s="44" t="s">
        <v>86</v>
      </c>
      <c r="N289" s="622" t="str">
        <f>IF(Data!$MO$71="&lt;11",0,Data!$MO$71)</f>
        <v/>
      </c>
      <c r="O289" s="618" t="str">
        <f>Data!$VA$71</f>
        <v/>
      </c>
      <c r="P289" s="622" t="str">
        <f>IF(Data!$MO$72="&lt;11",0,Data!$MO$72)</f>
        <v/>
      </c>
      <c r="Q289" s="618" t="str">
        <f>Data!$VA$72</f>
        <v/>
      </c>
      <c r="R289" s="622">
        <f>IF(Data!$MO$62="&lt;11",0,Data!$MO$62)</f>
        <v>8703</v>
      </c>
      <c r="S289" s="618">
        <f>Data!$VA$62</f>
        <v>3.3000000000000002E-2</v>
      </c>
    </row>
    <row r="290" spans="1:19" x14ac:dyDescent="0.35">
      <c r="A290" s="328">
        <v>7</v>
      </c>
      <c r="B290" s="19" t="e">
        <f t="shared" si="47"/>
        <v>#N/A</v>
      </c>
      <c r="C290" s="621" t="e">
        <f t="shared" si="48"/>
        <v>#N/A</v>
      </c>
      <c r="D290" s="357" t="e">
        <f t="shared" si="49"/>
        <v>#N/A</v>
      </c>
      <c r="E290" s="621" t="e">
        <f t="shared" si="50"/>
        <v>#N/A</v>
      </c>
      <c r="F290" s="357" t="e">
        <f t="shared" si="51"/>
        <v>#N/A</v>
      </c>
      <c r="G290" s="621" t="e">
        <f t="shared" si="52"/>
        <v>#N/A</v>
      </c>
      <c r="H290" s="618" t="e">
        <f t="shared" si="53"/>
        <v>#N/A</v>
      </c>
      <c r="I290" s="650" t="e">
        <f t="shared" si="54"/>
        <v>#N/A</v>
      </c>
      <c r="J290" s="417" t="e">
        <f t="shared" si="55"/>
        <v>#N/A</v>
      </c>
      <c r="K290" s="417"/>
      <c r="L290" s="338" t="e">
        <f>RANK($N290,$N$284:$N$302,0)+COUNTIF($N$284:$N290,$N290)-1</f>
        <v>#VALUE!</v>
      </c>
      <c r="M290" s="44" t="s">
        <v>381</v>
      </c>
      <c r="N290" s="622" t="str">
        <f>IF(Data!$MP$71="&lt;11",0,Data!$MP$71)</f>
        <v/>
      </c>
      <c r="O290" s="618" t="str">
        <f>Data!$VB$71</f>
        <v/>
      </c>
      <c r="P290" s="622" t="str">
        <f>IF(Data!$MP$72="&lt;11",0,Data!$MP$72)</f>
        <v/>
      </c>
      <c r="Q290" s="618" t="str">
        <f>Data!$VB$72</f>
        <v/>
      </c>
      <c r="R290" s="622">
        <f>IF(Data!$MP$62="&lt;11",0,Data!$MP$62)</f>
        <v>2852</v>
      </c>
      <c r="S290" s="618">
        <f>Data!$VB$62</f>
        <v>1.0999999999999999E-2</v>
      </c>
    </row>
    <row r="291" spans="1:19" x14ac:dyDescent="0.35">
      <c r="A291" s="328">
        <v>8</v>
      </c>
      <c r="B291" s="19" t="e">
        <f t="shared" si="47"/>
        <v>#N/A</v>
      </c>
      <c r="C291" s="621" t="e">
        <f t="shared" si="48"/>
        <v>#N/A</v>
      </c>
      <c r="D291" s="357" t="e">
        <f t="shared" si="49"/>
        <v>#N/A</v>
      </c>
      <c r="E291" s="621" t="e">
        <f t="shared" si="50"/>
        <v>#N/A</v>
      </c>
      <c r="F291" s="357" t="e">
        <f t="shared" si="51"/>
        <v>#N/A</v>
      </c>
      <c r="G291" s="621" t="e">
        <f t="shared" si="52"/>
        <v>#N/A</v>
      </c>
      <c r="H291" s="618" t="e">
        <f t="shared" si="53"/>
        <v>#N/A</v>
      </c>
      <c r="I291" s="650" t="e">
        <f t="shared" si="54"/>
        <v>#N/A</v>
      </c>
      <c r="J291" s="417" t="e">
        <f t="shared" si="55"/>
        <v>#N/A</v>
      </c>
      <c r="K291" s="417"/>
      <c r="L291" s="338" t="e">
        <f>RANK($N291,$N$284:$N$302,0)+COUNTIF($N$284:$N291,$N291)-1</f>
        <v>#VALUE!</v>
      </c>
      <c r="M291" s="44" t="s">
        <v>88</v>
      </c>
      <c r="N291" s="622" t="str">
        <f>IF(Data!$MQ$71="&lt;11",0,Data!$MQ$71)</f>
        <v/>
      </c>
      <c r="O291" s="618" t="str">
        <f>Data!$VC$71</f>
        <v/>
      </c>
      <c r="P291" s="622" t="str">
        <f>IF(Data!$MQ$72="&lt;11",0,Data!$MQ$72)</f>
        <v/>
      </c>
      <c r="Q291" s="618" t="str">
        <f>Data!$VC$72</f>
        <v/>
      </c>
      <c r="R291" s="622">
        <f>IF(Data!$MQ$62="&lt;11",0,Data!$MQ$62)</f>
        <v>140</v>
      </c>
      <c r="S291" s="618">
        <f>Data!$VC$62</f>
        <v>1E-3</v>
      </c>
    </row>
    <row r="292" spans="1:19" x14ac:dyDescent="0.35">
      <c r="A292" s="328">
        <v>9</v>
      </c>
      <c r="B292" s="19" t="e">
        <f t="shared" si="47"/>
        <v>#N/A</v>
      </c>
      <c r="C292" s="621" t="e">
        <f t="shared" si="48"/>
        <v>#N/A</v>
      </c>
      <c r="D292" s="357" t="e">
        <f t="shared" si="49"/>
        <v>#N/A</v>
      </c>
      <c r="E292" s="621" t="e">
        <f t="shared" si="50"/>
        <v>#N/A</v>
      </c>
      <c r="F292" s="357" t="e">
        <f t="shared" si="51"/>
        <v>#N/A</v>
      </c>
      <c r="G292" s="621" t="e">
        <f t="shared" si="52"/>
        <v>#N/A</v>
      </c>
      <c r="H292" s="618" t="e">
        <f t="shared" si="53"/>
        <v>#N/A</v>
      </c>
      <c r="I292" s="650" t="e">
        <f t="shared" si="54"/>
        <v>#N/A</v>
      </c>
      <c r="J292" s="417" t="e">
        <f t="shared" si="55"/>
        <v>#N/A</v>
      </c>
      <c r="K292" s="417"/>
      <c r="L292" s="338" t="e">
        <f>RANK($N292,$N$284:$N$302,0)+COUNTIF($N$284:$N292,$N292)-1</f>
        <v>#VALUE!</v>
      </c>
      <c r="M292" s="44" t="s">
        <v>89</v>
      </c>
      <c r="N292" s="622" t="str">
        <f>IF(Data!$MR$71="&lt;11",0,Data!$MR$71)</f>
        <v/>
      </c>
      <c r="O292" s="618" t="str">
        <f>Data!$VD$71</f>
        <v/>
      </c>
      <c r="P292" s="622" t="str">
        <f>IF(Data!$MR$72="&lt;11",0,Data!$MR$72)</f>
        <v/>
      </c>
      <c r="Q292" s="618" t="str">
        <f>Data!$VD$72</f>
        <v/>
      </c>
      <c r="R292" s="622">
        <f>IF(Data!$MR$62="&lt;11",0,Data!$MR$62)</f>
        <v>13485</v>
      </c>
      <c r="S292" s="618">
        <f>Data!$VD$62</f>
        <v>5.0999999999999997E-2</v>
      </c>
    </row>
    <row r="293" spans="1:19" x14ac:dyDescent="0.35">
      <c r="A293" s="328">
        <v>10</v>
      </c>
      <c r="B293" s="19" t="e">
        <f t="shared" si="47"/>
        <v>#N/A</v>
      </c>
      <c r="C293" s="621" t="e">
        <f t="shared" si="48"/>
        <v>#N/A</v>
      </c>
      <c r="D293" s="357" t="e">
        <f t="shared" si="49"/>
        <v>#N/A</v>
      </c>
      <c r="E293" s="621" t="e">
        <f t="shared" si="50"/>
        <v>#N/A</v>
      </c>
      <c r="F293" s="357" t="e">
        <f t="shared" si="51"/>
        <v>#N/A</v>
      </c>
      <c r="G293" s="621" t="e">
        <f t="shared" si="52"/>
        <v>#N/A</v>
      </c>
      <c r="H293" s="618" t="e">
        <f t="shared" si="53"/>
        <v>#N/A</v>
      </c>
      <c r="I293" s="650" t="e">
        <f t="shared" si="54"/>
        <v>#N/A</v>
      </c>
      <c r="J293" s="417" t="e">
        <f t="shared" si="55"/>
        <v>#N/A</v>
      </c>
      <c r="K293" s="417"/>
      <c r="L293" s="338" t="e">
        <f>RANK($N293,$N$284:$N$302,0)+COUNTIF($N$284:$N293,$N293)-1</f>
        <v>#VALUE!</v>
      </c>
      <c r="M293" s="44" t="s">
        <v>90</v>
      </c>
      <c r="N293" s="622" t="str">
        <f>IF(Data!$MS$71="&lt;11",0,Data!$MS$71)</f>
        <v/>
      </c>
      <c r="O293" s="618" t="str">
        <f>Data!$VE$71</f>
        <v/>
      </c>
      <c r="P293" s="622" t="str">
        <f>IF(Data!$MS$72="&lt;11",0,Data!$MS$72)</f>
        <v/>
      </c>
      <c r="Q293" s="618" t="str">
        <f>Data!$VE$72</f>
        <v/>
      </c>
      <c r="R293" s="622">
        <f>IF(Data!$MS$62="&lt;11",0,Data!$MS$62)</f>
        <v>1946</v>
      </c>
      <c r="S293" s="618">
        <f>Data!$VE$62</f>
        <v>7.0000000000000001E-3</v>
      </c>
    </row>
    <row r="294" spans="1:19" x14ac:dyDescent="0.35">
      <c r="A294" s="328">
        <v>11</v>
      </c>
      <c r="B294" s="19" t="e">
        <f t="shared" si="47"/>
        <v>#N/A</v>
      </c>
      <c r="C294" s="621" t="e">
        <f t="shared" si="48"/>
        <v>#N/A</v>
      </c>
      <c r="D294" s="357" t="e">
        <f t="shared" si="49"/>
        <v>#N/A</v>
      </c>
      <c r="E294" s="621" t="e">
        <f t="shared" si="50"/>
        <v>#N/A</v>
      </c>
      <c r="F294" s="357" t="e">
        <f t="shared" si="51"/>
        <v>#N/A</v>
      </c>
      <c r="G294" s="621" t="e">
        <f t="shared" si="52"/>
        <v>#N/A</v>
      </c>
      <c r="H294" s="618" t="e">
        <f t="shared" si="53"/>
        <v>#N/A</v>
      </c>
      <c r="I294" s="650" t="e">
        <f t="shared" si="54"/>
        <v>#N/A</v>
      </c>
      <c r="J294" s="417" t="e">
        <f t="shared" si="55"/>
        <v>#N/A</v>
      </c>
      <c r="K294" s="417"/>
      <c r="L294" s="338" t="e">
        <f>RANK($N294,$N$284:$N$302,0)+COUNTIF($N$284:$N294,$N294)-1</f>
        <v>#VALUE!</v>
      </c>
      <c r="M294" s="44" t="s">
        <v>91</v>
      </c>
      <c r="N294" s="622" t="str">
        <f>IF(Data!$MT$71="&lt;11",0,Data!$MT$71)</f>
        <v/>
      </c>
      <c r="O294" s="618" t="str">
        <f>Data!$VF$71</f>
        <v/>
      </c>
      <c r="P294" s="622" t="str">
        <f>IF(Data!$MT$72="&lt;11",0,Data!$MT$72)</f>
        <v/>
      </c>
      <c r="Q294" s="618" t="str">
        <f>Data!$VF$72</f>
        <v/>
      </c>
      <c r="R294" s="622">
        <f>IF(Data!$MT$62="&lt;11",0,Data!$MT$62)</f>
        <v>302</v>
      </c>
      <c r="S294" s="618">
        <f>Data!$VF$62</f>
        <v>1E-3</v>
      </c>
    </row>
    <row r="295" spans="1:19" x14ac:dyDescent="0.35">
      <c r="A295" s="328">
        <v>12</v>
      </c>
      <c r="B295" s="19" t="e">
        <f t="shared" si="47"/>
        <v>#N/A</v>
      </c>
      <c r="C295" s="621" t="e">
        <f t="shared" si="48"/>
        <v>#N/A</v>
      </c>
      <c r="D295" s="357" t="e">
        <f t="shared" si="49"/>
        <v>#N/A</v>
      </c>
      <c r="E295" s="621" t="e">
        <f t="shared" si="50"/>
        <v>#N/A</v>
      </c>
      <c r="F295" s="357" t="e">
        <f t="shared" si="51"/>
        <v>#N/A</v>
      </c>
      <c r="G295" s="621" t="e">
        <f t="shared" si="52"/>
        <v>#N/A</v>
      </c>
      <c r="H295" s="618" t="e">
        <f t="shared" si="53"/>
        <v>#N/A</v>
      </c>
      <c r="I295" s="650" t="e">
        <f t="shared" si="54"/>
        <v>#N/A</v>
      </c>
      <c r="J295" s="417" t="e">
        <f t="shared" si="55"/>
        <v>#N/A</v>
      </c>
      <c r="K295" s="417"/>
      <c r="L295" s="338" t="e">
        <f>RANK($N295,$N$284:$N$302,0)+COUNTIF($N$284:$N295,$N295)-1</f>
        <v>#VALUE!</v>
      </c>
      <c r="M295" s="44" t="s">
        <v>92</v>
      </c>
      <c r="N295" s="622" t="str">
        <f>IF(Data!$MU$71="&lt;11",0,Data!$MU$71)</f>
        <v/>
      </c>
      <c r="O295" s="618" t="str">
        <f>Data!$VG$71</f>
        <v/>
      </c>
      <c r="P295" s="622" t="str">
        <f>IF(Data!$MU$72="&lt;11",0,Data!$MU$72)</f>
        <v/>
      </c>
      <c r="Q295" s="618" t="str">
        <f>Data!$VG$72</f>
        <v/>
      </c>
      <c r="R295" s="622">
        <f>IF(Data!$MU$62="&lt;11",0,Data!$MU$62)</f>
        <v>2959</v>
      </c>
      <c r="S295" s="618">
        <f>Data!$VG$62</f>
        <v>1.0999999999999999E-2</v>
      </c>
    </row>
    <row r="296" spans="1:19" x14ac:dyDescent="0.35">
      <c r="A296" s="328">
        <v>13</v>
      </c>
      <c r="B296" s="19" t="e">
        <f t="shared" si="47"/>
        <v>#N/A</v>
      </c>
      <c r="C296" s="621" t="e">
        <f t="shared" si="48"/>
        <v>#N/A</v>
      </c>
      <c r="D296" s="357" t="e">
        <f t="shared" si="49"/>
        <v>#N/A</v>
      </c>
      <c r="E296" s="621" t="e">
        <f t="shared" si="50"/>
        <v>#N/A</v>
      </c>
      <c r="F296" s="357" t="e">
        <f t="shared" si="51"/>
        <v>#N/A</v>
      </c>
      <c r="G296" s="621" t="e">
        <f t="shared" si="52"/>
        <v>#N/A</v>
      </c>
      <c r="H296" s="618" t="e">
        <f t="shared" si="53"/>
        <v>#N/A</v>
      </c>
      <c r="I296" s="650" t="e">
        <f t="shared" si="54"/>
        <v>#N/A</v>
      </c>
      <c r="J296" s="417" t="e">
        <f t="shared" si="55"/>
        <v>#N/A</v>
      </c>
      <c r="K296" s="417"/>
      <c r="L296" s="338" t="e">
        <f>RANK($N296,$N$284:$N$302,0)+COUNTIF($N$284:$N296,$N296)-1</f>
        <v>#VALUE!</v>
      </c>
      <c r="M296" s="44" t="s">
        <v>93</v>
      </c>
      <c r="N296" s="622" t="str">
        <f>IF(Data!$MV$71="&lt;11",0,Data!$MV$71)</f>
        <v/>
      </c>
      <c r="O296" s="618" t="str">
        <f>Data!$VH$71</f>
        <v/>
      </c>
      <c r="P296" s="622" t="str">
        <f>IF(Data!$MV$72="&lt;11",0,Data!$MV$72)</f>
        <v/>
      </c>
      <c r="Q296" s="618" t="str">
        <f>Data!$VH$72</f>
        <v/>
      </c>
      <c r="R296" s="622">
        <f>IF(Data!$MV$62="&lt;11",0,Data!$MV$62)</f>
        <v>373</v>
      </c>
      <c r="S296" s="618">
        <f>Data!$VH$62</f>
        <v>1E-3</v>
      </c>
    </row>
    <row r="297" spans="1:19" x14ac:dyDescent="0.35">
      <c r="A297" s="328">
        <v>14</v>
      </c>
      <c r="B297" s="19" t="e">
        <f t="shared" si="47"/>
        <v>#N/A</v>
      </c>
      <c r="C297" s="621" t="e">
        <f t="shared" si="48"/>
        <v>#N/A</v>
      </c>
      <c r="D297" s="357" t="e">
        <f t="shared" si="49"/>
        <v>#N/A</v>
      </c>
      <c r="E297" s="621" t="e">
        <f t="shared" si="50"/>
        <v>#N/A</v>
      </c>
      <c r="F297" s="357" t="e">
        <f t="shared" si="51"/>
        <v>#N/A</v>
      </c>
      <c r="G297" s="621" t="e">
        <f t="shared" si="52"/>
        <v>#N/A</v>
      </c>
      <c r="H297" s="618" t="e">
        <f t="shared" si="53"/>
        <v>#N/A</v>
      </c>
      <c r="I297" s="650" t="e">
        <f t="shared" si="54"/>
        <v>#N/A</v>
      </c>
      <c r="J297" s="417" t="e">
        <f t="shared" si="55"/>
        <v>#N/A</v>
      </c>
      <c r="K297" s="417"/>
      <c r="L297" s="338" t="e">
        <f>RANK($N297,$N$284:$N$302,0)+COUNTIF($N$284:$N297,$N297)-1</f>
        <v>#VALUE!</v>
      </c>
      <c r="M297" s="44" t="s">
        <v>94</v>
      </c>
      <c r="N297" s="622" t="str">
        <f>IF(Data!$MW$71="&lt;11",0,Data!$MW$71)</f>
        <v/>
      </c>
      <c r="O297" s="618" t="str">
        <f>Data!$VI$71</f>
        <v/>
      </c>
      <c r="P297" s="622" t="str">
        <f>IF(Data!$MW$72="&lt;11",0,Data!$MW$72)</f>
        <v/>
      </c>
      <c r="Q297" s="618" t="str">
        <f>Data!$VI$72</f>
        <v/>
      </c>
      <c r="R297" s="622">
        <f>IF(Data!$MW$62="&lt;11",0,Data!$MW$62)</f>
        <v>5020</v>
      </c>
      <c r="S297" s="618">
        <f>Data!$VI$62</f>
        <v>1.9E-2</v>
      </c>
    </row>
    <row r="298" spans="1:19" x14ac:dyDescent="0.35">
      <c r="A298" s="328">
        <v>15</v>
      </c>
      <c r="B298" s="19" t="e">
        <f t="shared" si="47"/>
        <v>#N/A</v>
      </c>
      <c r="C298" s="621" t="e">
        <f t="shared" si="48"/>
        <v>#N/A</v>
      </c>
      <c r="D298" s="357" t="e">
        <f t="shared" si="49"/>
        <v>#N/A</v>
      </c>
      <c r="E298" s="621" t="e">
        <f t="shared" si="50"/>
        <v>#N/A</v>
      </c>
      <c r="F298" s="357" t="e">
        <f t="shared" si="51"/>
        <v>#N/A</v>
      </c>
      <c r="G298" s="621" t="e">
        <f t="shared" si="52"/>
        <v>#N/A</v>
      </c>
      <c r="H298" s="618" t="e">
        <f t="shared" si="53"/>
        <v>#N/A</v>
      </c>
      <c r="I298" s="650" t="e">
        <f t="shared" si="54"/>
        <v>#N/A</v>
      </c>
      <c r="J298" s="417" t="e">
        <f t="shared" si="55"/>
        <v>#N/A</v>
      </c>
      <c r="K298" s="417"/>
      <c r="L298" s="338" t="e">
        <f>RANK($N298,$N$284:$N$302,0)+COUNTIF($N$284:$N298,$N298)-1</f>
        <v>#VALUE!</v>
      </c>
      <c r="M298" s="44" t="s">
        <v>95</v>
      </c>
      <c r="N298" s="622" t="str">
        <f>IF(Data!$MX$71="&lt;11",0,Data!$MX$71)</f>
        <v/>
      </c>
      <c r="O298" s="618" t="str">
        <f>Data!$VJ$71</f>
        <v/>
      </c>
      <c r="P298" s="622" t="str">
        <f>IF(Data!$MX$72="&lt;11",0,Data!$MX$72)</f>
        <v/>
      </c>
      <c r="Q298" s="618" t="str">
        <f>Data!$VJ$72</f>
        <v/>
      </c>
      <c r="R298" s="622">
        <f>IF(Data!$MX$62="&lt;11",0,Data!$MX$62)</f>
        <v>78</v>
      </c>
      <c r="S298" s="618">
        <f>Data!$VJ$62</f>
        <v>0</v>
      </c>
    </row>
    <row r="299" spans="1:19" x14ac:dyDescent="0.35">
      <c r="A299" s="328">
        <v>16</v>
      </c>
      <c r="B299" s="19" t="e">
        <f t="shared" si="47"/>
        <v>#N/A</v>
      </c>
      <c r="C299" s="621" t="e">
        <f t="shared" si="48"/>
        <v>#N/A</v>
      </c>
      <c r="D299" s="357" t="e">
        <f t="shared" si="49"/>
        <v>#N/A</v>
      </c>
      <c r="E299" s="621" t="e">
        <f t="shared" si="50"/>
        <v>#N/A</v>
      </c>
      <c r="F299" s="357" t="e">
        <f t="shared" si="51"/>
        <v>#N/A</v>
      </c>
      <c r="G299" s="621" t="e">
        <f t="shared" si="52"/>
        <v>#N/A</v>
      </c>
      <c r="H299" s="618" t="e">
        <f t="shared" si="53"/>
        <v>#N/A</v>
      </c>
      <c r="I299" s="650" t="e">
        <f t="shared" si="54"/>
        <v>#N/A</v>
      </c>
      <c r="J299" s="417" t="e">
        <f t="shared" si="55"/>
        <v>#N/A</v>
      </c>
      <c r="K299" s="417"/>
      <c r="L299" s="338" t="e">
        <f>RANK($N299,$N$284:$N$302,0)+COUNTIF($N$284:$N299,$N299)-1</f>
        <v>#VALUE!</v>
      </c>
      <c r="M299" s="44" t="s">
        <v>301</v>
      </c>
      <c r="N299" s="622" t="str">
        <f>IF(Data!$MY$71="&lt;11",0,Data!$MY$71)</f>
        <v/>
      </c>
      <c r="O299" s="618" t="str">
        <f>Data!$VK$71</f>
        <v/>
      </c>
      <c r="P299" s="622" t="str">
        <f>IF(Data!$MY$72="&lt;11",0,Data!$MY$72)</f>
        <v/>
      </c>
      <c r="Q299" s="618" t="str">
        <f>Data!$VK$72</f>
        <v/>
      </c>
      <c r="R299" s="622">
        <f>IF(Data!$MY$62="&lt;11",0,Data!$MY$62)</f>
        <v>35</v>
      </c>
      <c r="S299" s="618">
        <f>Data!$VK$62</f>
        <v>0</v>
      </c>
    </row>
    <row r="300" spans="1:19" x14ac:dyDescent="0.35">
      <c r="A300" s="328">
        <v>17</v>
      </c>
      <c r="B300" s="19" t="e">
        <f t="shared" si="47"/>
        <v>#N/A</v>
      </c>
      <c r="C300" s="621" t="e">
        <f t="shared" si="48"/>
        <v>#N/A</v>
      </c>
      <c r="D300" s="357" t="e">
        <f t="shared" si="49"/>
        <v>#N/A</v>
      </c>
      <c r="E300" s="621" t="e">
        <f t="shared" si="50"/>
        <v>#N/A</v>
      </c>
      <c r="F300" s="357" t="e">
        <f t="shared" si="51"/>
        <v>#N/A</v>
      </c>
      <c r="G300" s="621" t="e">
        <f t="shared" si="52"/>
        <v>#N/A</v>
      </c>
      <c r="H300" s="618" t="e">
        <f t="shared" si="53"/>
        <v>#N/A</v>
      </c>
      <c r="I300" s="650" t="e">
        <f t="shared" si="54"/>
        <v>#N/A</v>
      </c>
      <c r="J300" s="417" t="e">
        <f t="shared" si="55"/>
        <v>#N/A</v>
      </c>
      <c r="K300" s="417"/>
      <c r="L300" s="338" t="e">
        <f>RANK($N300,$N$284:$N$302,0)+COUNTIF($N$284:$N300,$N300)-1</f>
        <v>#VALUE!</v>
      </c>
      <c r="M300" s="44" t="s">
        <v>96</v>
      </c>
      <c r="N300" s="622" t="str">
        <f>IF(Data!$MZ$71="&lt;11",0,Data!$MZ$71)</f>
        <v/>
      </c>
      <c r="O300" s="618" t="str">
        <f>Data!$VL$71</f>
        <v/>
      </c>
      <c r="P300" s="622" t="str">
        <f>IF(Data!$MZ$72="&lt;11",0,Data!$MZ$72)</f>
        <v/>
      </c>
      <c r="Q300" s="618" t="str">
        <f>Data!$VL$72</f>
        <v/>
      </c>
      <c r="R300" s="622">
        <f>IF(Data!$MZ$62="&lt;11",0,Data!$MZ$62)</f>
        <v>1639</v>
      </c>
      <c r="S300" s="618">
        <f>Data!$VL$62</f>
        <v>6.0000000000000001E-3</v>
      </c>
    </row>
    <row r="301" spans="1:19" x14ac:dyDescent="0.35">
      <c r="A301" s="328">
        <v>18</v>
      </c>
      <c r="B301" s="19" t="e">
        <f t="shared" si="47"/>
        <v>#N/A</v>
      </c>
      <c r="C301" s="621" t="e">
        <f t="shared" si="48"/>
        <v>#N/A</v>
      </c>
      <c r="D301" s="357" t="e">
        <f t="shared" si="49"/>
        <v>#N/A</v>
      </c>
      <c r="E301" s="621" t="e">
        <f t="shared" si="50"/>
        <v>#N/A</v>
      </c>
      <c r="F301" s="357" t="e">
        <f t="shared" si="51"/>
        <v>#N/A</v>
      </c>
      <c r="G301" s="621" t="e">
        <f t="shared" si="52"/>
        <v>#N/A</v>
      </c>
      <c r="H301" s="618" t="e">
        <f t="shared" si="53"/>
        <v>#N/A</v>
      </c>
      <c r="I301" s="650" t="e">
        <f t="shared" si="54"/>
        <v>#N/A</v>
      </c>
      <c r="J301" s="417" t="e">
        <f t="shared" si="55"/>
        <v>#N/A</v>
      </c>
      <c r="K301" s="417"/>
      <c r="L301" s="338" t="e">
        <f>RANK($N301,$N$284:$N$302,0)+COUNTIF($N$284:$N301,$N301)-1</f>
        <v>#VALUE!</v>
      </c>
      <c r="M301" s="44" t="s">
        <v>97</v>
      </c>
      <c r="N301" s="622" t="str">
        <f>IF(Data!$NA$71="&lt;11",0,Data!$NA$71)</f>
        <v/>
      </c>
      <c r="O301" s="618" t="str">
        <f>Data!$VM$71</f>
        <v/>
      </c>
      <c r="P301" s="622" t="str">
        <f>IF(Data!$NA$72="&lt;11",0,Data!$NA$72)</f>
        <v/>
      </c>
      <c r="Q301" s="618" t="str">
        <f>Data!$VM$72</f>
        <v/>
      </c>
      <c r="R301" s="622">
        <f>IF(Data!$NA$62="&lt;11",0,Data!$NA$62)</f>
        <v>8936</v>
      </c>
      <c r="S301" s="618">
        <f>Data!$VM$62</f>
        <v>3.4000000000000002E-2</v>
      </c>
    </row>
    <row r="302" spans="1:19" x14ac:dyDescent="0.35">
      <c r="A302" s="328">
        <v>19</v>
      </c>
      <c r="B302" s="19" t="e">
        <f t="shared" si="47"/>
        <v>#N/A</v>
      </c>
      <c r="C302" s="621" t="e">
        <f t="shared" si="48"/>
        <v>#N/A</v>
      </c>
      <c r="D302" s="357" t="e">
        <f t="shared" si="49"/>
        <v>#N/A</v>
      </c>
      <c r="E302" s="621" t="e">
        <f t="shared" si="50"/>
        <v>#N/A</v>
      </c>
      <c r="F302" s="357" t="e">
        <f t="shared" si="51"/>
        <v>#N/A</v>
      </c>
      <c r="G302" s="621" t="e">
        <f t="shared" si="52"/>
        <v>#N/A</v>
      </c>
      <c r="H302" s="618" t="e">
        <f t="shared" si="53"/>
        <v>#N/A</v>
      </c>
      <c r="I302" s="650" t="e">
        <f t="shared" si="54"/>
        <v>#N/A</v>
      </c>
      <c r="J302" s="417" t="e">
        <f t="shared" si="55"/>
        <v>#N/A</v>
      </c>
      <c r="K302" s="417"/>
      <c r="L302" s="338" t="e">
        <f>RANK($N302,$N$284:$N$302,0)+COUNTIF($N$284:$N302,$N302)-1</f>
        <v>#VALUE!</v>
      </c>
      <c r="M302" s="44" t="s">
        <v>98</v>
      </c>
      <c r="N302" s="622" t="str">
        <f>IF(Data!$NB$71="&lt;11",0,Data!$NB$71)</f>
        <v/>
      </c>
      <c r="O302" s="618" t="str">
        <f>Data!$VM$71</f>
        <v/>
      </c>
      <c r="P302" s="622" t="str">
        <f>IF(Data!$NB$72="&lt;11",0,Data!$NB$72)</f>
        <v/>
      </c>
      <c r="Q302" s="618" t="str">
        <f>Data!$VM$72</f>
        <v/>
      </c>
      <c r="R302" s="622">
        <f>IF(Data!$NB$62="&lt;11",0,Data!$NB$62)</f>
        <v>6904</v>
      </c>
      <c r="S302" s="618">
        <f>Data!$VM$62</f>
        <v>3.4000000000000002E-2</v>
      </c>
    </row>
    <row r="305" spans="2:21" x14ac:dyDescent="0.35">
      <c r="B305" s="618" t="str">
        <f>Data!$UV$71</f>
        <v/>
      </c>
      <c r="C305" s="618" t="str">
        <f>Data!$UW$71</f>
        <v/>
      </c>
      <c r="D305" s="618" t="str">
        <f>Data!$UX$71</f>
        <v/>
      </c>
      <c r="E305" s="618" t="str">
        <f>Data!$UY$71</f>
        <v/>
      </c>
      <c r="F305" s="618" t="str">
        <f>Data!$UZ$71</f>
        <v/>
      </c>
      <c r="G305" s="618" t="str">
        <f>Data!$VA$71</f>
        <v/>
      </c>
      <c r="H305" s="618" t="str">
        <f>Data!$VB$71</f>
        <v/>
      </c>
      <c r="I305" s="618" t="str">
        <f>Data!$VC$71</f>
        <v/>
      </c>
      <c r="J305" s="618" t="str">
        <f>Data!$VD$71</f>
        <v/>
      </c>
      <c r="K305" s="618" t="str">
        <f>Data!$VE$71</f>
        <v/>
      </c>
      <c r="L305" s="618" t="str">
        <f>Data!$VF$71</f>
        <v/>
      </c>
      <c r="M305" s="618" t="str">
        <f>Data!$VG$71</f>
        <v/>
      </c>
      <c r="N305" s="618" t="str">
        <f>Data!$VH$71</f>
        <v/>
      </c>
      <c r="O305" s="618" t="str">
        <f>Data!$VI$71</f>
        <v/>
      </c>
      <c r="P305" s="618" t="str">
        <f>Data!$VJ$71</f>
        <v/>
      </c>
      <c r="Q305" s="618" t="str">
        <f>Data!$VK$71</f>
        <v/>
      </c>
      <c r="R305" s="618" t="str">
        <f>Data!$VL$71</f>
        <v/>
      </c>
      <c r="S305" s="618" t="str">
        <f>Data!$VM$71</f>
        <v/>
      </c>
      <c r="T305" s="618" t="str">
        <f>Data!$VM$71</f>
        <v/>
      </c>
      <c r="U305" s="616" t="s">
        <v>748</v>
      </c>
    </row>
  </sheetData>
  <sheetProtection algorithmName="SHA-512" hashValue="8QAvx7c1P/ctUzRnsrg+3+fLwTUQZc5vEAD1kchAqCVYFmq9kLZqTRpVoNDfzR5OZmqMSDG9hWpWt63aVpt91Q==" saltValue="X+j7l7jLaE93oh1QMM0v6w==" spinCount="100000" sheet="1" objects="1" scenarios="1"/>
  <sortState xmlns:xlrd2="http://schemas.microsoft.com/office/spreadsheetml/2017/richdata2" ref="AP32:AQ64">
    <sortCondition ref="AP31"/>
  </sortState>
  <pageMargins left="0.7" right="0.7" top="0.75" bottom="0.75" header="0.3" footer="0.3"/>
  <pageSetup orientation="portrait" horizontalDpi="1200" verticalDpi="1200" r:id="rId1"/>
  <ignoredErrors>
    <ignoredError sqref="R257:R27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WW136"/>
  <sheetViews>
    <sheetView showGridLines="0" showRowColHeaders="0" zoomScale="80" zoomScaleNormal="80" workbookViewId="0">
      <pane xSplit="1" ySplit="3" topLeftCell="B4" activePane="bottomRight" state="frozen"/>
      <selection pane="topRight" activeCell="B1" sqref="B1"/>
      <selection pane="bottomLeft" activeCell="A4" sqref="A4"/>
      <selection pane="bottomRight" activeCell="A4" sqref="A4"/>
    </sheetView>
  </sheetViews>
  <sheetFormatPr defaultColWidth="12.26953125" defaultRowHeight="14.5" x14ac:dyDescent="0.35"/>
  <cols>
    <col min="1" max="1" width="21.453125" style="152" customWidth="1"/>
    <col min="2" max="2" width="14.81640625" style="143" customWidth="1"/>
    <col min="3" max="6" width="17.26953125" style="143" customWidth="1"/>
    <col min="7" max="10" width="21.7265625" style="143" customWidth="1"/>
    <col min="11" max="122" width="17.26953125" style="143" customWidth="1"/>
    <col min="123" max="124" width="17.26953125" style="142" customWidth="1"/>
    <col min="125" max="198" width="17.26953125" style="143" customWidth="1"/>
    <col min="199" max="203" width="17.26953125" style="28" customWidth="1"/>
    <col min="204" max="292" width="17.26953125" style="143" customWidth="1"/>
    <col min="293" max="320" width="17.26953125" style="28" customWidth="1"/>
    <col min="321" max="356" width="12.26953125" style="28"/>
    <col min="357" max="357" width="13.453125" style="28" customWidth="1"/>
    <col min="358" max="361" width="12.26953125" style="28"/>
    <col min="362" max="362" width="12.26953125" style="28" customWidth="1"/>
    <col min="363" max="363" width="13.453125" style="28" customWidth="1"/>
    <col min="364" max="364" width="12.26953125" style="28" customWidth="1"/>
    <col min="365" max="365" width="13.26953125" style="28" customWidth="1"/>
    <col min="366" max="462" width="12.26953125" style="28"/>
    <col min="463" max="463" width="12.453125" style="28" customWidth="1"/>
    <col min="464" max="468" width="12.26953125" style="143"/>
    <col min="469" max="469" width="13.1796875" style="143" customWidth="1"/>
    <col min="470" max="470" width="12.26953125" style="143"/>
    <col min="471" max="471" width="12.81640625" style="143" customWidth="1"/>
    <col min="472" max="481" width="12.26953125" style="143"/>
    <col min="482" max="482" width="12.453125" style="143" customWidth="1"/>
    <col min="483" max="487" width="12.26953125" style="143"/>
    <col min="488" max="488" width="12.54296875" style="143" customWidth="1"/>
    <col min="489" max="489" width="12.26953125" style="143"/>
    <col min="490" max="490" width="12.81640625" style="143" customWidth="1"/>
    <col min="491" max="500" width="12.26953125" style="143"/>
    <col min="501" max="501" width="13.1796875" style="143" customWidth="1"/>
    <col min="502" max="506" width="12.26953125" style="143"/>
    <col min="507" max="507" width="13.26953125" style="143" customWidth="1"/>
    <col min="508" max="508" width="12.26953125" style="143"/>
    <col min="509" max="509" width="12.81640625" style="143" customWidth="1"/>
    <col min="510" max="519" width="12.26953125" style="143"/>
    <col min="520" max="520" width="13.453125" style="143" customWidth="1"/>
    <col min="521" max="525" width="12.26953125" style="143"/>
    <col min="526" max="526" width="13" style="143" customWidth="1"/>
    <col min="527" max="527" width="12.26953125" style="143"/>
    <col min="528" max="528" width="13.54296875" style="143" customWidth="1"/>
    <col min="529" max="544" width="12.26953125" style="143"/>
    <col min="545" max="545" width="13" style="143" customWidth="1"/>
    <col min="546" max="546" width="12.26953125" style="143"/>
    <col min="547" max="547" width="13.81640625" style="143" customWidth="1"/>
    <col min="548" max="557" width="12.26953125" style="143"/>
    <col min="558" max="558" width="12.81640625" style="143" customWidth="1"/>
    <col min="559" max="563" width="12.26953125" style="143"/>
    <col min="564" max="564" width="12.54296875" style="143" customWidth="1"/>
    <col min="565" max="565" width="12.26953125" style="143"/>
    <col min="566" max="566" width="13" style="143" customWidth="1"/>
    <col min="567" max="576" width="12.26953125" style="143"/>
    <col min="577" max="577" width="12.453125" style="143" customWidth="1"/>
    <col min="578" max="582" width="12.26953125" style="143"/>
    <col min="583" max="583" width="12.54296875" style="143" customWidth="1"/>
    <col min="584" max="584" width="12.26953125" style="143"/>
    <col min="585" max="585" width="13.1796875" style="143" customWidth="1"/>
    <col min="586" max="16384" width="12.26953125" style="143"/>
  </cols>
  <sheetData>
    <row r="1" spans="1:621" ht="0.75" customHeight="1" x14ac:dyDescent="0.35">
      <c r="A1" s="141" t="s">
        <v>356</v>
      </c>
      <c r="B1" s="26"/>
      <c r="C1" s="26"/>
      <c r="D1" s="26"/>
      <c r="E1" s="26"/>
      <c r="F1" s="26"/>
      <c r="G1" s="26"/>
      <c r="H1" s="26"/>
      <c r="I1" s="26"/>
      <c r="J1" s="26"/>
      <c r="K1" s="26"/>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GQ1" s="143"/>
      <c r="GR1" s="143"/>
      <c r="GS1" s="143"/>
      <c r="GT1" s="143"/>
      <c r="GU1" s="143"/>
    </row>
    <row r="2" spans="1:621" ht="53.25" customHeight="1" x14ac:dyDescent="0.35">
      <c r="A2" s="144" t="str">
        <f>"All Counties Monthly Data "&amp; CHAR(10) &amp; TEXT(Navigation!$A$6,"mmmm yyyy")</f>
        <v>All Counties Monthly Data 
September 2023</v>
      </c>
      <c r="B2" s="145"/>
      <c r="C2" s="31"/>
      <c r="D2" s="146"/>
      <c r="E2" s="147"/>
      <c r="F2" s="147"/>
      <c r="G2" s="147"/>
      <c r="H2" s="147"/>
      <c r="I2" s="148"/>
      <c r="J2" s="149"/>
      <c r="K2" s="149"/>
      <c r="L2" s="149"/>
      <c r="M2" s="150"/>
      <c r="N2" s="150"/>
      <c r="GQ2" s="143"/>
      <c r="GR2" s="143"/>
      <c r="GS2" s="143"/>
      <c r="GT2" s="143"/>
      <c r="GU2" s="143"/>
      <c r="HZ2" s="615"/>
    </row>
    <row r="3" spans="1:621" s="595" customFormat="1" ht="93.5" thickBot="1" x14ac:dyDescent="0.4">
      <c r="A3" s="761" t="s">
        <v>99</v>
      </c>
      <c r="B3" s="762" t="s">
        <v>9</v>
      </c>
      <c r="C3" s="763" t="s">
        <v>298</v>
      </c>
      <c r="D3" s="764" t="s">
        <v>300</v>
      </c>
      <c r="E3" s="765" t="s">
        <v>66</v>
      </c>
      <c r="F3" s="765" t="s">
        <v>251</v>
      </c>
      <c r="G3" s="766" t="s">
        <v>650</v>
      </c>
      <c r="H3" s="766" t="s">
        <v>651</v>
      </c>
      <c r="I3" s="766" t="s">
        <v>654</v>
      </c>
      <c r="J3" s="766" t="s">
        <v>656</v>
      </c>
      <c r="K3" s="764" t="s">
        <v>308</v>
      </c>
      <c r="L3" s="765" t="s">
        <v>0</v>
      </c>
      <c r="M3" s="764" t="s">
        <v>232</v>
      </c>
      <c r="N3" s="765" t="s">
        <v>1</v>
      </c>
      <c r="O3" s="764" t="s">
        <v>233</v>
      </c>
      <c r="P3" s="767" t="s">
        <v>67</v>
      </c>
      <c r="Q3" s="764" t="s">
        <v>234</v>
      </c>
      <c r="R3" s="767" t="s">
        <v>68</v>
      </c>
      <c r="S3" s="766" t="s">
        <v>235</v>
      </c>
      <c r="T3" s="767" t="s">
        <v>236</v>
      </c>
      <c r="U3" s="766" t="s">
        <v>237</v>
      </c>
      <c r="V3" s="767" t="s">
        <v>238</v>
      </c>
      <c r="W3" s="766" t="s">
        <v>239</v>
      </c>
      <c r="X3" s="767" t="s">
        <v>240</v>
      </c>
      <c r="Y3" s="766" t="s">
        <v>71</v>
      </c>
      <c r="Z3" s="766" t="s">
        <v>72</v>
      </c>
      <c r="AA3" s="766" t="s">
        <v>73</v>
      </c>
      <c r="AB3" s="766" t="s">
        <v>74</v>
      </c>
      <c r="AC3" s="766" t="s">
        <v>69</v>
      </c>
      <c r="AD3" s="766" t="s">
        <v>70</v>
      </c>
      <c r="AE3" s="763" t="s">
        <v>241</v>
      </c>
      <c r="AF3" s="767" t="s">
        <v>78</v>
      </c>
      <c r="AG3" s="763" t="s">
        <v>242</v>
      </c>
      <c r="AH3" s="767" t="s">
        <v>77</v>
      </c>
      <c r="AI3" s="763" t="s">
        <v>243</v>
      </c>
      <c r="AJ3" s="767" t="s">
        <v>76</v>
      </c>
      <c r="AK3" s="763" t="s">
        <v>244</v>
      </c>
      <c r="AL3" s="767" t="s">
        <v>79</v>
      </c>
      <c r="AM3" s="768" t="s">
        <v>80</v>
      </c>
      <c r="AN3" s="768" t="s">
        <v>81</v>
      </c>
      <c r="AO3" s="768" t="s">
        <v>82</v>
      </c>
      <c r="AP3" s="768" t="s">
        <v>83</v>
      </c>
      <c r="AQ3" s="768" t="s">
        <v>129</v>
      </c>
      <c r="AR3" s="768" t="s">
        <v>84</v>
      </c>
      <c r="AS3" s="768" t="s">
        <v>85</v>
      </c>
      <c r="AT3" s="768" t="s">
        <v>86</v>
      </c>
      <c r="AU3" s="768" t="s">
        <v>87</v>
      </c>
      <c r="AV3" s="768" t="s">
        <v>88</v>
      </c>
      <c r="AW3" s="768" t="s">
        <v>89</v>
      </c>
      <c r="AX3" s="768" t="s">
        <v>90</v>
      </c>
      <c r="AY3" s="768" t="s">
        <v>91</v>
      </c>
      <c r="AZ3" s="768" t="s">
        <v>92</v>
      </c>
      <c r="BA3" s="768" t="s">
        <v>93</v>
      </c>
      <c r="BB3" s="768" t="s">
        <v>94</v>
      </c>
      <c r="BC3" s="768" t="s">
        <v>95</v>
      </c>
      <c r="BD3" s="768" t="s">
        <v>301</v>
      </c>
      <c r="BE3" s="768" t="s">
        <v>96</v>
      </c>
      <c r="BF3" s="768" t="s">
        <v>97</v>
      </c>
      <c r="BG3" s="768" t="s">
        <v>98</v>
      </c>
      <c r="BH3" s="768" t="s">
        <v>632</v>
      </c>
      <c r="BI3" s="768" t="s">
        <v>603</v>
      </c>
      <c r="BJ3" s="768" t="s">
        <v>604</v>
      </c>
      <c r="BK3" s="768" t="s">
        <v>605</v>
      </c>
      <c r="BL3" s="768" t="s">
        <v>606</v>
      </c>
      <c r="BM3" s="768" t="s">
        <v>607</v>
      </c>
      <c r="BN3" s="768" t="s">
        <v>608</v>
      </c>
      <c r="BO3" s="768" t="s">
        <v>609</v>
      </c>
      <c r="BP3" s="768" t="s">
        <v>610</v>
      </c>
      <c r="BQ3" s="768" t="s">
        <v>611</v>
      </c>
      <c r="BR3" s="768" t="s">
        <v>612</v>
      </c>
      <c r="BS3" s="768" t="s">
        <v>613</v>
      </c>
      <c r="BT3" s="768" t="s">
        <v>614</v>
      </c>
      <c r="BU3" s="768" t="s">
        <v>615</v>
      </c>
      <c r="BV3" s="768" t="s">
        <v>616</v>
      </c>
      <c r="BW3" s="768" t="s">
        <v>617</v>
      </c>
      <c r="BX3" s="768" t="s">
        <v>618</v>
      </c>
      <c r="BY3" s="768" t="s">
        <v>619</v>
      </c>
      <c r="BZ3" s="768" t="s">
        <v>620</v>
      </c>
      <c r="CA3" s="768" t="s">
        <v>621</v>
      </c>
      <c r="CB3" s="768" t="s">
        <v>622</v>
      </c>
      <c r="CC3" s="768" t="s">
        <v>623</v>
      </c>
      <c r="CD3" s="768" t="s">
        <v>624</v>
      </c>
      <c r="CE3" s="768" t="s">
        <v>625</v>
      </c>
      <c r="CF3" s="768" t="s">
        <v>626</v>
      </c>
      <c r="CG3" s="768" t="s">
        <v>627</v>
      </c>
      <c r="CH3" s="768" t="s">
        <v>628</v>
      </c>
      <c r="CI3" s="768" t="s">
        <v>629</v>
      </c>
      <c r="CJ3" s="768" t="s">
        <v>630</v>
      </c>
      <c r="CK3" s="768" t="s">
        <v>631</v>
      </c>
      <c r="CL3" s="768" t="s">
        <v>725</v>
      </c>
      <c r="CM3" s="768" t="s">
        <v>726</v>
      </c>
      <c r="CN3" s="768" t="s">
        <v>727</v>
      </c>
      <c r="CO3" s="768" t="s">
        <v>202</v>
      </c>
      <c r="CP3" s="768" t="s">
        <v>203</v>
      </c>
      <c r="CQ3" s="768" t="s">
        <v>204</v>
      </c>
      <c r="CR3" s="768" t="s">
        <v>205</v>
      </c>
      <c r="CS3" s="768" t="s">
        <v>206</v>
      </c>
      <c r="CT3" s="768" t="s">
        <v>207</v>
      </c>
      <c r="CU3" s="768" t="s">
        <v>208</v>
      </c>
      <c r="CV3" s="768" t="s">
        <v>209</v>
      </c>
      <c r="CW3" s="768" t="s">
        <v>210</v>
      </c>
      <c r="CX3" s="768" t="s">
        <v>211</v>
      </c>
      <c r="CY3" s="768" t="s">
        <v>212</v>
      </c>
      <c r="CZ3" s="768" t="s">
        <v>213</v>
      </c>
      <c r="DA3" s="768" t="s">
        <v>214</v>
      </c>
      <c r="DB3" s="768" t="s">
        <v>215</v>
      </c>
      <c r="DC3" s="768" t="s">
        <v>216</v>
      </c>
      <c r="DD3" s="768" t="s">
        <v>217</v>
      </c>
      <c r="DE3" s="768" t="s">
        <v>218</v>
      </c>
      <c r="DF3" s="768" t="s">
        <v>219</v>
      </c>
      <c r="DG3" s="768" t="s">
        <v>220</v>
      </c>
      <c r="DH3" s="768" t="s">
        <v>221</v>
      </c>
      <c r="DI3" s="768" t="s">
        <v>222</v>
      </c>
      <c r="DJ3" s="768" t="s">
        <v>223</v>
      </c>
      <c r="DK3" s="768" t="s">
        <v>224</v>
      </c>
      <c r="DL3" s="768" t="s">
        <v>225</v>
      </c>
      <c r="DM3" s="768" t="s">
        <v>226</v>
      </c>
      <c r="DN3" s="768" t="s">
        <v>227</v>
      </c>
      <c r="DO3" s="768" t="s">
        <v>228</v>
      </c>
      <c r="DP3" s="768" t="s">
        <v>229</v>
      </c>
      <c r="DQ3" s="769" t="s">
        <v>230</v>
      </c>
      <c r="DR3" s="769" t="s">
        <v>231</v>
      </c>
      <c r="DS3" s="769" t="s">
        <v>736</v>
      </c>
      <c r="DT3" s="769" t="s">
        <v>737</v>
      </c>
      <c r="DU3" s="769" t="s">
        <v>738</v>
      </c>
      <c r="DV3" s="769" t="s">
        <v>245</v>
      </c>
      <c r="DW3" s="769" t="s">
        <v>383</v>
      </c>
      <c r="DX3" s="769" t="s">
        <v>246</v>
      </c>
      <c r="DY3" s="769" t="s">
        <v>384</v>
      </c>
      <c r="DZ3" s="769" t="s">
        <v>247</v>
      </c>
      <c r="EA3" s="769" t="s">
        <v>385</v>
      </c>
      <c r="EB3" s="769" t="s">
        <v>248</v>
      </c>
      <c r="EC3" s="769" t="s">
        <v>386</v>
      </c>
      <c r="ED3" s="769" t="s">
        <v>249</v>
      </c>
      <c r="EE3" s="769" t="s">
        <v>387</v>
      </c>
      <c r="EF3" s="769" t="s">
        <v>250</v>
      </c>
      <c r="EG3" s="769" t="s">
        <v>388</v>
      </c>
      <c r="EH3" s="770" t="s">
        <v>134</v>
      </c>
      <c r="EI3" s="771" t="s">
        <v>172</v>
      </c>
      <c r="EJ3" s="770" t="s">
        <v>149</v>
      </c>
      <c r="EK3" s="771" t="s">
        <v>176</v>
      </c>
      <c r="EL3" s="770" t="s">
        <v>150</v>
      </c>
      <c r="EM3" s="771" t="s">
        <v>175</v>
      </c>
      <c r="EN3" s="770" t="s">
        <v>135</v>
      </c>
      <c r="EO3" s="771" t="s">
        <v>174</v>
      </c>
      <c r="EP3" s="770" t="s">
        <v>151</v>
      </c>
      <c r="EQ3" s="771" t="s">
        <v>178</v>
      </c>
      <c r="ER3" s="770" t="s">
        <v>152</v>
      </c>
      <c r="ES3" s="771" t="s">
        <v>168</v>
      </c>
      <c r="ET3" s="771" t="s">
        <v>201</v>
      </c>
      <c r="EU3" s="772" t="s">
        <v>154</v>
      </c>
      <c r="EV3" s="771" t="s">
        <v>171</v>
      </c>
      <c r="EW3" s="770" t="s">
        <v>169</v>
      </c>
      <c r="EX3" s="771" t="s">
        <v>170</v>
      </c>
      <c r="EY3" s="770" t="s">
        <v>133</v>
      </c>
      <c r="EZ3" s="771" t="s">
        <v>173</v>
      </c>
      <c r="FA3" s="770" t="s">
        <v>166</v>
      </c>
      <c r="FB3" s="771" t="s">
        <v>167</v>
      </c>
      <c r="FC3" s="770" t="s">
        <v>160</v>
      </c>
      <c r="FD3" s="771" t="s">
        <v>161</v>
      </c>
      <c r="FE3" s="770" t="s">
        <v>130</v>
      </c>
      <c r="FF3" s="771" t="s">
        <v>155</v>
      </c>
      <c r="FG3" s="770" t="s">
        <v>162</v>
      </c>
      <c r="FH3" s="771" t="s">
        <v>163</v>
      </c>
      <c r="FI3" s="770" t="s">
        <v>132</v>
      </c>
      <c r="FJ3" s="771" t="s">
        <v>159</v>
      </c>
      <c r="FK3" s="770" t="s">
        <v>164</v>
      </c>
      <c r="FL3" s="771" t="s">
        <v>165</v>
      </c>
      <c r="FM3" s="770" t="s">
        <v>156</v>
      </c>
      <c r="FN3" s="771" t="s">
        <v>157</v>
      </c>
      <c r="FO3" s="770" t="s">
        <v>131</v>
      </c>
      <c r="FP3" s="771" t="s">
        <v>158</v>
      </c>
      <c r="FQ3" s="770" t="s">
        <v>153</v>
      </c>
      <c r="FR3" s="771" t="s">
        <v>177</v>
      </c>
      <c r="FS3" s="770" t="s">
        <v>191</v>
      </c>
      <c r="FT3" s="771" t="s">
        <v>192</v>
      </c>
      <c r="FU3" s="771" t="s">
        <v>193</v>
      </c>
      <c r="FV3" s="771" t="s">
        <v>194</v>
      </c>
      <c r="FW3" s="771" t="s">
        <v>195</v>
      </c>
      <c r="FX3" s="771" t="s">
        <v>196</v>
      </c>
      <c r="FY3" s="771" t="s">
        <v>197</v>
      </c>
      <c r="FZ3" s="771" t="s">
        <v>198</v>
      </c>
      <c r="GA3" s="771" t="s">
        <v>199</v>
      </c>
      <c r="GB3" s="771" t="s">
        <v>200</v>
      </c>
      <c r="GC3" s="773" t="s">
        <v>661</v>
      </c>
      <c r="GD3" s="774" t="s">
        <v>662</v>
      </c>
      <c r="GE3" s="774" t="s">
        <v>273</v>
      </c>
      <c r="GF3" s="774" t="s">
        <v>280</v>
      </c>
      <c r="GG3" s="774" t="s">
        <v>274</v>
      </c>
      <c r="GH3" s="774" t="s">
        <v>275</v>
      </c>
      <c r="GI3" s="774" t="s">
        <v>453</v>
      </c>
      <c r="GJ3" s="774" t="s">
        <v>276</v>
      </c>
      <c r="GK3" s="774" t="s">
        <v>277</v>
      </c>
      <c r="GL3" s="774" t="s">
        <v>454</v>
      </c>
      <c r="GM3" s="775" t="s">
        <v>278</v>
      </c>
      <c r="GN3" s="775" t="s">
        <v>448</v>
      </c>
      <c r="GO3" s="775" t="s">
        <v>389</v>
      </c>
      <c r="GP3" s="775" t="s">
        <v>390</v>
      </c>
      <c r="GQ3" s="775" t="s">
        <v>391</v>
      </c>
      <c r="GR3" s="775" t="s">
        <v>392</v>
      </c>
      <c r="GS3" s="775" t="s">
        <v>393</v>
      </c>
      <c r="GT3" s="769" t="s">
        <v>639</v>
      </c>
      <c r="GU3" s="774" t="s">
        <v>633</v>
      </c>
      <c r="GV3" s="774" t="s">
        <v>634</v>
      </c>
      <c r="GW3" s="774" t="s">
        <v>635</v>
      </c>
      <c r="GX3" s="774" t="s">
        <v>401</v>
      </c>
      <c r="GY3" s="776" t="s">
        <v>636</v>
      </c>
      <c r="GZ3" s="776" t="s">
        <v>637</v>
      </c>
      <c r="HA3" s="776" t="s">
        <v>407</v>
      </c>
      <c r="HB3" s="776" t="s">
        <v>671</v>
      </c>
      <c r="HC3" s="776" t="s">
        <v>672</v>
      </c>
      <c r="HD3" s="776" t="s">
        <v>673</v>
      </c>
      <c r="HE3" s="776" t="s">
        <v>674</v>
      </c>
      <c r="HF3" s="776" t="s">
        <v>675</v>
      </c>
      <c r="HG3" s="776" t="s">
        <v>676</v>
      </c>
      <c r="HH3" s="776" t="s">
        <v>677</v>
      </c>
      <c r="HI3" s="776" t="s">
        <v>678</v>
      </c>
      <c r="HJ3" s="776" t="s">
        <v>679</v>
      </c>
      <c r="HK3" s="776" t="s">
        <v>680</v>
      </c>
      <c r="HL3" s="776" t="s">
        <v>681</v>
      </c>
      <c r="HM3" s="776" t="s">
        <v>682</v>
      </c>
      <c r="HN3" s="776" t="s">
        <v>683</v>
      </c>
      <c r="HO3" s="776" t="s">
        <v>684</v>
      </c>
      <c r="HP3" s="776" t="s">
        <v>685</v>
      </c>
      <c r="HQ3" s="776" t="s">
        <v>686</v>
      </c>
      <c r="HR3" s="776" t="s">
        <v>687</v>
      </c>
      <c r="HS3" s="776" t="s">
        <v>688</v>
      </c>
      <c r="HT3" s="776" t="s">
        <v>689</v>
      </c>
      <c r="HU3" s="776" t="s">
        <v>690</v>
      </c>
      <c r="HV3" s="776" t="s">
        <v>691</v>
      </c>
      <c r="HW3" s="776" t="s">
        <v>692</v>
      </c>
      <c r="HX3" s="776" t="s">
        <v>693</v>
      </c>
      <c r="HY3" s="776" t="s">
        <v>694</v>
      </c>
      <c r="HZ3" s="762" t="s">
        <v>797</v>
      </c>
      <c r="IA3" s="763" t="s">
        <v>798</v>
      </c>
      <c r="IB3" s="764" t="s">
        <v>799</v>
      </c>
      <c r="IC3" s="765" t="s">
        <v>800</v>
      </c>
      <c r="ID3" s="765" t="s">
        <v>801</v>
      </c>
      <c r="IE3" s="766" t="s">
        <v>802</v>
      </c>
      <c r="IF3" s="766" t="s">
        <v>803</v>
      </c>
      <c r="IG3" s="766" t="s">
        <v>804</v>
      </c>
      <c r="IH3" s="766" t="s">
        <v>805</v>
      </c>
      <c r="II3" s="764" t="s">
        <v>806</v>
      </c>
      <c r="IJ3" s="765" t="s">
        <v>807</v>
      </c>
      <c r="IK3" s="764" t="s">
        <v>808</v>
      </c>
      <c r="IL3" s="765" t="s">
        <v>809</v>
      </c>
      <c r="IM3" s="764" t="s">
        <v>810</v>
      </c>
      <c r="IN3" s="767" t="s">
        <v>811</v>
      </c>
      <c r="IO3" s="764" t="s">
        <v>812</v>
      </c>
      <c r="IP3" s="767" t="s">
        <v>813</v>
      </c>
      <c r="IQ3" s="766" t="s">
        <v>814</v>
      </c>
      <c r="IR3" s="767" t="s">
        <v>815</v>
      </c>
      <c r="IS3" s="766" t="s">
        <v>816</v>
      </c>
      <c r="IT3" s="767" t="s">
        <v>817</v>
      </c>
      <c r="IU3" s="766" t="s">
        <v>818</v>
      </c>
      <c r="IV3" s="767" t="s">
        <v>819</v>
      </c>
      <c r="IW3" s="766" t="s">
        <v>820</v>
      </c>
      <c r="IX3" s="766" t="s">
        <v>821</v>
      </c>
      <c r="IY3" s="766" t="s">
        <v>822</v>
      </c>
      <c r="IZ3" s="766" t="s">
        <v>823</v>
      </c>
      <c r="JA3" s="766" t="s">
        <v>824</v>
      </c>
      <c r="JB3" s="766" t="s">
        <v>825</v>
      </c>
      <c r="JC3" s="763" t="s">
        <v>826</v>
      </c>
      <c r="JD3" s="767" t="s">
        <v>827</v>
      </c>
      <c r="JE3" s="763" t="s">
        <v>828</v>
      </c>
      <c r="JF3" s="767" t="s">
        <v>829</v>
      </c>
      <c r="JG3" s="763" t="s">
        <v>830</v>
      </c>
      <c r="JH3" s="767" t="s">
        <v>831</v>
      </c>
      <c r="JI3" s="763" t="s">
        <v>832</v>
      </c>
      <c r="JJ3" s="767" t="s">
        <v>833</v>
      </c>
      <c r="JK3" s="768" t="s">
        <v>834</v>
      </c>
      <c r="JL3" s="768" t="s">
        <v>835</v>
      </c>
      <c r="JM3" s="768" t="s">
        <v>836</v>
      </c>
      <c r="JN3" s="768" t="s">
        <v>837</v>
      </c>
      <c r="JO3" s="768" t="s">
        <v>838</v>
      </c>
      <c r="JP3" s="768" t="s">
        <v>839</v>
      </c>
      <c r="JQ3" s="768" t="s">
        <v>840</v>
      </c>
      <c r="JR3" s="768" t="s">
        <v>841</v>
      </c>
      <c r="JS3" s="768" t="s">
        <v>842</v>
      </c>
      <c r="JT3" s="768" t="s">
        <v>843</v>
      </c>
      <c r="JU3" s="768" t="s">
        <v>844</v>
      </c>
      <c r="JV3" s="768" t="s">
        <v>845</v>
      </c>
      <c r="JW3" s="768" t="s">
        <v>846</v>
      </c>
      <c r="JX3" s="768" t="s">
        <v>847</v>
      </c>
      <c r="JY3" s="768" t="s">
        <v>848</v>
      </c>
      <c r="JZ3" s="768" t="s">
        <v>849</v>
      </c>
      <c r="KA3" s="768" t="s">
        <v>850</v>
      </c>
      <c r="KB3" s="768" t="s">
        <v>851</v>
      </c>
      <c r="KC3" s="768" t="s">
        <v>852</v>
      </c>
      <c r="KD3" s="768" t="s">
        <v>853</v>
      </c>
      <c r="KE3" s="768" t="s">
        <v>854</v>
      </c>
      <c r="KF3" s="768" t="s">
        <v>855</v>
      </c>
      <c r="KG3" s="768" t="s">
        <v>856</v>
      </c>
      <c r="KH3" s="768" t="s">
        <v>857</v>
      </c>
      <c r="KI3" s="768" t="s">
        <v>858</v>
      </c>
      <c r="KJ3" s="768" t="s">
        <v>859</v>
      </c>
      <c r="KK3" s="768" t="s">
        <v>860</v>
      </c>
      <c r="KL3" s="768" t="s">
        <v>861</v>
      </c>
      <c r="KM3" s="768" t="s">
        <v>862</v>
      </c>
      <c r="KN3" s="768" t="s">
        <v>863</v>
      </c>
      <c r="KO3" s="768" t="s">
        <v>864</v>
      </c>
      <c r="KP3" s="768" t="s">
        <v>865</v>
      </c>
      <c r="KQ3" s="768" t="s">
        <v>866</v>
      </c>
      <c r="KR3" s="768" t="s">
        <v>867</v>
      </c>
      <c r="KS3" s="768" t="s">
        <v>868</v>
      </c>
      <c r="KT3" s="768" t="s">
        <v>869</v>
      </c>
      <c r="KU3" s="768" t="s">
        <v>870</v>
      </c>
      <c r="KV3" s="768" t="s">
        <v>871</v>
      </c>
      <c r="KW3" s="768" t="s">
        <v>872</v>
      </c>
      <c r="KX3" s="768" t="s">
        <v>873</v>
      </c>
      <c r="KY3" s="768" t="s">
        <v>874</v>
      </c>
      <c r="KZ3" s="768" t="s">
        <v>875</v>
      </c>
      <c r="LA3" s="768" t="s">
        <v>876</v>
      </c>
      <c r="LB3" s="768" t="s">
        <v>877</v>
      </c>
      <c r="LC3" s="768" t="s">
        <v>878</v>
      </c>
      <c r="LD3" s="768" t="s">
        <v>879</v>
      </c>
      <c r="LE3" s="768" t="s">
        <v>880</v>
      </c>
      <c r="LF3" s="768" t="s">
        <v>881</v>
      </c>
      <c r="LG3" s="768" t="s">
        <v>882</v>
      </c>
      <c r="LH3" s="768" t="s">
        <v>883</v>
      </c>
      <c r="LI3" s="768" t="s">
        <v>884</v>
      </c>
      <c r="LJ3" s="768" t="s">
        <v>885</v>
      </c>
      <c r="LK3" s="768" t="s">
        <v>886</v>
      </c>
      <c r="LL3" s="768" t="s">
        <v>887</v>
      </c>
      <c r="LM3" s="768" t="s">
        <v>888</v>
      </c>
      <c r="LN3" s="768" t="s">
        <v>889</v>
      </c>
      <c r="LO3" s="768" t="s">
        <v>890</v>
      </c>
      <c r="LP3" s="768" t="s">
        <v>891</v>
      </c>
      <c r="LQ3" s="768" t="s">
        <v>892</v>
      </c>
      <c r="LR3" s="768" t="s">
        <v>893</v>
      </c>
      <c r="LS3" s="768" t="s">
        <v>894</v>
      </c>
      <c r="LT3" s="768" t="s">
        <v>895</v>
      </c>
      <c r="LU3" s="768" t="s">
        <v>896</v>
      </c>
      <c r="LV3" s="768" t="s">
        <v>897</v>
      </c>
      <c r="LW3" s="768" t="s">
        <v>898</v>
      </c>
      <c r="LX3" s="768" t="s">
        <v>899</v>
      </c>
      <c r="LY3" s="768" t="s">
        <v>900</v>
      </c>
      <c r="LZ3" s="768" t="s">
        <v>901</v>
      </c>
      <c r="MA3" s="768" t="s">
        <v>902</v>
      </c>
      <c r="MB3" s="768" t="s">
        <v>903</v>
      </c>
      <c r="MC3" s="768" t="s">
        <v>904</v>
      </c>
      <c r="MD3" s="768" t="s">
        <v>905</v>
      </c>
      <c r="ME3" s="768" t="s">
        <v>906</v>
      </c>
      <c r="MF3" s="768" t="s">
        <v>907</v>
      </c>
      <c r="MG3" s="768" t="s">
        <v>908</v>
      </c>
      <c r="MH3" s="768" t="s">
        <v>909</v>
      </c>
      <c r="MI3" s="768" t="s">
        <v>910</v>
      </c>
      <c r="MJ3" s="768" t="s">
        <v>911</v>
      </c>
      <c r="MK3" s="768" t="s">
        <v>912</v>
      </c>
      <c r="ML3" s="768" t="s">
        <v>913</v>
      </c>
      <c r="MM3" s="768" t="s">
        <v>914</v>
      </c>
      <c r="MN3" s="768" t="s">
        <v>915</v>
      </c>
      <c r="MO3" s="769" t="s">
        <v>916</v>
      </c>
      <c r="MP3" s="769" t="s">
        <v>917</v>
      </c>
      <c r="MQ3" s="769" t="s">
        <v>918</v>
      </c>
      <c r="MR3" s="769" t="s">
        <v>919</v>
      </c>
      <c r="MS3" s="769" t="s">
        <v>920</v>
      </c>
      <c r="MT3" s="769" t="s">
        <v>921</v>
      </c>
      <c r="MU3" s="769" t="s">
        <v>922</v>
      </c>
      <c r="MV3" s="769" t="s">
        <v>923</v>
      </c>
      <c r="MW3" s="769" t="s">
        <v>924</v>
      </c>
      <c r="MX3" s="769" t="s">
        <v>925</v>
      </c>
      <c r="MY3" s="769" t="s">
        <v>926</v>
      </c>
      <c r="MZ3" s="769" t="s">
        <v>927</v>
      </c>
      <c r="NA3" s="769" t="s">
        <v>928</v>
      </c>
      <c r="NB3" s="769" t="s">
        <v>929</v>
      </c>
      <c r="NC3" s="776" t="s">
        <v>455</v>
      </c>
      <c r="ND3" s="776" t="s">
        <v>456</v>
      </c>
      <c r="NE3" s="776" t="s">
        <v>457</v>
      </c>
      <c r="NF3" s="776" t="s">
        <v>458</v>
      </c>
      <c r="NG3" s="776" t="s">
        <v>459</v>
      </c>
      <c r="NH3" s="776" t="s">
        <v>460</v>
      </c>
      <c r="NI3" s="776" t="s">
        <v>461</v>
      </c>
      <c r="NJ3" s="776" t="s">
        <v>462</v>
      </c>
      <c r="NK3" s="776" t="s">
        <v>463</v>
      </c>
      <c r="NL3" s="776" t="s">
        <v>464</v>
      </c>
      <c r="NM3" s="776" t="s">
        <v>465</v>
      </c>
      <c r="NN3" s="776" t="s">
        <v>466</v>
      </c>
      <c r="NO3" s="776" t="s">
        <v>467</v>
      </c>
      <c r="NP3" s="776" t="s">
        <v>468</v>
      </c>
      <c r="NQ3" s="776" t="s">
        <v>469</v>
      </c>
      <c r="NR3" s="776" t="s">
        <v>470</v>
      </c>
      <c r="NS3" s="776" t="s">
        <v>471</v>
      </c>
      <c r="NT3" s="776" t="s">
        <v>472</v>
      </c>
      <c r="NU3" s="776" t="s">
        <v>473</v>
      </c>
      <c r="NV3" s="776" t="s">
        <v>474</v>
      </c>
      <c r="NW3" s="776" t="s">
        <v>475</v>
      </c>
      <c r="NX3" s="776" t="s">
        <v>476</v>
      </c>
      <c r="NY3" s="776" t="s">
        <v>477</v>
      </c>
      <c r="NZ3" s="776" t="s">
        <v>478</v>
      </c>
      <c r="OA3" s="776" t="s">
        <v>479</v>
      </c>
      <c r="OB3" s="776" t="s">
        <v>480</v>
      </c>
      <c r="OC3" s="776" t="s">
        <v>481</v>
      </c>
      <c r="OD3" s="776" t="s">
        <v>482</v>
      </c>
      <c r="OE3" s="776" t="s">
        <v>483</v>
      </c>
      <c r="OF3" s="776" t="s">
        <v>484</v>
      </c>
      <c r="OG3" s="776" t="s">
        <v>485</v>
      </c>
      <c r="OH3" s="776" t="s">
        <v>486</v>
      </c>
      <c r="OI3" s="776" t="s">
        <v>487</v>
      </c>
      <c r="OJ3" s="776" t="s">
        <v>488</v>
      </c>
      <c r="OK3" s="776" t="s">
        <v>489</v>
      </c>
      <c r="OL3" s="776" t="s">
        <v>490</v>
      </c>
      <c r="OM3" s="776" t="s">
        <v>491</v>
      </c>
      <c r="ON3" s="776" t="s">
        <v>492</v>
      </c>
      <c r="OO3" s="776" t="s">
        <v>493</v>
      </c>
      <c r="OP3" s="776" t="s">
        <v>494</v>
      </c>
      <c r="OQ3" s="776" t="s">
        <v>495</v>
      </c>
      <c r="OR3" s="776" t="s">
        <v>496</v>
      </c>
      <c r="OS3" s="776" t="s">
        <v>497</v>
      </c>
      <c r="OT3" s="776" t="s">
        <v>498</v>
      </c>
      <c r="OU3" s="776" t="s">
        <v>499</v>
      </c>
      <c r="OV3" s="776" t="s">
        <v>500</v>
      </c>
      <c r="OW3" s="776" t="s">
        <v>501</v>
      </c>
      <c r="OX3" s="776" t="s">
        <v>502</v>
      </c>
      <c r="OY3" s="776" t="s">
        <v>503</v>
      </c>
      <c r="OZ3" s="776" t="s">
        <v>504</v>
      </c>
      <c r="PA3" s="776" t="s">
        <v>505</v>
      </c>
      <c r="PB3" s="776" t="s">
        <v>722</v>
      </c>
      <c r="PC3" s="776" t="s">
        <v>723</v>
      </c>
      <c r="PD3" s="776" t="s">
        <v>724</v>
      </c>
      <c r="PE3" s="776" t="s">
        <v>506</v>
      </c>
      <c r="PF3" s="776" t="s">
        <v>507</v>
      </c>
      <c r="PG3" s="776" t="s">
        <v>508</v>
      </c>
      <c r="PH3" s="776" t="s">
        <v>509</v>
      </c>
      <c r="PI3" s="776" t="s">
        <v>510</v>
      </c>
      <c r="PJ3" s="776" t="s">
        <v>511</v>
      </c>
      <c r="PK3" s="776" t="s">
        <v>512</v>
      </c>
      <c r="PL3" s="776" t="s">
        <v>513</v>
      </c>
      <c r="PM3" s="776" t="s">
        <v>514</v>
      </c>
      <c r="PN3" s="776" t="s">
        <v>515</v>
      </c>
      <c r="PO3" s="776" t="s">
        <v>516</v>
      </c>
      <c r="PP3" s="776" t="s">
        <v>517</v>
      </c>
      <c r="PQ3" s="776" t="s">
        <v>518</v>
      </c>
      <c r="PR3" s="776" t="s">
        <v>519</v>
      </c>
      <c r="PS3" s="776" t="s">
        <v>520</v>
      </c>
      <c r="PT3" s="776" t="s">
        <v>521</v>
      </c>
      <c r="PU3" s="776" t="s">
        <v>522</v>
      </c>
      <c r="PV3" s="776" t="s">
        <v>523</v>
      </c>
      <c r="PW3" s="776" t="s">
        <v>524</v>
      </c>
      <c r="PX3" s="776" t="s">
        <v>525</v>
      </c>
      <c r="PY3" s="776" t="s">
        <v>526</v>
      </c>
      <c r="PZ3" s="776" t="s">
        <v>527</v>
      </c>
      <c r="QA3" s="776" t="s">
        <v>528</v>
      </c>
      <c r="QB3" s="776" t="s">
        <v>529</v>
      </c>
      <c r="QC3" s="776" t="s">
        <v>530</v>
      </c>
      <c r="QD3" s="776" t="s">
        <v>531</v>
      </c>
      <c r="QE3" s="776" t="s">
        <v>532</v>
      </c>
      <c r="QF3" s="776" t="s">
        <v>533</v>
      </c>
      <c r="QG3" s="776" t="s">
        <v>534</v>
      </c>
      <c r="QH3" s="776" t="s">
        <v>535</v>
      </c>
      <c r="QI3" s="776" t="s">
        <v>732</v>
      </c>
      <c r="QJ3" s="776" t="s">
        <v>733</v>
      </c>
      <c r="QK3" s="776" t="s">
        <v>734</v>
      </c>
      <c r="QL3" s="762" t="s">
        <v>930</v>
      </c>
      <c r="QM3" s="763" t="s">
        <v>931</v>
      </c>
      <c r="QN3" s="764" t="s">
        <v>932</v>
      </c>
      <c r="QO3" s="765" t="s">
        <v>933</v>
      </c>
      <c r="QP3" s="765" t="s">
        <v>934</v>
      </c>
      <c r="QQ3" s="766" t="s">
        <v>935</v>
      </c>
      <c r="QR3" s="766" t="s">
        <v>936</v>
      </c>
      <c r="QS3" s="766" t="s">
        <v>937</v>
      </c>
      <c r="QT3" s="766" t="s">
        <v>938</v>
      </c>
      <c r="QU3" s="764" t="s">
        <v>939</v>
      </c>
      <c r="QV3" s="765" t="s">
        <v>940</v>
      </c>
      <c r="QW3" s="764" t="s">
        <v>941</v>
      </c>
      <c r="QX3" s="765" t="s">
        <v>942</v>
      </c>
      <c r="QY3" s="764" t="s">
        <v>943</v>
      </c>
      <c r="QZ3" s="767" t="s">
        <v>944</v>
      </c>
      <c r="RA3" s="764" t="s">
        <v>945</v>
      </c>
      <c r="RB3" s="767" t="s">
        <v>946</v>
      </c>
      <c r="RC3" s="766" t="s">
        <v>947</v>
      </c>
      <c r="RD3" s="767" t="s">
        <v>948</v>
      </c>
      <c r="RE3" s="766" t="s">
        <v>949</v>
      </c>
      <c r="RF3" s="767" t="s">
        <v>950</v>
      </c>
      <c r="RG3" s="766" t="s">
        <v>951</v>
      </c>
      <c r="RH3" s="767" t="s">
        <v>952</v>
      </c>
      <c r="RI3" s="766" t="s">
        <v>953</v>
      </c>
      <c r="RJ3" s="766" t="s">
        <v>954</v>
      </c>
      <c r="RK3" s="766" t="s">
        <v>955</v>
      </c>
      <c r="RL3" s="766" t="s">
        <v>956</v>
      </c>
      <c r="RM3" s="766" t="s">
        <v>957</v>
      </c>
      <c r="RN3" s="766" t="s">
        <v>958</v>
      </c>
      <c r="RO3" s="763" t="s">
        <v>959</v>
      </c>
      <c r="RP3" s="767" t="s">
        <v>960</v>
      </c>
      <c r="RQ3" s="763" t="s">
        <v>961</v>
      </c>
      <c r="RR3" s="767" t="s">
        <v>962</v>
      </c>
      <c r="RS3" s="763" t="s">
        <v>963</v>
      </c>
      <c r="RT3" s="767" t="s">
        <v>964</v>
      </c>
      <c r="RU3" s="763" t="s">
        <v>965</v>
      </c>
      <c r="RV3" s="767" t="s">
        <v>966</v>
      </c>
      <c r="RW3" s="768" t="s">
        <v>967</v>
      </c>
      <c r="RX3" s="768" t="s">
        <v>968</v>
      </c>
      <c r="RY3" s="768" t="s">
        <v>969</v>
      </c>
      <c r="RZ3" s="768" t="s">
        <v>970</v>
      </c>
      <c r="SA3" s="768" t="s">
        <v>971</v>
      </c>
      <c r="SB3" s="768" t="s">
        <v>972</v>
      </c>
      <c r="SC3" s="768" t="s">
        <v>973</v>
      </c>
      <c r="SD3" s="768" t="s">
        <v>974</v>
      </c>
      <c r="SE3" s="768" t="s">
        <v>975</v>
      </c>
      <c r="SF3" s="768" t="s">
        <v>976</v>
      </c>
      <c r="SG3" s="768" t="s">
        <v>977</v>
      </c>
      <c r="SH3" s="768" t="s">
        <v>978</v>
      </c>
      <c r="SI3" s="768" t="s">
        <v>979</v>
      </c>
      <c r="SJ3" s="768" t="s">
        <v>980</v>
      </c>
      <c r="SK3" s="768" t="s">
        <v>981</v>
      </c>
      <c r="SL3" s="768" t="s">
        <v>982</v>
      </c>
      <c r="SM3" s="768" t="s">
        <v>983</v>
      </c>
      <c r="SN3" s="768" t="s">
        <v>984</v>
      </c>
      <c r="SO3" s="768" t="s">
        <v>985</v>
      </c>
      <c r="SP3" s="768" t="s">
        <v>986</v>
      </c>
      <c r="SQ3" s="768" t="s">
        <v>987</v>
      </c>
      <c r="SR3" s="768" t="s">
        <v>988</v>
      </c>
      <c r="SS3" s="768" t="s">
        <v>989</v>
      </c>
      <c r="ST3" s="768" t="s">
        <v>990</v>
      </c>
      <c r="SU3" s="768" t="s">
        <v>991</v>
      </c>
      <c r="SV3" s="768" t="s">
        <v>992</v>
      </c>
      <c r="SW3" s="768" t="s">
        <v>993</v>
      </c>
      <c r="SX3" s="768" t="s">
        <v>994</v>
      </c>
      <c r="SY3" s="768" t="s">
        <v>995</v>
      </c>
      <c r="SZ3" s="768" t="s">
        <v>996</v>
      </c>
      <c r="TA3" s="768" t="s">
        <v>997</v>
      </c>
      <c r="TB3" s="768" t="s">
        <v>998</v>
      </c>
      <c r="TC3" s="768" t="s">
        <v>999</v>
      </c>
      <c r="TD3" s="768" t="s">
        <v>1000</v>
      </c>
      <c r="TE3" s="768" t="s">
        <v>1001</v>
      </c>
      <c r="TF3" s="768" t="s">
        <v>1002</v>
      </c>
      <c r="TG3" s="768" t="s">
        <v>1003</v>
      </c>
      <c r="TH3" s="768" t="s">
        <v>1004</v>
      </c>
      <c r="TI3" s="768" t="s">
        <v>1005</v>
      </c>
      <c r="TJ3" s="768" t="s">
        <v>1006</v>
      </c>
      <c r="TK3" s="768" t="s">
        <v>1007</v>
      </c>
      <c r="TL3" s="768" t="s">
        <v>1008</v>
      </c>
      <c r="TM3" s="768" t="s">
        <v>1009</v>
      </c>
      <c r="TN3" s="768" t="s">
        <v>1010</v>
      </c>
      <c r="TO3" s="768" t="s">
        <v>1011</v>
      </c>
      <c r="TP3" s="768" t="s">
        <v>1012</v>
      </c>
      <c r="TQ3" s="768" t="s">
        <v>1013</v>
      </c>
      <c r="TR3" s="768" t="s">
        <v>1014</v>
      </c>
      <c r="TS3" s="768" t="s">
        <v>1015</v>
      </c>
      <c r="TT3" s="768" t="s">
        <v>1016</v>
      </c>
      <c r="TU3" s="768" t="s">
        <v>1017</v>
      </c>
      <c r="TV3" s="768" t="s">
        <v>1018</v>
      </c>
      <c r="TW3" s="768" t="s">
        <v>1019</v>
      </c>
      <c r="TX3" s="768" t="s">
        <v>1020</v>
      </c>
      <c r="TY3" s="768" t="s">
        <v>1021</v>
      </c>
      <c r="TZ3" s="768" t="s">
        <v>1022</v>
      </c>
      <c r="UA3" s="768" t="s">
        <v>1023</v>
      </c>
      <c r="UB3" s="768" t="s">
        <v>1024</v>
      </c>
      <c r="UC3" s="768" t="s">
        <v>1025</v>
      </c>
      <c r="UD3" s="768" t="s">
        <v>1026</v>
      </c>
      <c r="UE3" s="768" t="s">
        <v>1027</v>
      </c>
      <c r="UF3" s="768" t="s">
        <v>1028</v>
      </c>
      <c r="UG3" s="768" t="s">
        <v>1029</v>
      </c>
      <c r="UH3" s="768" t="s">
        <v>1030</v>
      </c>
      <c r="UI3" s="768" t="s">
        <v>1031</v>
      </c>
      <c r="UJ3" s="768" t="s">
        <v>1032</v>
      </c>
      <c r="UK3" s="768" t="s">
        <v>1033</v>
      </c>
      <c r="UL3" s="768" t="s">
        <v>1034</v>
      </c>
      <c r="UM3" s="768" t="s">
        <v>1035</v>
      </c>
      <c r="UN3" s="768" t="s">
        <v>1036</v>
      </c>
      <c r="UO3" s="768" t="s">
        <v>1037</v>
      </c>
      <c r="UP3" s="768" t="s">
        <v>1038</v>
      </c>
      <c r="UQ3" s="768" t="s">
        <v>1039</v>
      </c>
      <c r="UR3" s="768" t="s">
        <v>1040</v>
      </c>
      <c r="US3" s="768" t="s">
        <v>1041</v>
      </c>
      <c r="UT3" s="768" t="s">
        <v>1042</v>
      </c>
      <c r="UU3" s="768" t="s">
        <v>1043</v>
      </c>
      <c r="UV3" s="768" t="s">
        <v>1044</v>
      </c>
      <c r="UW3" s="768" t="s">
        <v>1045</v>
      </c>
      <c r="UX3" s="768" t="s">
        <v>1046</v>
      </c>
      <c r="UY3" s="768" t="s">
        <v>1047</v>
      </c>
      <c r="UZ3" s="768" t="s">
        <v>1048</v>
      </c>
      <c r="VA3" s="769" t="s">
        <v>1049</v>
      </c>
      <c r="VB3" s="769" t="s">
        <v>1050</v>
      </c>
      <c r="VC3" s="769" t="s">
        <v>1051</v>
      </c>
      <c r="VD3" s="769" t="s">
        <v>1052</v>
      </c>
      <c r="VE3" s="769" t="s">
        <v>1053</v>
      </c>
      <c r="VF3" s="769" t="s">
        <v>1054</v>
      </c>
      <c r="VG3" s="769" t="s">
        <v>1055</v>
      </c>
      <c r="VH3" s="769" t="s">
        <v>1056</v>
      </c>
      <c r="VI3" s="769" t="s">
        <v>1057</v>
      </c>
      <c r="VJ3" s="769" t="s">
        <v>1058</v>
      </c>
      <c r="VK3" s="769" t="s">
        <v>1059</v>
      </c>
      <c r="VL3" s="769" t="s">
        <v>1060</v>
      </c>
      <c r="VM3" s="769" t="s">
        <v>1061</v>
      </c>
      <c r="VN3" s="769" t="s">
        <v>1062</v>
      </c>
      <c r="VO3" s="581"/>
      <c r="VP3" s="581"/>
      <c r="VQ3" s="581"/>
      <c r="VR3" s="581"/>
      <c r="VS3" s="581"/>
      <c r="VT3" s="581"/>
      <c r="VU3" s="581"/>
      <c r="VV3" s="581"/>
      <c r="VW3" s="581"/>
      <c r="VX3" s="581"/>
      <c r="VY3" s="581"/>
      <c r="VZ3" s="581"/>
      <c r="WA3" s="581"/>
      <c r="WB3" s="581"/>
      <c r="WC3" s="581"/>
      <c r="WD3" s="581"/>
      <c r="WE3" s="581"/>
      <c r="WF3" s="581"/>
      <c r="WG3" s="581"/>
      <c r="WH3" s="581"/>
      <c r="WI3" s="581"/>
      <c r="WJ3" s="581"/>
      <c r="WK3" s="581"/>
      <c r="WL3" s="581"/>
      <c r="WM3" s="581"/>
      <c r="WN3" s="581"/>
      <c r="WO3" s="581"/>
      <c r="WP3" s="581"/>
      <c r="WQ3" s="581"/>
      <c r="WR3" s="581"/>
      <c r="WS3" s="581"/>
      <c r="WT3" s="581"/>
      <c r="WU3" s="581"/>
      <c r="WV3" s="581"/>
      <c r="WW3" s="581"/>
    </row>
    <row r="4" spans="1:621" s="151" customFormat="1" ht="15.75" customHeight="1" x14ac:dyDescent="0.35">
      <c r="A4" s="777" t="s">
        <v>11</v>
      </c>
      <c r="B4" s="778" t="s">
        <v>12</v>
      </c>
      <c r="C4" s="779">
        <v>18.55</v>
      </c>
      <c r="D4" s="780">
        <v>28257</v>
      </c>
      <c r="E4" s="781">
        <v>3365016.5</v>
      </c>
      <c r="F4" s="781">
        <v>119.1</v>
      </c>
      <c r="G4" s="782">
        <v>28068</v>
      </c>
      <c r="H4" s="782">
        <v>26923</v>
      </c>
      <c r="I4" s="782">
        <v>21961</v>
      </c>
      <c r="J4" s="782">
        <v>16741</v>
      </c>
      <c r="K4" s="782">
        <v>12107</v>
      </c>
      <c r="L4" s="781">
        <v>1930503.6</v>
      </c>
      <c r="M4" s="782">
        <v>16110</v>
      </c>
      <c r="N4" s="781">
        <v>1434512.9</v>
      </c>
      <c r="O4" s="780">
        <v>2033</v>
      </c>
      <c r="P4" s="783">
        <v>352154.1</v>
      </c>
      <c r="Q4" s="780">
        <v>1816</v>
      </c>
      <c r="R4" s="783">
        <v>41019.199999999997</v>
      </c>
      <c r="S4" s="780">
        <v>11327</v>
      </c>
      <c r="T4" s="783">
        <v>1249773.8999999999</v>
      </c>
      <c r="U4" s="780">
        <v>291</v>
      </c>
      <c r="V4" s="783">
        <v>37365.800000000003</v>
      </c>
      <c r="W4" s="780">
        <v>16639</v>
      </c>
      <c r="X4" s="783">
        <v>2077876.8</v>
      </c>
      <c r="Y4" s="780">
        <v>27063</v>
      </c>
      <c r="Z4" s="780">
        <v>12764</v>
      </c>
      <c r="AA4" s="780">
        <v>17367</v>
      </c>
      <c r="AB4" s="780">
        <v>10360</v>
      </c>
      <c r="AC4" s="780">
        <v>992</v>
      </c>
      <c r="AD4" s="780">
        <v>3245</v>
      </c>
      <c r="AE4" s="780">
        <v>12107</v>
      </c>
      <c r="AF4" s="783">
        <v>924964</v>
      </c>
      <c r="AG4" s="780">
        <v>14882</v>
      </c>
      <c r="AH4" s="783">
        <v>2323292.6</v>
      </c>
      <c r="AI4" s="780">
        <v>415</v>
      </c>
      <c r="AJ4" s="783">
        <v>21560.1</v>
      </c>
      <c r="AK4" s="780">
        <v>813</v>
      </c>
      <c r="AL4" s="783">
        <v>95199.8</v>
      </c>
      <c r="AM4" s="784">
        <v>17191</v>
      </c>
      <c r="AN4" s="784">
        <v>11066</v>
      </c>
      <c r="AO4" s="784">
        <v>3307</v>
      </c>
      <c r="AP4" s="784">
        <v>2907</v>
      </c>
      <c r="AQ4" s="784">
        <v>7880</v>
      </c>
      <c r="AR4" s="784">
        <v>1139</v>
      </c>
      <c r="AS4" s="784">
        <v>83</v>
      </c>
      <c r="AT4" s="784">
        <v>1105</v>
      </c>
      <c r="AU4" s="784">
        <v>904</v>
      </c>
      <c r="AV4" s="784" t="s">
        <v>721</v>
      </c>
      <c r="AW4" s="784">
        <v>6199</v>
      </c>
      <c r="AX4" s="784">
        <v>305</v>
      </c>
      <c r="AY4" s="784">
        <v>33</v>
      </c>
      <c r="AZ4" s="784">
        <v>228</v>
      </c>
      <c r="BA4" s="784">
        <v>30</v>
      </c>
      <c r="BB4" s="784">
        <v>1399</v>
      </c>
      <c r="BC4" s="784">
        <v>16</v>
      </c>
      <c r="BD4" s="784" t="s">
        <v>721</v>
      </c>
      <c r="BE4" s="784">
        <v>90</v>
      </c>
      <c r="BF4" s="784">
        <v>1144</v>
      </c>
      <c r="BG4" s="784">
        <v>1480</v>
      </c>
      <c r="BH4" s="784">
        <v>43</v>
      </c>
      <c r="BI4" s="784">
        <v>1819</v>
      </c>
      <c r="BJ4" s="784">
        <v>4626</v>
      </c>
      <c r="BK4" s="784">
        <v>11</v>
      </c>
      <c r="BL4" s="784">
        <v>200</v>
      </c>
      <c r="BM4" s="784">
        <v>445</v>
      </c>
      <c r="BN4" s="784">
        <v>1263</v>
      </c>
      <c r="BO4" s="784">
        <v>15308</v>
      </c>
      <c r="BP4" s="784">
        <v>20</v>
      </c>
      <c r="BQ4" s="784" t="s">
        <v>721</v>
      </c>
      <c r="BR4" s="784">
        <v>1400</v>
      </c>
      <c r="BS4" s="784">
        <v>159</v>
      </c>
      <c r="BT4" s="784">
        <v>274</v>
      </c>
      <c r="BU4" s="784">
        <v>14</v>
      </c>
      <c r="BV4" s="784">
        <v>15</v>
      </c>
      <c r="BW4" s="784">
        <v>151</v>
      </c>
      <c r="BX4" s="784" t="s">
        <v>721</v>
      </c>
      <c r="BY4" s="784">
        <v>38</v>
      </c>
      <c r="BZ4" s="784" t="s">
        <v>721</v>
      </c>
      <c r="CA4" s="784" t="s">
        <v>721</v>
      </c>
      <c r="CB4" s="784" t="s">
        <v>721</v>
      </c>
      <c r="CC4" s="784" t="s">
        <v>721</v>
      </c>
      <c r="CD4" s="784">
        <v>197</v>
      </c>
      <c r="CE4" s="784">
        <v>18</v>
      </c>
      <c r="CF4" s="784" t="s">
        <v>721</v>
      </c>
      <c r="CG4" s="784">
        <v>153</v>
      </c>
      <c r="CH4" s="784">
        <v>13</v>
      </c>
      <c r="CI4" s="784" t="s">
        <v>721</v>
      </c>
      <c r="CJ4" s="784">
        <v>852</v>
      </c>
      <c r="CK4" s="784">
        <v>1120</v>
      </c>
      <c r="CL4" s="784">
        <v>38</v>
      </c>
      <c r="CM4" s="784">
        <v>56</v>
      </c>
      <c r="CN4" s="784" t="s">
        <v>721</v>
      </c>
      <c r="CO4" s="784">
        <v>18</v>
      </c>
      <c r="CP4" s="784">
        <v>1262</v>
      </c>
      <c r="CQ4" s="784">
        <v>2662</v>
      </c>
      <c r="CR4" s="784" t="s">
        <v>721</v>
      </c>
      <c r="CS4" s="784">
        <v>102</v>
      </c>
      <c r="CT4" s="784">
        <v>182</v>
      </c>
      <c r="CU4" s="784">
        <v>391</v>
      </c>
      <c r="CV4" s="784">
        <v>16059</v>
      </c>
      <c r="CW4" s="784">
        <v>4296</v>
      </c>
      <c r="CX4" s="784" t="s">
        <v>721</v>
      </c>
      <c r="CY4" s="784">
        <v>564</v>
      </c>
      <c r="CZ4" s="784">
        <v>566</v>
      </c>
      <c r="DA4" s="784">
        <v>37</v>
      </c>
      <c r="DB4" s="784" t="s">
        <v>721</v>
      </c>
      <c r="DC4" s="784" t="s">
        <v>721</v>
      </c>
      <c r="DD4" s="784">
        <v>20</v>
      </c>
      <c r="DE4" s="784" t="s">
        <v>721</v>
      </c>
      <c r="DF4" s="784">
        <v>13</v>
      </c>
      <c r="DG4" s="784" t="s">
        <v>721</v>
      </c>
      <c r="DH4" s="784" t="s">
        <v>721</v>
      </c>
      <c r="DI4" s="784" t="s">
        <v>721</v>
      </c>
      <c r="DJ4" s="784" t="s">
        <v>721</v>
      </c>
      <c r="DK4" s="784">
        <v>78</v>
      </c>
      <c r="DL4" s="784" t="s">
        <v>721</v>
      </c>
      <c r="DM4" s="784" t="s">
        <v>721</v>
      </c>
      <c r="DN4" s="784">
        <v>96</v>
      </c>
      <c r="DO4" s="784" t="s">
        <v>721</v>
      </c>
      <c r="DP4" s="784" t="s">
        <v>721</v>
      </c>
      <c r="DQ4" s="784">
        <v>164</v>
      </c>
      <c r="DR4" s="784">
        <v>518</v>
      </c>
      <c r="DS4" s="784" t="s">
        <v>721</v>
      </c>
      <c r="DT4" s="784" t="s">
        <v>721</v>
      </c>
      <c r="DU4" s="784" t="s">
        <v>721</v>
      </c>
      <c r="DV4" s="784">
        <v>1450</v>
      </c>
      <c r="DW4" s="785">
        <v>239777</v>
      </c>
      <c r="DX4" s="784">
        <v>3312</v>
      </c>
      <c r="DY4" s="785">
        <v>468763.8</v>
      </c>
      <c r="DZ4" s="784">
        <v>6144</v>
      </c>
      <c r="EA4" s="785">
        <v>688210.5</v>
      </c>
      <c r="EB4" s="784">
        <v>6163</v>
      </c>
      <c r="EC4" s="785">
        <v>647471.19999999995</v>
      </c>
      <c r="ED4" s="784">
        <v>6080</v>
      </c>
      <c r="EE4" s="785">
        <v>651543.80000000005</v>
      </c>
      <c r="EF4" s="784">
        <v>5108</v>
      </c>
      <c r="EG4" s="785">
        <v>669250.19999999995</v>
      </c>
      <c r="EH4" s="786">
        <v>25006</v>
      </c>
      <c r="EI4" s="787">
        <v>80963.5</v>
      </c>
      <c r="EJ4" s="786">
        <v>25112</v>
      </c>
      <c r="EK4" s="787">
        <v>619491.5</v>
      </c>
      <c r="EL4" s="786">
        <v>24842</v>
      </c>
      <c r="EM4" s="787">
        <v>284800.3</v>
      </c>
      <c r="EN4" s="786">
        <v>25332</v>
      </c>
      <c r="EO4" s="787">
        <v>121863.5</v>
      </c>
      <c r="EP4" s="786">
        <v>24858</v>
      </c>
      <c r="EQ4" s="787">
        <v>76517.600000000006</v>
      </c>
      <c r="ER4" s="786">
        <v>24839</v>
      </c>
      <c r="ES4" s="787">
        <v>50553.3</v>
      </c>
      <c r="ET4" s="786">
        <v>9</v>
      </c>
      <c r="EU4" s="786">
        <v>20824</v>
      </c>
      <c r="EV4" s="787">
        <v>345375.4</v>
      </c>
      <c r="EW4" s="786">
        <v>3378</v>
      </c>
      <c r="EX4" s="787">
        <v>23899.1</v>
      </c>
      <c r="EY4" s="786">
        <v>8838</v>
      </c>
      <c r="EZ4" s="787">
        <v>132998.29999999999</v>
      </c>
      <c r="FA4" s="786">
        <v>3021</v>
      </c>
      <c r="FB4" s="787">
        <v>31830.2</v>
      </c>
      <c r="FC4" s="786">
        <v>26143</v>
      </c>
      <c r="FD4" s="787">
        <v>352536.3</v>
      </c>
      <c r="FE4" s="786">
        <v>25324</v>
      </c>
      <c r="FF4" s="787">
        <v>216085</v>
      </c>
      <c r="FG4" s="786">
        <v>12561</v>
      </c>
      <c r="FH4" s="787">
        <v>121490.5</v>
      </c>
      <c r="FI4" s="786">
        <v>21559</v>
      </c>
      <c r="FJ4" s="787">
        <v>152067.1</v>
      </c>
      <c r="FK4" s="786">
        <v>23188</v>
      </c>
      <c r="FL4" s="787">
        <v>86070.5</v>
      </c>
      <c r="FM4" s="786">
        <v>1079</v>
      </c>
      <c r="FN4" s="787">
        <v>2847</v>
      </c>
      <c r="FO4" s="786">
        <v>23770</v>
      </c>
      <c r="FP4" s="787">
        <v>225989.1</v>
      </c>
      <c r="FQ4" s="786">
        <v>21855</v>
      </c>
      <c r="FR4" s="787">
        <v>44549.3</v>
      </c>
      <c r="FS4" s="786">
        <v>298</v>
      </c>
      <c r="FT4" s="787">
        <v>2176.6999999999998</v>
      </c>
      <c r="FU4" s="786">
        <v>0</v>
      </c>
      <c r="FV4" s="787">
        <v>0</v>
      </c>
      <c r="FW4" s="786">
        <v>0</v>
      </c>
      <c r="FX4" s="787">
        <v>0</v>
      </c>
      <c r="FY4" s="786">
        <v>0</v>
      </c>
      <c r="FZ4" s="787">
        <v>0</v>
      </c>
      <c r="GA4" s="786">
        <v>0</v>
      </c>
      <c r="GB4" s="786">
        <v>0</v>
      </c>
      <c r="GC4" s="788">
        <v>0</v>
      </c>
      <c r="GD4" s="789">
        <v>56</v>
      </c>
      <c r="GE4" s="789">
        <v>1088</v>
      </c>
      <c r="GF4" s="789">
        <v>11873</v>
      </c>
      <c r="GG4" s="789">
        <v>64</v>
      </c>
      <c r="GH4" s="789">
        <v>9</v>
      </c>
      <c r="GI4" s="789">
        <v>27</v>
      </c>
      <c r="GJ4" s="789">
        <v>2</v>
      </c>
      <c r="GK4" s="789">
        <v>6070</v>
      </c>
      <c r="GL4" s="789">
        <v>6845</v>
      </c>
      <c r="GM4" s="789">
        <v>13017</v>
      </c>
      <c r="GN4" s="789">
        <v>9938</v>
      </c>
      <c r="GO4" s="789">
        <v>581</v>
      </c>
      <c r="GP4" s="789">
        <v>5</v>
      </c>
      <c r="GQ4" s="789">
        <v>33</v>
      </c>
      <c r="GR4" s="789">
        <v>222</v>
      </c>
      <c r="GS4" s="789">
        <v>260</v>
      </c>
      <c r="GT4" s="790">
        <v>18990</v>
      </c>
      <c r="GU4" s="789">
        <v>60</v>
      </c>
      <c r="GV4" s="791">
        <v>2</v>
      </c>
      <c r="GW4" s="791">
        <v>29</v>
      </c>
      <c r="GX4" s="791">
        <v>91</v>
      </c>
      <c r="GY4" s="792">
        <v>18</v>
      </c>
      <c r="GZ4" s="792">
        <v>38</v>
      </c>
      <c r="HA4" s="792">
        <v>56</v>
      </c>
      <c r="HB4" s="792">
        <v>1</v>
      </c>
      <c r="HC4" s="792">
        <v>4</v>
      </c>
      <c r="HD4" s="792">
        <v>0</v>
      </c>
      <c r="HE4" s="792">
        <v>1</v>
      </c>
      <c r="HF4" s="792">
        <v>0</v>
      </c>
      <c r="HG4" s="792">
        <v>0</v>
      </c>
      <c r="HH4" s="792">
        <v>0</v>
      </c>
      <c r="HI4" s="792">
        <v>0</v>
      </c>
      <c r="HJ4" s="792">
        <v>0</v>
      </c>
      <c r="HK4" s="792">
        <v>0</v>
      </c>
      <c r="HL4" s="792">
        <v>0</v>
      </c>
      <c r="HM4" s="792">
        <v>0</v>
      </c>
      <c r="HN4" s="792">
        <v>0</v>
      </c>
      <c r="HO4" s="792">
        <v>6</v>
      </c>
      <c r="HP4" s="792">
        <v>0</v>
      </c>
      <c r="HQ4" s="792">
        <v>1</v>
      </c>
      <c r="HR4" s="792">
        <v>106</v>
      </c>
      <c r="HS4" s="792">
        <v>0</v>
      </c>
      <c r="HT4" s="792">
        <v>0</v>
      </c>
      <c r="HU4" s="792">
        <v>0</v>
      </c>
      <c r="HV4" s="792">
        <v>0</v>
      </c>
      <c r="HW4" s="792">
        <v>0</v>
      </c>
      <c r="HX4" s="792">
        <v>0</v>
      </c>
      <c r="HY4" s="792">
        <v>0</v>
      </c>
      <c r="HZ4" s="792">
        <v>61</v>
      </c>
      <c r="IA4" s="792">
        <v>89</v>
      </c>
      <c r="IB4" s="792">
        <v>150</v>
      </c>
      <c r="IC4" s="792">
        <v>16</v>
      </c>
      <c r="ID4" s="792" t="s">
        <v>721</v>
      </c>
      <c r="IE4" s="792">
        <v>31</v>
      </c>
      <c r="IF4" s="792">
        <v>56</v>
      </c>
      <c r="IG4" s="792" t="s">
        <v>721</v>
      </c>
      <c r="IH4" s="792">
        <v>76</v>
      </c>
      <c r="II4" s="792" t="s">
        <v>721</v>
      </c>
      <c r="IJ4" s="792" t="s">
        <v>721</v>
      </c>
      <c r="IK4" s="792" t="s">
        <v>721</v>
      </c>
      <c r="IL4" s="792" t="s">
        <v>721</v>
      </c>
      <c r="IM4" s="792">
        <v>16</v>
      </c>
      <c r="IN4" s="792" t="s">
        <v>721</v>
      </c>
      <c r="IO4" s="792" t="s">
        <v>721</v>
      </c>
      <c r="IP4" s="792" t="s">
        <v>721</v>
      </c>
      <c r="IQ4" s="792">
        <v>14</v>
      </c>
      <c r="IR4" s="792">
        <v>53</v>
      </c>
      <c r="IS4" s="792">
        <v>39</v>
      </c>
      <c r="IT4" s="792">
        <v>33</v>
      </c>
      <c r="IU4" s="792">
        <v>73</v>
      </c>
      <c r="IV4" s="792" t="s">
        <v>721</v>
      </c>
      <c r="IW4" s="792" t="s">
        <v>721</v>
      </c>
      <c r="IX4" s="792">
        <v>11</v>
      </c>
      <c r="IY4" s="792">
        <v>31</v>
      </c>
      <c r="IZ4" s="792" t="s">
        <v>721</v>
      </c>
      <c r="JA4" s="792">
        <v>17</v>
      </c>
      <c r="JB4" s="792" t="s">
        <v>721</v>
      </c>
      <c r="JC4" s="792" t="s">
        <v>721</v>
      </c>
      <c r="JD4" s="792" t="s">
        <v>721</v>
      </c>
      <c r="JE4" s="792" t="s">
        <v>721</v>
      </c>
      <c r="JF4" s="792" t="s">
        <v>721</v>
      </c>
      <c r="JG4" s="792" t="s">
        <v>721</v>
      </c>
      <c r="JH4" s="792" t="s">
        <v>721</v>
      </c>
      <c r="JI4" s="792" t="s">
        <v>721</v>
      </c>
      <c r="JJ4" s="792" t="s">
        <v>721</v>
      </c>
      <c r="JK4" s="792">
        <v>31</v>
      </c>
      <c r="JL4" s="793">
        <v>425764.8</v>
      </c>
      <c r="JM4" s="793">
        <v>368769.1</v>
      </c>
      <c r="JN4" s="793">
        <v>930693.9</v>
      </c>
      <c r="JO4" s="793">
        <v>142414.6</v>
      </c>
      <c r="JP4" s="793">
        <v>10042.799999999999</v>
      </c>
      <c r="JQ4" s="793">
        <v>141176.9</v>
      </c>
      <c r="JR4" s="793">
        <v>109139.1</v>
      </c>
      <c r="JS4" s="793">
        <v>657.5</v>
      </c>
      <c r="JT4" s="793">
        <v>666166.1</v>
      </c>
      <c r="JU4" s="793">
        <v>33901</v>
      </c>
      <c r="JV4" s="793">
        <v>4895.6000000000004</v>
      </c>
      <c r="JW4" s="793">
        <v>25311.8</v>
      </c>
      <c r="JX4" s="793">
        <v>4035.6</v>
      </c>
      <c r="JY4" s="793">
        <v>180424.9</v>
      </c>
      <c r="JZ4" s="793">
        <v>1729.7</v>
      </c>
      <c r="KA4" s="793">
        <v>465.4</v>
      </c>
      <c r="KB4" s="793">
        <v>10142</v>
      </c>
      <c r="KC4" s="793">
        <v>133445.79999999999</v>
      </c>
      <c r="KD4" s="793">
        <v>175839.9</v>
      </c>
      <c r="KE4" s="792">
        <v>344</v>
      </c>
      <c r="KF4" s="792">
        <v>367</v>
      </c>
      <c r="KG4" s="792">
        <v>383</v>
      </c>
      <c r="KH4" s="792">
        <v>106</v>
      </c>
      <c r="KI4" s="792">
        <v>11</v>
      </c>
      <c r="KJ4" s="792">
        <v>105</v>
      </c>
      <c r="KK4" s="792">
        <v>68</v>
      </c>
      <c r="KL4" s="792" t="s">
        <v>721</v>
      </c>
      <c r="KM4" s="792">
        <v>259</v>
      </c>
      <c r="KN4" s="792">
        <v>14</v>
      </c>
      <c r="KO4" s="792" t="s">
        <v>721</v>
      </c>
      <c r="KP4" s="792">
        <v>17</v>
      </c>
      <c r="KQ4" s="792" t="s">
        <v>721</v>
      </c>
      <c r="KR4" s="792">
        <v>105</v>
      </c>
      <c r="KS4" s="792" t="s">
        <v>721</v>
      </c>
      <c r="KT4" s="792" t="s">
        <v>721</v>
      </c>
      <c r="KU4" s="792" t="s">
        <v>721</v>
      </c>
      <c r="KV4" s="792">
        <v>62</v>
      </c>
      <c r="KW4" s="792">
        <v>179</v>
      </c>
      <c r="KX4" s="792">
        <v>221</v>
      </c>
      <c r="KY4" s="792">
        <v>321</v>
      </c>
      <c r="KZ4" s="792">
        <v>364</v>
      </c>
      <c r="LA4" s="792">
        <v>107</v>
      </c>
      <c r="LB4" s="792" t="s">
        <v>721</v>
      </c>
      <c r="LC4" s="792">
        <v>113</v>
      </c>
      <c r="LD4" s="792">
        <v>55</v>
      </c>
      <c r="LE4" s="792" t="s">
        <v>721</v>
      </c>
      <c r="LF4" s="792">
        <v>240</v>
      </c>
      <c r="LG4" s="792">
        <v>36</v>
      </c>
      <c r="LH4" s="792" t="s">
        <v>721</v>
      </c>
      <c r="LI4" s="792">
        <v>13</v>
      </c>
      <c r="LJ4" s="792" t="s">
        <v>721</v>
      </c>
      <c r="LK4" s="792">
        <v>132</v>
      </c>
      <c r="LL4" s="792" t="s">
        <v>721</v>
      </c>
      <c r="LM4" s="792" t="s">
        <v>721</v>
      </c>
      <c r="LN4" s="792" t="s">
        <v>721</v>
      </c>
      <c r="LO4" s="792">
        <v>63</v>
      </c>
      <c r="LP4" s="792">
        <v>124</v>
      </c>
      <c r="LQ4" s="792">
        <v>1833</v>
      </c>
      <c r="LR4" s="792">
        <v>1630</v>
      </c>
      <c r="LS4" s="792">
        <v>4606</v>
      </c>
      <c r="LT4" s="792">
        <v>591</v>
      </c>
      <c r="LU4" s="792">
        <v>58</v>
      </c>
      <c r="LV4" s="792">
        <v>552</v>
      </c>
      <c r="LW4" s="792">
        <v>524</v>
      </c>
      <c r="LX4" s="792" t="s">
        <v>721</v>
      </c>
      <c r="LY4" s="792">
        <v>3833</v>
      </c>
      <c r="LZ4" s="792">
        <v>173</v>
      </c>
      <c r="MA4" s="792">
        <v>18</v>
      </c>
      <c r="MB4" s="792">
        <v>154</v>
      </c>
      <c r="MC4" s="792">
        <v>15</v>
      </c>
      <c r="MD4" s="792">
        <v>598</v>
      </c>
      <c r="ME4" s="792" t="s">
        <v>721</v>
      </c>
      <c r="MF4" s="792" t="s">
        <v>721</v>
      </c>
      <c r="MG4" s="792">
        <v>48</v>
      </c>
      <c r="MH4" s="792">
        <v>523</v>
      </c>
      <c r="MI4" s="792">
        <v>943</v>
      </c>
      <c r="MJ4" s="792">
        <v>1466</v>
      </c>
      <c r="MK4" s="792">
        <v>1274</v>
      </c>
      <c r="ML4" s="792">
        <v>3256</v>
      </c>
      <c r="MM4" s="792">
        <v>547</v>
      </c>
      <c r="MN4" s="792">
        <v>25</v>
      </c>
      <c r="MO4" s="792">
        <v>552</v>
      </c>
      <c r="MP4" s="792">
        <v>380</v>
      </c>
      <c r="MQ4" s="792" t="s">
        <v>721</v>
      </c>
      <c r="MR4" s="792">
        <v>2364</v>
      </c>
      <c r="MS4" s="792">
        <v>130</v>
      </c>
      <c r="MT4" s="792">
        <v>15</v>
      </c>
      <c r="MU4" s="792">
        <v>73</v>
      </c>
      <c r="MV4" s="792">
        <v>15</v>
      </c>
      <c r="MW4" s="792">
        <v>798</v>
      </c>
      <c r="MX4" s="792" t="s">
        <v>721</v>
      </c>
      <c r="MY4" s="792" t="s">
        <v>721</v>
      </c>
      <c r="MZ4" s="792">
        <v>42</v>
      </c>
      <c r="NA4" s="792">
        <v>621</v>
      </c>
      <c r="NB4" s="792">
        <v>536</v>
      </c>
      <c r="NC4" s="794">
        <v>0.60799999999999998</v>
      </c>
      <c r="ND4" s="794">
        <v>0.39200000000000002</v>
      </c>
      <c r="NE4" s="794">
        <v>0.11700000000000001</v>
      </c>
      <c r="NF4" s="794">
        <v>0.10299999999999999</v>
      </c>
      <c r="NG4" s="794">
        <v>0.27900000000000003</v>
      </c>
      <c r="NH4" s="794">
        <v>0.04</v>
      </c>
      <c r="NI4" s="794">
        <v>3.0000000000000001E-3</v>
      </c>
      <c r="NJ4" s="794">
        <v>3.9E-2</v>
      </c>
      <c r="NK4" s="794">
        <v>3.2000000000000001E-2</v>
      </c>
      <c r="NL4" s="794" t="s">
        <v>721</v>
      </c>
      <c r="NM4" s="794">
        <v>0.219</v>
      </c>
      <c r="NN4" s="794">
        <v>1.0999999999999999E-2</v>
      </c>
      <c r="NO4" s="794">
        <v>1E-3</v>
      </c>
      <c r="NP4" s="794">
        <v>8.0000000000000002E-3</v>
      </c>
      <c r="NQ4" s="794">
        <v>1E-3</v>
      </c>
      <c r="NR4" s="794">
        <v>0.05</v>
      </c>
      <c r="NS4" s="794">
        <v>1E-3</v>
      </c>
      <c r="NT4" s="794" t="s">
        <v>721</v>
      </c>
      <c r="NU4" s="794">
        <v>3.0000000000000001E-3</v>
      </c>
      <c r="NV4" s="794">
        <v>0.04</v>
      </c>
      <c r="NW4" s="794">
        <v>5.1999999999999998E-2</v>
      </c>
      <c r="NX4" s="794">
        <v>2E-3</v>
      </c>
      <c r="NY4" s="794">
        <v>6.4000000000000001E-2</v>
      </c>
      <c r="NZ4" s="794">
        <v>0.16400000000000001</v>
      </c>
      <c r="OA4" s="794">
        <v>0</v>
      </c>
      <c r="OB4" s="794">
        <v>7.0000000000000001E-3</v>
      </c>
      <c r="OC4" s="794">
        <v>1.6E-2</v>
      </c>
      <c r="OD4" s="794">
        <v>4.4999999999999998E-2</v>
      </c>
      <c r="OE4" s="794">
        <v>0.54200000000000004</v>
      </c>
      <c r="OF4" s="794">
        <v>1E-3</v>
      </c>
      <c r="OG4" s="794" t="s">
        <v>721</v>
      </c>
      <c r="OH4" s="794">
        <v>0.05</v>
      </c>
      <c r="OI4" s="794">
        <v>6.0000000000000001E-3</v>
      </c>
      <c r="OJ4" s="794">
        <v>0.01</v>
      </c>
      <c r="OK4" s="794">
        <v>0</v>
      </c>
      <c r="OL4" s="794">
        <v>1E-3</v>
      </c>
      <c r="OM4" s="794">
        <v>5.0000000000000001E-3</v>
      </c>
      <c r="ON4" s="794" t="s">
        <v>721</v>
      </c>
      <c r="OO4" s="794">
        <v>1E-3</v>
      </c>
      <c r="OP4" s="794" t="s">
        <v>721</v>
      </c>
      <c r="OQ4" s="794" t="s">
        <v>721</v>
      </c>
      <c r="OR4" s="794" t="s">
        <v>721</v>
      </c>
      <c r="OS4" s="794" t="s">
        <v>721</v>
      </c>
      <c r="OT4" s="794">
        <v>7.0000000000000001E-3</v>
      </c>
      <c r="OU4" s="794">
        <v>1E-3</v>
      </c>
      <c r="OV4" s="794" t="s">
        <v>721</v>
      </c>
      <c r="OW4" s="794">
        <v>5.0000000000000001E-3</v>
      </c>
      <c r="OX4" s="794">
        <v>0</v>
      </c>
      <c r="OY4" s="794" t="s">
        <v>721</v>
      </c>
      <c r="OZ4" s="794">
        <v>0.03</v>
      </c>
      <c r="PA4" s="794">
        <v>0.04</v>
      </c>
      <c r="PB4" s="794">
        <v>1E-3</v>
      </c>
      <c r="PC4" s="794">
        <v>2E-3</v>
      </c>
      <c r="PD4" s="794" t="s">
        <v>721</v>
      </c>
      <c r="PE4" s="794">
        <v>1E-3</v>
      </c>
      <c r="PF4" s="794">
        <v>4.7E-2</v>
      </c>
      <c r="PG4" s="794">
        <v>9.8000000000000004E-2</v>
      </c>
      <c r="PH4" s="794" t="s">
        <v>721</v>
      </c>
      <c r="PI4" s="794">
        <v>4.0000000000000001E-3</v>
      </c>
      <c r="PJ4" s="794">
        <v>7.0000000000000001E-3</v>
      </c>
      <c r="PK4" s="794">
        <v>1.4E-2</v>
      </c>
      <c r="PL4" s="794">
        <v>0.59299999999999997</v>
      </c>
      <c r="PM4" s="794">
        <v>0.159</v>
      </c>
      <c r="PN4" s="794" t="s">
        <v>721</v>
      </c>
      <c r="PO4" s="794">
        <v>2.1000000000000001E-2</v>
      </c>
      <c r="PP4" s="794">
        <v>2.1000000000000001E-2</v>
      </c>
      <c r="PQ4" s="794">
        <v>1E-3</v>
      </c>
      <c r="PR4" s="794" t="s">
        <v>721</v>
      </c>
      <c r="PS4" s="794" t="s">
        <v>721</v>
      </c>
      <c r="PT4" s="794">
        <v>1E-3</v>
      </c>
      <c r="PU4" s="794" t="s">
        <v>721</v>
      </c>
      <c r="PV4" s="794">
        <v>0</v>
      </c>
      <c r="PW4" s="794" t="s">
        <v>721</v>
      </c>
      <c r="PX4" s="794" t="s">
        <v>721</v>
      </c>
      <c r="PY4" s="794" t="s">
        <v>721</v>
      </c>
      <c r="PZ4" s="794" t="s">
        <v>721</v>
      </c>
      <c r="QA4" s="794">
        <v>3.0000000000000001E-3</v>
      </c>
      <c r="QB4" s="794" t="s">
        <v>721</v>
      </c>
      <c r="QC4" s="794" t="s">
        <v>721</v>
      </c>
      <c r="QD4" s="794">
        <v>4.0000000000000001E-3</v>
      </c>
      <c r="QE4" s="794" t="s">
        <v>721</v>
      </c>
      <c r="QF4" s="794" t="s">
        <v>721</v>
      </c>
      <c r="QG4" s="794">
        <v>6.0000000000000001E-3</v>
      </c>
      <c r="QH4" s="794">
        <v>1.9E-2</v>
      </c>
      <c r="QI4" s="794" t="s">
        <v>721</v>
      </c>
      <c r="QJ4" s="794" t="s">
        <v>721</v>
      </c>
      <c r="QK4" s="794" t="s">
        <v>721</v>
      </c>
      <c r="QL4" s="794">
        <v>0.105</v>
      </c>
      <c r="QM4" s="794">
        <v>0.153</v>
      </c>
      <c r="QN4" s="794">
        <v>0.25800000000000001</v>
      </c>
      <c r="QO4" s="794">
        <v>2.8000000000000001E-2</v>
      </c>
      <c r="QP4" s="794" t="s">
        <v>721</v>
      </c>
      <c r="QQ4" s="794">
        <v>5.2999999999999999E-2</v>
      </c>
      <c r="QR4" s="794">
        <v>9.6000000000000002E-2</v>
      </c>
      <c r="QS4" s="794" t="s">
        <v>721</v>
      </c>
      <c r="QT4" s="794">
        <v>0.13100000000000001</v>
      </c>
      <c r="QU4" s="794" t="s">
        <v>721</v>
      </c>
      <c r="QV4" s="794" t="s">
        <v>721</v>
      </c>
      <c r="QW4" s="794" t="s">
        <v>721</v>
      </c>
      <c r="QX4" s="794" t="s">
        <v>721</v>
      </c>
      <c r="QY4" s="794">
        <v>2.8000000000000001E-2</v>
      </c>
      <c r="QZ4" s="794" t="s">
        <v>721</v>
      </c>
      <c r="RA4" s="794" t="s">
        <v>721</v>
      </c>
      <c r="RB4" s="794" t="s">
        <v>721</v>
      </c>
      <c r="RC4" s="794">
        <v>2.4E-2</v>
      </c>
      <c r="RD4" s="794">
        <v>9.0999999999999998E-2</v>
      </c>
      <c r="RE4" s="794">
        <v>0.15</v>
      </c>
      <c r="RF4" s="794">
        <v>0.127</v>
      </c>
      <c r="RG4" s="794">
        <v>0.28100000000000003</v>
      </c>
      <c r="RH4" s="794" t="s">
        <v>721</v>
      </c>
      <c r="RI4" s="794" t="s">
        <v>721</v>
      </c>
      <c r="RJ4" s="794">
        <v>4.2000000000000003E-2</v>
      </c>
      <c r="RK4" s="794">
        <v>0.11899999999999999</v>
      </c>
      <c r="RL4" s="794" t="s">
        <v>721</v>
      </c>
      <c r="RM4" s="794">
        <v>6.5000000000000002E-2</v>
      </c>
      <c r="RN4" s="794" t="s">
        <v>721</v>
      </c>
      <c r="RO4" s="794" t="s">
        <v>721</v>
      </c>
      <c r="RP4" s="794" t="s">
        <v>721</v>
      </c>
      <c r="RQ4" s="794" t="s">
        <v>721</v>
      </c>
      <c r="RR4" s="794" t="s">
        <v>721</v>
      </c>
      <c r="RS4" s="794" t="s">
        <v>721</v>
      </c>
      <c r="RT4" s="794" t="s">
        <v>721</v>
      </c>
      <c r="RU4" s="794" t="s">
        <v>721</v>
      </c>
      <c r="RV4" s="794" t="s">
        <v>721</v>
      </c>
      <c r="RW4" s="794">
        <v>0.11899999999999999</v>
      </c>
      <c r="RX4" s="794">
        <v>0.127</v>
      </c>
      <c r="RY4" s="794">
        <v>0.11</v>
      </c>
      <c r="RZ4" s="794">
        <v>0.27700000000000002</v>
      </c>
      <c r="SA4" s="794">
        <v>4.2000000000000003E-2</v>
      </c>
      <c r="SB4" s="794">
        <v>3.0000000000000001E-3</v>
      </c>
      <c r="SC4" s="794">
        <v>4.2000000000000003E-2</v>
      </c>
      <c r="SD4" s="794">
        <v>3.2000000000000001E-2</v>
      </c>
      <c r="SE4" s="794">
        <v>0</v>
      </c>
      <c r="SF4" s="794">
        <v>0.19800000000000001</v>
      </c>
      <c r="SG4" s="794">
        <v>0.01</v>
      </c>
      <c r="SH4" s="794">
        <v>1E-3</v>
      </c>
      <c r="SI4" s="794">
        <v>8.0000000000000002E-3</v>
      </c>
      <c r="SJ4" s="794">
        <v>1E-3</v>
      </c>
      <c r="SK4" s="794">
        <v>5.3999999999999999E-2</v>
      </c>
      <c r="SL4" s="794">
        <v>1E-3</v>
      </c>
      <c r="SM4" s="794">
        <v>0</v>
      </c>
      <c r="SN4" s="794">
        <v>3.0000000000000001E-3</v>
      </c>
      <c r="SO4" s="794">
        <v>0.04</v>
      </c>
      <c r="SP4" s="794">
        <v>5.1999999999999998E-2</v>
      </c>
      <c r="SQ4" s="794">
        <v>0.16900000000000001</v>
      </c>
      <c r="SR4" s="794">
        <v>0.18099999999999999</v>
      </c>
      <c r="SS4" s="794">
        <v>0.188</v>
      </c>
      <c r="ST4" s="794">
        <v>5.1999999999999998E-2</v>
      </c>
      <c r="SU4" s="794">
        <v>5.0000000000000001E-3</v>
      </c>
      <c r="SV4" s="794">
        <v>5.1999999999999998E-2</v>
      </c>
      <c r="SW4" s="794">
        <v>3.3000000000000002E-2</v>
      </c>
      <c r="SX4" s="794" t="s">
        <v>721</v>
      </c>
      <c r="SY4" s="794">
        <v>0.127</v>
      </c>
      <c r="SZ4" s="794">
        <v>7.0000000000000001E-3</v>
      </c>
      <c r="TA4" s="794" t="s">
        <v>721</v>
      </c>
      <c r="TB4" s="794">
        <v>8.0000000000000002E-3</v>
      </c>
      <c r="TC4" s="794" t="s">
        <v>721</v>
      </c>
      <c r="TD4" s="794">
        <v>5.1999999999999998E-2</v>
      </c>
      <c r="TE4" s="794" t="s">
        <v>721</v>
      </c>
      <c r="TF4" s="794" t="s">
        <v>721</v>
      </c>
      <c r="TG4" s="794" t="s">
        <v>721</v>
      </c>
      <c r="TH4" s="794">
        <v>0.03</v>
      </c>
      <c r="TI4" s="794">
        <v>8.7999999999999995E-2</v>
      </c>
      <c r="TJ4" s="794">
        <v>0.122</v>
      </c>
      <c r="TK4" s="794">
        <v>0.17699999999999999</v>
      </c>
      <c r="TL4" s="794">
        <v>0.2</v>
      </c>
      <c r="TM4" s="794">
        <v>5.8999999999999997E-2</v>
      </c>
      <c r="TN4" s="794" t="s">
        <v>721</v>
      </c>
      <c r="TO4" s="794">
        <v>6.2E-2</v>
      </c>
      <c r="TP4" s="794">
        <v>0.03</v>
      </c>
      <c r="TQ4" s="794" t="s">
        <v>721</v>
      </c>
      <c r="TR4" s="794">
        <v>0.13200000000000001</v>
      </c>
      <c r="TS4" s="794">
        <v>0.02</v>
      </c>
      <c r="TT4" s="794" t="s">
        <v>721</v>
      </c>
      <c r="TU4" s="794">
        <v>7.0000000000000001E-3</v>
      </c>
      <c r="TV4" s="794" t="s">
        <v>721</v>
      </c>
      <c r="TW4" s="794">
        <v>7.2999999999999995E-2</v>
      </c>
      <c r="TX4" s="794" t="s">
        <v>721</v>
      </c>
      <c r="TY4" s="794" t="s">
        <v>721</v>
      </c>
      <c r="TZ4" s="794" t="s">
        <v>721</v>
      </c>
      <c r="UA4" s="794">
        <v>3.5000000000000003E-2</v>
      </c>
      <c r="UB4" s="794">
        <v>6.8000000000000005E-2</v>
      </c>
      <c r="UC4" s="794">
        <v>0.114</v>
      </c>
      <c r="UD4" s="794">
        <v>0.10100000000000001</v>
      </c>
      <c r="UE4" s="794">
        <v>0.28599999999999998</v>
      </c>
      <c r="UF4" s="794">
        <v>3.6999999999999998E-2</v>
      </c>
      <c r="UG4" s="794">
        <v>4.0000000000000001E-3</v>
      </c>
      <c r="UH4" s="794">
        <v>3.4000000000000002E-2</v>
      </c>
      <c r="UI4" s="794">
        <v>3.3000000000000002E-2</v>
      </c>
      <c r="UJ4" s="794" t="s">
        <v>721</v>
      </c>
      <c r="UK4" s="794">
        <v>0.23799999999999999</v>
      </c>
      <c r="UL4" s="794">
        <v>1.0999999999999999E-2</v>
      </c>
      <c r="UM4" s="794">
        <v>1E-3</v>
      </c>
      <c r="UN4" s="794">
        <v>0.01</v>
      </c>
      <c r="UO4" s="794">
        <v>1E-3</v>
      </c>
      <c r="UP4" s="794">
        <v>3.6999999999999998E-2</v>
      </c>
      <c r="UQ4" s="794" t="s">
        <v>721</v>
      </c>
      <c r="UR4" s="794" t="s">
        <v>721</v>
      </c>
      <c r="US4" s="794">
        <v>3.0000000000000001E-3</v>
      </c>
      <c r="UT4" s="794">
        <v>3.2000000000000001E-2</v>
      </c>
      <c r="UU4" s="794">
        <v>5.8999999999999997E-2</v>
      </c>
      <c r="UV4" s="794">
        <v>0.121</v>
      </c>
      <c r="UW4" s="794">
        <v>0.105</v>
      </c>
      <c r="UX4" s="794">
        <v>0.26900000000000002</v>
      </c>
      <c r="UY4" s="794">
        <v>4.4999999999999998E-2</v>
      </c>
      <c r="UZ4" s="794">
        <v>2E-3</v>
      </c>
      <c r="VA4" s="794">
        <v>4.5999999999999999E-2</v>
      </c>
      <c r="VB4" s="794">
        <v>3.1E-2</v>
      </c>
      <c r="VC4" s="794" t="s">
        <v>721</v>
      </c>
      <c r="VD4" s="794">
        <v>0.19500000000000001</v>
      </c>
      <c r="VE4" s="794">
        <v>1.0999999999999999E-2</v>
      </c>
      <c r="VF4" s="794">
        <v>1E-3</v>
      </c>
      <c r="VG4" s="794">
        <v>6.0000000000000001E-3</v>
      </c>
      <c r="VH4" s="794">
        <v>1E-3</v>
      </c>
      <c r="VI4" s="794">
        <v>6.6000000000000003E-2</v>
      </c>
      <c r="VJ4" s="794" t="s">
        <v>721</v>
      </c>
      <c r="VK4" s="794" t="s">
        <v>721</v>
      </c>
      <c r="VL4" s="794">
        <v>3.0000000000000001E-3</v>
      </c>
      <c r="VM4" s="794">
        <v>5.0999999999999997E-2</v>
      </c>
      <c r="VN4" s="794">
        <v>4.3999999999999997E-2</v>
      </c>
      <c r="VO4" s="28"/>
      <c r="VP4" s="28"/>
      <c r="VQ4" s="28"/>
      <c r="VR4" s="28"/>
      <c r="VS4" s="28"/>
      <c r="VT4" s="28"/>
      <c r="VU4" s="28"/>
      <c r="VV4" s="28"/>
      <c r="VW4" s="28"/>
      <c r="VX4" s="28"/>
      <c r="VY4" s="28"/>
      <c r="VZ4" s="28"/>
      <c r="WA4" s="28"/>
      <c r="WB4" s="28"/>
      <c r="WC4" s="28"/>
      <c r="WD4" s="28"/>
      <c r="WE4" s="28"/>
      <c r="WF4" s="28"/>
      <c r="WG4" s="28"/>
      <c r="WH4" s="28"/>
      <c r="WI4" s="28"/>
      <c r="WJ4" s="28"/>
      <c r="WK4" s="28"/>
      <c r="WL4" s="28"/>
      <c r="WM4" s="28"/>
      <c r="WN4" s="28"/>
      <c r="WO4" s="28"/>
      <c r="WP4" s="28"/>
      <c r="WQ4" s="28"/>
      <c r="WR4" s="28"/>
      <c r="WS4" s="28"/>
      <c r="WT4" s="28"/>
      <c r="WU4" s="28"/>
      <c r="WV4" s="28"/>
      <c r="WW4" s="28"/>
    </row>
    <row r="5" spans="1:621" s="151" customFormat="1" ht="15.75" customHeight="1" x14ac:dyDescent="0.35">
      <c r="A5" s="477" t="s">
        <v>13</v>
      </c>
      <c r="B5" s="478" t="s">
        <v>75</v>
      </c>
      <c r="C5" s="479">
        <v>16</v>
      </c>
      <c r="D5" s="480">
        <v>22</v>
      </c>
      <c r="E5" s="473">
        <v>2432.6</v>
      </c>
      <c r="F5" s="473">
        <v>110.6</v>
      </c>
      <c r="G5" s="474">
        <v>22</v>
      </c>
      <c r="H5" s="474">
        <v>20</v>
      </c>
      <c r="I5" s="474">
        <v>14</v>
      </c>
      <c r="J5" s="474">
        <v>11</v>
      </c>
      <c r="K5" s="474">
        <v>7</v>
      </c>
      <c r="L5" s="473">
        <v>1291.3</v>
      </c>
      <c r="M5" s="474">
        <v>15</v>
      </c>
      <c r="N5" s="473">
        <v>1141.3</v>
      </c>
      <c r="O5" s="480">
        <v>1</v>
      </c>
      <c r="P5" s="481">
        <v>176.8</v>
      </c>
      <c r="Q5" s="480">
        <v>1</v>
      </c>
      <c r="R5" s="481">
        <v>15.2</v>
      </c>
      <c r="S5" s="480">
        <v>0</v>
      </c>
      <c r="T5" s="481">
        <v>0</v>
      </c>
      <c r="U5" s="480">
        <v>0</v>
      </c>
      <c r="V5" s="481">
        <v>0</v>
      </c>
      <c r="W5" s="480">
        <v>22</v>
      </c>
      <c r="X5" s="481">
        <v>2432.6</v>
      </c>
      <c r="Y5" s="480">
        <v>20</v>
      </c>
      <c r="Z5" s="480">
        <v>7</v>
      </c>
      <c r="AA5" s="480">
        <v>18</v>
      </c>
      <c r="AB5" s="480">
        <v>7</v>
      </c>
      <c r="AC5" s="480">
        <v>1</v>
      </c>
      <c r="AD5" s="480">
        <v>3</v>
      </c>
      <c r="AE5" s="480">
        <v>7</v>
      </c>
      <c r="AF5" s="481">
        <v>480.9</v>
      </c>
      <c r="AG5" s="480">
        <v>15</v>
      </c>
      <c r="AH5" s="481">
        <v>1951.7</v>
      </c>
      <c r="AI5" s="480">
        <v>0</v>
      </c>
      <c r="AJ5" s="481">
        <v>0</v>
      </c>
      <c r="AK5" s="480">
        <v>0</v>
      </c>
      <c r="AL5" s="481">
        <v>0</v>
      </c>
      <c r="AM5" s="482">
        <v>16</v>
      </c>
      <c r="AN5" s="482" t="s">
        <v>721</v>
      </c>
      <c r="AO5" s="482" t="s">
        <v>721</v>
      </c>
      <c r="AP5" s="482" t="s">
        <v>721</v>
      </c>
      <c r="AQ5" s="482" t="s">
        <v>721</v>
      </c>
      <c r="AR5" s="482" t="s">
        <v>721</v>
      </c>
      <c r="AS5" s="482">
        <v>19</v>
      </c>
      <c r="AT5" s="482" t="s">
        <v>721</v>
      </c>
      <c r="AU5" s="482" t="s">
        <v>721</v>
      </c>
      <c r="AV5" s="482" t="s">
        <v>721</v>
      </c>
      <c r="AW5" s="482" t="s">
        <v>721</v>
      </c>
      <c r="AX5" s="482" t="s">
        <v>721</v>
      </c>
      <c r="AY5" s="482" t="s">
        <v>721</v>
      </c>
      <c r="AZ5" s="482" t="s">
        <v>721</v>
      </c>
      <c r="BA5" s="482" t="s">
        <v>721</v>
      </c>
      <c r="BB5" s="482" t="s">
        <v>721</v>
      </c>
      <c r="BC5" s="482" t="s">
        <v>721</v>
      </c>
      <c r="BD5" s="482" t="s">
        <v>721</v>
      </c>
      <c r="BE5" s="482" t="s">
        <v>721</v>
      </c>
      <c r="BF5" s="482" t="s">
        <v>721</v>
      </c>
      <c r="BG5" s="482" t="s">
        <v>721</v>
      </c>
      <c r="BH5" s="482" t="s">
        <v>721</v>
      </c>
      <c r="BI5" s="482" t="s">
        <v>721</v>
      </c>
      <c r="BJ5" s="482" t="s">
        <v>721</v>
      </c>
      <c r="BK5" s="482" t="s">
        <v>721</v>
      </c>
      <c r="BL5" s="482" t="s">
        <v>721</v>
      </c>
      <c r="BM5" s="482" t="s">
        <v>721</v>
      </c>
      <c r="BN5" s="482" t="s">
        <v>721</v>
      </c>
      <c r="BO5" s="482">
        <v>22</v>
      </c>
      <c r="BP5" s="482" t="s">
        <v>721</v>
      </c>
      <c r="BQ5" s="482" t="s">
        <v>721</v>
      </c>
      <c r="BR5" s="482" t="s">
        <v>721</v>
      </c>
      <c r="BS5" s="482" t="s">
        <v>721</v>
      </c>
      <c r="BT5" s="482" t="s">
        <v>721</v>
      </c>
      <c r="BU5" s="482" t="s">
        <v>721</v>
      </c>
      <c r="BV5" s="482" t="s">
        <v>721</v>
      </c>
      <c r="BW5" s="482" t="s">
        <v>721</v>
      </c>
      <c r="BX5" s="482" t="s">
        <v>721</v>
      </c>
      <c r="BY5" s="482" t="s">
        <v>721</v>
      </c>
      <c r="BZ5" s="482" t="s">
        <v>721</v>
      </c>
      <c r="CA5" s="482" t="s">
        <v>721</v>
      </c>
      <c r="CB5" s="482" t="s">
        <v>721</v>
      </c>
      <c r="CC5" s="482" t="s">
        <v>721</v>
      </c>
      <c r="CD5" s="482" t="s">
        <v>721</v>
      </c>
      <c r="CE5" s="482" t="s">
        <v>721</v>
      </c>
      <c r="CF5" s="482" t="s">
        <v>721</v>
      </c>
      <c r="CG5" s="482" t="s">
        <v>721</v>
      </c>
      <c r="CH5" s="482" t="s">
        <v>721</v>
      </c>
      <c r="CI5" s="482" t="s">
        <v>721</v>
      </c>
      <c r="CJ5" s="482" t="s">
        <v>721</v>
      </c>
      <c r="CK5" s="482" t="s">
        <v>721</v>
      </c>
      <c r="CL5" s="482" t="s">
        <v>721</v>
      </c>
      <c r="CM5" s="482" t="s">
        <v>721</v>
      </c>
      <c r="CN5" s="482" t="s">
        <v>721</v>
      </c>
      <c r="CO5" s="482" t="s">
        <v>721</v>
      </c>
      <c r="CP5" s="482" t="s">
        <v>721</v>
      </c>
      <c r="CQ5" s="482" t="s">
        <v>721</v>
      </c>
      <c r="CR5" s="482" t="s">
        <v>721</v>
      </c>
      <c r="CS5" s="482" t="s">
        <v>721</v>
      </c>
      <c r="CT5" s="482" t="s">
        <v>721</v>
      </c>
      <c r="CU5" s="482" t="s">
        <v>721</v>
      </c>
      <c r="CV5" s="482">
        <v>20</v>
      </c>
      <c r="CW5" s="482" t="s">
        <v>721</v>
      </c>
      <c r="CX5" s="482" t="s">
        <v>721</v>
      </c>
      <c r="CY5" s="482" t="s">
        <v>721</v>
      </c>
      <c r="CZ5" s="482" t="s">
        <v>721</v>
      </c>
      <c r="DA5" s="482" t="s">
        <v>721</v>
      </c>
      <c r="DB5" s="482" t="s">
        <v>721</v>
      </c>
      <c r="DC5" s="482" t="s">
        <v>721</v>
      </c>
      <c r="DD5" s="482" t="s">
        <v>721</v>
      </c>
      <c r="DE5" s="482" t="s">
        <v>721</v>
      </c>
      <c r="DF5" s="482" t="s">
        <v>721</v>
      </c>
      <c r="DG5" s="482" t="s">
        <v>721</v>
      </c>
      <c r="DH5" s="482" t="s">
        <v>721</v>
      </c>
      <c r="DI5" s="482" t="s">
        <v>721</v>
      </c>
      <c r="DJ5" s="482" t="s">
        <v>721</v>
      </c>
      <c r="DK5" s="482" t="s">
        <v>721</v>
      </c>
      <c r="DL5" s="482" t="s">
        <v>721</v>
      </c>
      <c r="DM5" s="482" t="s">
        <v>721</v>
      </c>
      <c r="DN5" s="482" t="s">
        <v>721</v>
      </c>
      <c r="DO5" s="482" t="s">
        <v>721</v>
      </c>
      <c r="DP5" s="482" t="s">
        <v>721</v>
      </c>
      <c r="DQ5" s="482" t="s">
        <v>721</v>
      </c>
      <c r="DR5" s="482" t="s">
        <v>721</v>
      </c>
      <c r="DS5" s="483" t="s">
        <v>721</v>
      </c>
      <c r="DT5" s="483" t="s">
        <v>721</v>
      </c>
      <c r="DU5" s="483" t="s">
        <v>721</v>
      </c>
      <c r="DV5" s="482" t="s">
        <v>721</v>
      </c>
      <c r="DW5" s="484">
        <v>283</v>
      </c>
      <c r="DX5" s="482" t="s">
        <v>721</v>
      </c>
      <c r="DY5" s="484">
        <v>617.20000000000005</v>
      </c>
      <c r="DZ5" s="482" t="s">
        <v>721</v>
      </c>
      <c r="EA5" s="484">
        <v>576</v>
      </c>
      <c r="EB5" s="482" t="s">
        <v>721</v>
      </c>
      <c r="EC5" s="484">
        <v>726.6</v>
      </c>
      <c r="ED5" s="482" t="s">
        <v>721</v>
      </c>
      <c r="EE5" s="484">
        <v>229.8</v>
      </c>
      <c r="EF5" s="482" t="s">
        <v>721</v>
      </c>
      <c r="EG5" s="484" t="s">
        <v>721</v>
      </c>
      <c r="EH5" s="485">
        <v>20</v>
      </c>
      <c r="EI5" s="486">
        <v>52.8</v>
      </c>
      <c r="EJ5" s="485">
        <v>20</v>
      </c>
      <c r="EK5" s="486">
        <v>428</v>
      </c>
      <c r="EL5" s="485">
        <v>20</v>
      </c>
      <c r="EM5" s="486">
        <v>151</v>
      </c>
      <c r="EN5" s="485">
        <v>20</v>
      </c>
      <c r="EO5" s="486">
        <v>107.1</v>
      </c>
      <c r="EP5" s="485">
        <v>20</v>
      </c>
      <c r="EQ5" s="486">
        <v>95.2</v>
      </c>
      <c r="ER5" s="485">
        <v>20</v>
      </c>
      <c r="ES5" s="486">
        <v>86.2</v>
      </c>
      <c r="ET5" s="485">
        <v>0</v>
      </c>
      <c r="EU5" s="485">
        <v>15</v>
      </c>
      <c r="EV5" s="486">
        <v>220.3</v>
      </c>
      <c r="EW5" s="485">
        <v>5</v>
      </c>
      <c r="EX5" s="486">
        <v>84.5</v>
      </c>
      <c r="EY5" s="485">
        <v>11</v>
      </c>
      <c r="EZ5" s="486">
        <v>160.6</v>
      </c>
      <c r="FA5" s="485">
        <v>3</v>
      </c>
      <c r="FB5" s="486">
        <v>23.8</v>
      </c>
      <c r="FC5" s="485">
        <v>17</v>
      </c>
      <c r="FD5" s="486">
        <v>191.9</v>
      </c>
      <c r="FE5" s="485">
        <v>18</v>
      </c>
      <c r="FF5" s="486">
        <v>123.5</v>
      </c>
      <c r="FG5" s="485">
        <v>6</v>
      </c>
      <c r="FH5" s="486">
        <v>46.2</v>
      </c>
      <c r="FI5" s="485">
        <v>17</v>
      </c>
      <c r="FJ5" s="486">
        <v>109.5</v>
      </c>
      <c r="FK5" s="485">
        <v>9</v>
      </c>
      <c r="FL5" s="486">
        <v>22.4</v>
      </c>
      <c r="FM5" s="485">
        <v>4</v>
      </c>
      <c r="FN5" s="486">
        <v>9.3000000000000007</v>
      </c>
      <c r="FO5" s="485">
        <v>18</v>
      </c>
      <c r="FP5" s="486">
        <v>187.7</v>
      </c>
      <c r="FQ5" s="485">
        <v>19</v>
      </c>
      <c r="FR5" s="486">
        <v>140.9</v>
      </c>
      <c r="FS5" s="485">
        <v>0</v>
      </c>
      <c r="FT5" s="486">
        <v>0</v>
      </c>
      <c r="FU5" s="485">
        <v>0</v>
      </c>
      <c r="FV5" s="486">
        <v>0</v>
      </c>
      <c r="FW5" s="485">
        <v>0</v>
      </c>
      <c r="FX5" s="486">
        <v>0</v>
      </c>
      <c r="FY5" s="485">
        <v>0</v>
      </c>
      <c r="FZ5" s="486">
        <v>0</v>
      </c>
      <c r="GA5" s="485">
        <v>0</v>
      </c>
      <c r="GB5" s="485">
        <v>0</v>
      </c>
      <c r="GC5" s="487">
        <v>0</v>
      </c>
      <c r="GD5" s="488">
        <v>0</v>
      </c>
      <c r="GE5" s="488">
        <v>0</v>
      </c>
      <c r="GF5" s="488">
        <v>11</v>
      </c>
      <c r="GG5" s="488">
        <v>0</v>
      </c>
      <c r="GH5" s="488">
        <v>0</v>
      </c>
      <c r="GI5" s="488">
        <v>0</v>
      </c>
      <c r="GJ5" s="488">
        <v>0</v>
      </c>
      <c r="GK5" s="488">
        <v>3</v>
      </c>
      <c r="GL5" s="488">
        <v>8</v>
      </c>
      <c r="GM5" s="488">
        <v>11</v>
      </c>
      <c r="GN5" s="488">
        <v>2</v>
      </c>
      <c r="GO5" s="488">
        <v>0</v>
      </c>
      <c r="GP5" s="488">
        <v>0</v>
      </c>
      <c r="GQ5" s="488">
        <v>0</v>
      </c>
      <c r="GR5" s="488">
        <v>0</v>
      </c>
      <c r="GS5" s="488">
        <v>0</v>
      </c>
      <c r="GT5" s="489">
        <v>15</v>
      </c>
      <c r="GU5" s="488">
        <v>0</v>
      </c>
      <c r="GV5" s="490">
        <v>0</v>
      </c>
      <c r="GW5" s="490">
        <v>0</v>
      </c>
      <c r="GX5" s="490">
        <v>0</v>
      </c>
      <c r="GY5" s="491">
        <v>0</v>
      </c>
      <c r="GZ5" s="491">
        <v>0</v>
      </c>
      <c r="HA5" s="491">
        <v>0</v>
      </c>
      <c r="HB5" s="475">
        <v>0</v>
      </c>
      <c r="HC5" s="475">
        <v>0</v>
      </c>
      <c r="HD5" s="475">
        <v>0</v>
      </c>
      <c r="HE5" s="475">
        <v>0</v>
      </c>
      <c r="HF5" s="475">
        <v>0</v>
      </c>
      <c r="HG5" s="475">
        <v>0</v>
      </c>
      <c r="HH5" s="475">
        <v>0</v>
      </c>
      <c r="HI5" s="475">
        <v>0</v>
      </c>
      <c r="HJ5" s="475">
        <v>0</v>
      </c>
      <c r="HK5" s="475">
        <v>0</v>
      </c>
      <c r="HL5" s="475">
        <v>0</v>
      </c>
      <c r="HM5" s="475">
        <v>0</v>
      </c>
      <c r="HN5" s="475">
        <v>0</v>
      </c>
      <c r="HO5" s="475">
        <v>0</v>
      </c>
      <c r="HP5" s="475">
        <v>0</v>
      </c>
      <c r="HQ5" s="475">
        <v>0</v>
      </c>
      <c r="HR5" s="475">
        <v>0</v>
      </c>
      <c r="HS5" s="475">
        <v>0</v>
      </c>
      <c r="HT5" s="475">
        <v>0</v>
      </c>
      <c r="HU5" s="475">
        <v>0</v>
      </c>
      <c r="HV5" s="475">
        <v>0</v>
      </c>
      <c r="HW5" s="475">
        <v>0</v>
      </c>
      <c r="HX5" s="475">
        <v>0</v>
      </c>
      <c r="HY5" s="475">
        <v>0</v>
      </c>
      <c r="HZ5" s="475" t="s">
        <v>721</v>
      </c>
      <c r="IA5" s="475" t="s">
        <v>721</v>
      </c>
      <c r="IB5" s="475" t="s">
        <v>721</v>
      </c>
      <c r="IC5" s="475" t="s">
        <v>721</v>
      </c>
      <c r="ID5" s="475" t="s">
        <v>721</v>
      </c>
      <c r="IE5" s="475" t="s">
        <v>721</v>
      </c>
      <c r="IF5" s="475" t="s">
        <v>721</v>
      </c>
      <c r="IG5" s="475" t="s">
        <v>721</v>
      </c>
      <c r="IH5" s="475" t="s">
        <v>721</v>
      </c>
      <c r="II5" s="475" t="s">
        <v>721</v>
      </c>
      <c r="IJ5" s="475" t="s">
        <v>721</v>
      </c>
      <c r="IK5" s="475" t="s">
        <v>721</v>
      </c>
      <c r="IL5" s="475" t="s">
        <v>721</v>
      </c>
      <c r="IM5" s="475" t="s">
        <v>721</v>
      </c>
      <c r="IN5" s="475" t="s">
        <v>721</v>
      </c>
      <c r="IO5" s="475" t="s">
        <v>721</v>
      </c>
      <c r="IP5" s="475" t="s">
        <v>721</v>
      </c>
      <c r="IQ5" s="475" t="s">
        <v>721</v>
      </c>
      <c r="IR5" s="475" t="s">
        <v>721</v>
      </c>
      <c r="IS5" s="475" t="s">
        <v>721</v>
      </c>
      <c r="IT5" s="475" t="s">
        <v>721</v>
      </c>
      <c r="IU5" s="475" t="s">
        <v>721</v>
      </c>
      <c r="IV5" s="475" t="s">
        <v>721</v>
      </c>
      <c r="IW5" s="475" t="s">
        <v>721</v>
      </c>
      <c r="IX5" s="475" t="s">
        <v>721</v>
      </c>
      <c r="IY5" s="475" t="s">
        <v>721</v>
      </c>
      <c r="IZ5" s="475" t="s">
        <v>721</v>
      </c>
      <c r="JA5" s="475" t="s">
        <v>721</v>
      </c>
      <c r="JB5" s="475" t="s">
        <v>721</v>
      </c>
      <c r="JC5" s="475" t="s">
        <v>721</v>
      </c>
      <c r="JD5" s="475" t="s">
        <v>721</v>
      </c>
      <c r="JE5" s="475" t="s">
        <v>721</v>
      </c>
      <c r="JF5" s="475" t="s">
        <v>721</v>
      </c>
      <c r="JG5" s="475" t="s">
        <v>721</v>
      </c>
      <c r="JH5" s="475" t="s">
        <v>721</v>
      </c>
      <c r="JI5" s="475" t="s">
        <v>721</v>
      </c>
      <c r="JJ5" s="475" t="s">
        <v>721</v>
      </c>
      <c r="JK5" s="475" t="s">
        <v>721</v>
      </c>
      <c r="JL5" s="755">
        <v>431.3</v>
      </c>
      <c r="JM5" s="755" t="s">
        <v>721</v>
      </c>
      <c r="JN5" s="755" t="s">
        <v>721</v>
      </c>
      <c r="JO5" s="755" t="s">
        <v>721</v>
      </c>
      <c r="JP5" s="755">
        <v>2001.3</v>
      </c>
      <c r="JQ5" s="755" t="s">
        <v>721</v>
      </c>
      <c r="JR5" s="755" t="s">
        <v>721</v>
      </c>
      <c r="JS5" s="755" t="s">
        <v>721</v>
      </c>
      <c r="JT5" s="755" t="s">
        <v>721</v>
      </c>
      <c r="JU5" s="755" t="s">
        <v>721</v>
      </c>
      <c r="JV5" s="755" t="s">
        <v>721</v>
      </c>
      <c r="JW5" s="755" t="s">
        <v>721</v>
      </c>
      <c r="JX5" s="755" t="s">
        <v>721</v>
      </c>
      <c r="JY5" s="755" t="s">
        <v>721</v>
      </c>
      <c r="JZ5" s="755" t="s">
        <v>721</v>
      </c>
      <c r="KA5" s="755" t="s">
        <v>721</v>
      </c>
      <c r="KB5" s="755" t="s">
        <v>721</v>
      </c>
      <c r="KC5" s="755" t="s">
        <v>721</v>
      </c>
      <c r="KD5" s="755" t="s">
        <v>721</v>
      </c>
      <c r="KE5" s="475" t="s">
        <v>721</v>
      </c>
      <c r="KF5" s="475" t="s">
        <v>721</v>
      </c>
      <c r="KG5" s="475" t="s">
        <v>721</v>
      </c>
      <c r="KH5" s="475" t="s">
        <v>721</v>
      </c>
      <c r="KI5" s="475" t="s">
        <v>721</v>
      </c>
      <c r="KJ5" s="475" t="s">
        <v>721</v>
      </c>
      <c r="KK5" s="475" t="s">
        <v>721</v>
      </c>
      <c r="KL5" s="475" t="s">
        <v>721</v>
      </c>
      <c r="KM5" s="475" t="s">
        <v>721</v>
      </c>
      <c r="KN5" s="475" t="s">
        <v>721</v>
      </c>
      <c r="KO5" s="475" t="s">
        <v>721</v>
      </c>
      <c r="KP5" s="475" t="s">
        <v>721</v>
      </c>
      <c r="KQ5" s="475" t="s">
        <v>721</v>
      </c>
      <c r="KR5" s="475" t="s">
        <v>721</v>
      </c>
      <c r="KS5" s="475" t="s">
        <v>721</v>
      </c>
      <c r="KT5" s="475" t="s">
        <v>721</v>
      </c>
      <c r="KU5" s="475" t="s">
        <v>721</v>
      </c>
      <c r="KV5" s="475" t="s">
        <v>721</v>
      </c>
      <c r="KW5" s="475" t="s">
        <v>721</v>
      </c>
      <c r="KX5" s="475" t="s">
        <v>721</v>
      </c>
      <c r="KY5" s="475" t="s">
        <v>721</v>
      </c>
      <c r="KZ5" s="475" t="s">
        <v>721</v>
      </c>
      <c r="LA5" s="475" t="s">
        <v>721</v>
      </c>
      <c r="LB5" s="475" t="s">
        <v>721</v>
      </c>
      <c r="LC5" s="475" t="s">
        <v>721</v>
      </c>
      <c r="LD5" s="475" t="s">
        <v>721</v>
      </c>
      <c r="LE5" s="475" t="s">
        <v>721</v>
      </c>
      <c r="LF5" s="475" t="s">
        <v>721</v>
      </c>
      <c r="LG5" s="475" t="s">
        <v>721</v>
      </c>
      <c r="LH5" s="475" t="s">
        <v>721</v>
      </c>
      <c r="LI5" s="475" t="s">
        <v>721</v>
      </c>
      <c r="LJ5" s="475" t="s">
        <v>721</v>
      </c>
      <c r="LK5" s="475" t="s">
        <v>721</v>
      </c>
      <c r="LL5" s="475" t="s">
        <v>721</v>
      </c>
      <c r="LM5" s="475" t="s">
        <v>721</v>
      </c>
      <c r="LN5" s="475" t="s">
        <v>721</v>
      </c>
      <c r="LO5" s="475" t="s">
        <v>721</v>
      </c>
      <c r="LP5" s="475" t="s">
        <v>721</v>
      </c>
      <c r="LQ5" s="475" t="s">
        <v>721</v>
      </c>
      <c r="LR5" s="475" t="s">
        <v>721</v>
      </c>
      <c r="LS5" s="475" t="s">
        <v>721</v>
      </c>
      <c r="LT5" s="475" t="s">
        <v>721</v>
      </c>
      <c r="LU5" s="475">
        <v>13</v>
      </c>
      <c r="LV5" s="475" t="s">
        <v>721</v>
      </c>
      <c r="LW5" s="475" t="s">
        <v>721</v>
      </c>
      <c r="LX5" s="475" t="s">
        <v>721</v>
      </c>
      <c r="LY5" s="475" t="s">
        <v>721</v>
      </c>
      <c r="LZ5" s="475" t="s">
        <v>721</v>
      </c>
      <c r="MA5" s="475" t="s">
        <v>721</v>
      </c>
      <c r="MB5" s="475" t="s">
        <v>721</v>
      </c>
      <c r="MC5" s="475" t="s">
        <v>721</v>
      </c>
      <c r="MD5" s="475" t="s">
        <v>721</v>
      </c>
      <c r="ME5" s="475" t="s">
        <v>721</v>
      </c>
      <c r="MF5" s="475" t="s">
        <v>721</v>
      </c>
      <c r="MG5" s="475" t="s">
        <v>721</v>
      </c>
      <c r="MH5" s="475" t="s">
        <v>721</v>
      </c>
      <c r="MI5" s="475" t="s">
        <v>721</v>
      </c>
      <c r="MJ5" s="475" t="s">
        <v>721</v>
      </c>
      <c r="MK5" s="475" t="s">
        <v>721</v>
      </c>
      <c r="ML5" s="475" t="s">
        <v>721</v>
      </c>
      <c r="MM5" s="475" t="s">
        <v>721</v>
      </c>
      <c r="MN5" s="475" t="s">
        <v>721</v>
      </c>
      <c r="MO5" s="475" t="s">
        <v>721</v>
      </c>
      <c r="MP5" s="475" t="s">
        <v>721</v>
      </c>
      <c r="MQ5" s="475" t="s">
        <v>721</v>
      </c>
      <c r="MR5" s="475" t="s">
        <v>721</v>
      </c>
      <c r="MS5" s="475" t="s">
        <v>721</v>
      </c>
      <c r="MT5" s="475" t="s">
        <v>721</v>
      </c>
      <c r="MU5" s="475" t="s">
        <v>721</v>
      </c>
      <c r="MV5" s="475" t="s">
        <v>721</v>
      </c>
      <c r="MW5" s="475" t="s">
        <v>721</v>
      </c>
      <c r="MX5" s="475" t="s">
        <v>721</v>
      </c>
      <c r="MY5" s="475" t="s">
        <v>721</v>
      </c>
      <c r="MZ5" s="475" t="s">
        <v>721</v>
      </c>
      <c r="NA5" s="475" t="s">
        <v>721</v>
      </c>
      <c r="NB5" s="475" t="s">
        <v>721</v>
      </c>
      <c r="NC5" s="476">
        <v>0.72699999999999998</v>
      </c>
      <c r="ND5" s="476" t="s">
        <v>721</v>
      </c>
      <c r="NE5" s="476" t="s">
        <v>721</v>
      </c>
      <c r="NF5" s="476" t="s">
        <v>721</v>
      </c>
      <c r="NG5" s="476" t="s">
        <v>721</v>
      </c>
      <c r="NH5" s="476" t="s">
        <v>721</v>
      </c>
      <c r="NI5" s="476">
        <v>0.86399999999999999</v>
      </c>
      <c r="NJ5" s="476" t="s">
        <v>721</v>
      </c>
      <c r="NK5" s="476" t="s">
        <v>721</v>
      </c>
      <c r="NL5" s="476" t="s">
        <v>721</v>
      </c>
      <c r="NM5" s="476" t="s">
        <v>721</v>
      </c>
      <c r="NN5" s="476" t="s">
        <v>721</v>
      </c>
      <c r="NO5" s="476" t="s">
        <v>721</v>
      </c>
      <c r="NP5" s="476" t="s">
        <v>721</v>
      </c>
      <c r="NQ5" s="476" t="s">
        <v>721</v>
      </c>
      <c r="NR5" s="476" t="s">
        <v>721</v>
      </c>
      <c r="NS5" s="476" t="s">
        <v>721</v>
      </c>
      <c r="NT5" s="476" t="s">
        <v>721</v>
      </c>
      <c r="NU5" s="476" t="s">
        <v>721</v>
      </c>
      <c r="NV5" s="476" t="s">
        <v>721</v>
      </c>
      <c r="NW5" s="476" t="s">
        <v>721</v>
      </c>
      <c r="NX5" s="476" t="s">
        <v>721</v>
      </c>
      <c r="NY5" s="476" t="s">
        <v>721</v>
      </c>
      <c r="NZ5" s="476" t="s">
        <v>721</v>
      </c>
      <c r="OA5" s="476" t="s">
        <v>721</v>
      </c>
      <c r="OB5" s="476" t="s">
        <v>721</v>
      </c>
      <c r="OC5" s="476" t="s">
        <v>721</v>
      </c>
      <c r="OD5" s="476" t="s">
        <v>721</v>
      </c>
      <c r="OE5" s="476">
        <v>1</v>
      </c>
      <c r="OF5" s="476" t="s">
        <v>721</v>
      </c>
      <c r="OG5" s="476" t="s">
        <v>721</v>
      </c>
      <c r="OH5" s="476" t="s">
        <v>721</v>
      </c>
      <c r="OI5" s="476" t="s">
        <v>721</v>
      </c>
      <c r="OJ5" s="476" t="s">
        <v>721</v>
      </c>
      <c r="OK5" s="476" t="s">
        <v>721</v>
      </c>
      <c r="OL5" s="476" t="s">
        <v>721</v>
      </c>
      <c r="OM5" s="476" t="s">
        <v>721</v>
      </c>
      <c r="ON5" s="476" t="s">
        <v>721</v>
      </c>
      <c r="OO5" s="476" t="s">
        <v>721</v>
      </c>
      <c r="OP5" s="476" t="s">
        <v>721</v>
      </c>
      <c r="OQ5" s="476" t="s">
        <v>721</v>
      </c>
      <c r="OR5" s="476" t="s">
        <v>721</v>
      </c>
      <c r="OS5" s="476" t="s">
        <v>721</v>
      </c>
      <c r="OT5" s="476" t="s">
        <v>721</v>
      </c>
      <c r="OU5" s="476" t="s">
        <v>721</v>
      </c>
      <c r="OV5" s="476" t="s">
        <v>721</v>
      </c>
      <c r="OW5" s="476" t="s">
        <v>721</v>
      </c>
      <c r="OX5" s="476" t="s">
        <v>721</v>
      </c>
      <c r="OY5" s="476" t="s">
        <v>721</v>
      </c>
      <c r="OZ5" s="476" t="s">
        <v>721</v>
      </c>
      <c r="PA5" s="476" t="s">
        <v>721</v>
      </c>
      <c r="PB5" s="476" t="s">
        <v>721</v>
      </c>
      <c r="PC5" s="476" t="s">
        <v>721</v>
      </c>
      <c r="PD5" s="476" t="s">
        <v>721</v>
      </c>
      <c r="PE5" s="476" t="s">
        <v>721</v>
      </c>
      <c r="PF5" s="476" t="s">
        <v>721</v>
      </c>
      <c r="PG5" s="476" t="s">
        <v>721</v>
      </c>
      <c r="PH5" s="476" t="s">
        <v>721</v>
      </c>
      <c r="PI5" s="476" t="s">
        <v>721</v>
      </c>
      <c r="PJ5" s="476" t="s">
        <v>721</v>
      </c>
      <c r="PK5" s="476" t="s">
        <v>721</v>
      </c>
      <c r="PL5" s="476">
        <v>1</v>
      </c>
      <c r="PM5" s="476" t="s">
        <v>721</v>
      </c>
      <c r="PN5" s="476" t="s">
        <v>721</v>
      </c>
      <c r="PO5" s="476" t="s">
        <v>721</v>
      </c>
      <c r="PP5" s="476" t="s">
        <v>721</v>
      </c>
      <c r="PQ5" s="476" t="s">
        <v>721</v>
      </c>
      <c r="PR5" s="476" t="s">
        <v>721</v>
      </c>
      <c r="PS5" s="476" t="s">
        <v>721</v>
      </c>
      <c r="PT5" s="476" t="s">
        <v>721</v>
      </c>
      <c r="PU5" s="476" t="s">
        <v>721</v>
      </c>
      <c r="PV5" s="476" t="s">
        <v>721</v>
      </c>
      <c r="PW5" s="476" t="s">
        <v>721</v>
      </c>
      <c r="PX5" s="476" t="s">
        <v>721</v>
      </c>
      <c r="PY5" s="476" t="s">
        <v>721</v>
      </c>
      <c r="PZ5" s="476" t="s">
        <v>721</v>
      </c>
      <c r="QA5" s="476" t="s">
        <v>721</v>
      </c>
      <c r="QB5" s="476" t="s">
        <v>721</v>
      </c>
      <c r="QC5" s="476" t="s">
        <v>721</v>
      </c>
      <c r="QD5" s="476" t="s">
        <v>721</v>
      </c>
      <c r="QE5" s="476" t="s">
        <v>721</v>
      </c>
      <c r="QF5" s="476" t="s">
        <v>721</v>
      </c>
      <c r="QG5" s="476" t="s">
        <v>721</v>
      </c>
      <c r="QH5" s="476" t="s">
        <v>721</v>
      </c>
      <c r="QI5" s="476" t="s">
        <v>721</v>
      </c>
      <c r="QJ5" s="476" t="s">
        <v>721</v>
      </c>
      <c r="QK5" s="476" t="s">
        <v>721</v>
      </c>
      <c r="QL5" s="476" t="s">
        <v>721</v>
      </c>
      <c r="QM5" s="476" t="s">
        <v>721</v>
      </c>
      <c r="QN5" s="476" t="s">
        <v>721</v>
      </c>
      <c r="QO5" s="476" t="s">
        <v>721</v>
      </c>
      <c r="QP5" s="476" t="s">
        <v>721</v>
      </c>
      <c r="QQ5" s="476" t="s">
        <v>721</v>
      </c>
      <c r="QR5" s="476" t="s">
        <v>721</v>
      </c>
      <c r="QS5" s="476" t="s">
        <v>721</v>
      </c>
      <c r="QT5" s="476" t="s">
        <v>721</v>
      </c>
      <c r="QU5" s="476" t="s">
        <v>721</v>
      </c>
      <c r="QV5" s="476" t="s">
        <v>721</v>
      </c>
      <c r="QW5" s="476" t="s">
        <v>721</v>
      </c>
      <c r="QX5" s="476" t="s">
        <v>721</v>
      </c>
      <c r="QY5" s="476" t="s">
        <v>721</v>
      </c>
      <c r="QZ5" s="476" t="s">
        <v>721</v>
      </c>
      <c r="RA5" s="476" t="s">
        <v>721</v>
      </c>
      <c r="RB5" s="476" t="s">
        <v>721</v>
      </c>
      <c r="RC5" s="476" t="s">
        <v>721</v>
      </c>
      <c r="RD5" s="476" t="s">
        <v>721</v>
      </c>
      <c r="RE5" s="476" t="s">
        <v>721</v>
      </c>
      <c r="RF5" s="476" t="s">
        <v>721</v>
      </c>
      <c r="RG5" s="476" t="s">
        <v>721</v>
      </c>
      <c r="RH5" s="476" t="s">
        <v>721</v>
      </c>
      <c r="RI5" s="476" t="s">
        <v>721</v>
      </c>
      <c r="RJ5" s="476" t="s">
        <v>721</v>
      </c>
      <c r="RK5" s="476" t="s">
        <v>721</v>
      </c>
      <c r="RL5" s="476" t="s">
        <v>721</v>
      </c>
      <c r="RM5" s="476" t="s">
        <v>721</v>
      </c>
      <c r="RN5" s="476" t="s">
        <v>721</v>
      </c>
      <c r="RO5" s="476" t="s">
        <v>721</v>
      </c>
      <c r="RP5" s="476" t="s">
        <v>721</v>
      </c>
      <c r="RQ5" s="476" t="s">
        <v>721</v>
      </c>
      <c r="RR5" s="476" t="s">
        <v>721</v>
      </c>
      <c r="RS5" s="476" t="s">
        <v>721</v>
      </c>
      <c r="RT5" s="476" t="s">
        <v>721</v>
      </c>
      <c r="RU5" s="476" t="s">
        <v>721</v>
      </c>
      <c r="RV5" s="476" t="s">
        <v>721</v>
      </c>
      <c r="RW5" s="476" t="s">
        <v>721</v>
      </c>
      <c r="RX5" s="476">
        <v>0.17699999999999999</v>
      </c>
      <c r="RY5" s="476" t="s">
        <v>721</v>
      </c>
      <c r="RZ5" s="476" t="s">
        <v>721</v>
      </c>
      <c r="SA5" s="476" t="s">
        <v>721</v>
      </c>
      <c r="SB5" s="476">
        <v>0.82299999999999995</v>
      </c>
      <c r="SC5" s="476" t="s">
        <v>721</v>
      </c>
      <c r="SD5" s="476" t="s">
        <v>721</v>
      </c>
      <c r="SE5" s="476" t="s">
        <v>721</v>
      </c>
      <c r="SF5" s="476" t="s">
        <v>721</v>
      </c>
      <c r="SG5" s="476" t="s">
        <v>721</v>
      </c>
      <c r="SH5" s="476" t="s">
        <v>721</v>
      </c>
      <c r="SI5" s="476" t="s">
        <v>721</v>
      </c>
      <c r="SJ5" s="476" t="s">
        <v>721</v>
      </c>
      <c r="SK5" s="476" t="s">
        <v>721</v>
      </c>
      <c r="SL5" s="476" t="s">
        <v>721</v>
      </c>
      <c r="SM5" s="476" t="s">
        <v>721</v>
      </c>
      <c r="SN5" s="476" t="s">
        <v>721</v>
      </c>
      <c r="SO5" s="476" t="s">
        <v>721</v>
      </c>
      <c r="SP5" s="476" t="s">
        <v>721</v>
      </c>
      <c r="SQ5" s="476" t="s">
        <v>721</v>
      </c>
      <c r="SR5" s="476" t="s">
        <v>721</v>
      </c>
      <c r="SS5" s="476" t="s">
        <v>721</v>
      </c>
      <c r="ST5" s="476" t="s">
        <v>721</v>
      </c>
      <c r="SU5" s="476" t="s">
        <v>721</v>
      </c>
      <c r="SV5" s="476" t="s">
        <v>721</v>
      </c>
      <c r="SW5" s="476" t="s">
        <v>721</v>
      </c>
      <c r="SX5" s="476" t="s">
        <v>721</v>
      </c>
      <c r="SY5" s="476" t="s">
        <v>721</v>
      </c>
      <c r="SZ5" s="476" t="s">
        <v>721</v>
      </c>
      <c r="TA5" s="476" t="s">
        <v>721</v>
      </c>
      <c r="TB5" s="476" t="s">
        <v>721</v>
      </c>
      <c r="TC5" s="476" t="s">
        <v>721</v>
      </c>
      <c r="TD5" s="476" t="s">
        <v>721</v>
      </c>
      <c r="TE5" s="476" t="s">
        <v>721</v>
      </c>
      <c r="TF5" s="476" t="s">
        <v>721</v>
      </c>
      <c r="TG5" s="476" t="s">
        <v>721</v>
      </c>
      <c r="TH5" s="476" t="s">
        <v>721</v>
      </c>
      <c r="TI5" s="476" t="s">
        <v>721</v>
      </c>
      <c r="TJ5" s="476" t="s">
        <v>721</v>
      </c>
      <c r="TK5" s="476" t="s">
        <v>721</v>
      </c>
      <c r="TL5" s="476" t="s">
        <v>721</v>
      </c>
      <c r="TM5" s="476" t="s">
        <v>721</v>
      </c>
      <c r="TN5" s="476" t="s">
        <v>721</v>
      </c>
      <c r="TO5" s="476" t="s">
        <v>721</v>
      </c>
      <c r="TP5" s="476" t="s">
        <v>721</v>
      </c>
      <c r="TQ5" s="476" t="s">
        <v>721</v>
      </c>
      <c r="TR5" s="476" t="s">
        <v>721</v>
      </c>
      <c r="TS5" s="476" t="s">
        <v>721</v>
      </c>
      <c r="TT5" s="476" t="s">
        <v>721</v>
      </c>
      <c r="TU5" s="476" t="s">
        <v>721</v>
      </c>
      <c r="TV5" s="476" t="s">
        <v>721</v>
      </c>
      <c r="TW5" s="476" t="s">
        <v>721</v>
      </c>
      <c r="TX5" s="476" t="s">
        <v>721</v>
      </c>
      <c r="TY5" s="476" t="s">
        <v>721</v>
      </c>
      <c r="TZ5" s="476" t="s">
        <v>721</v>
      </c>
      <c r="UA5" s="476" t="s">
        <v>721</v>
      </c>
      <c r="UB5" s="476" t="s">
        <v>721</v>
      </c>
      <c r="UC5" s="476" t="s">
        <v>721</v>
      </c>
      <c r="UD5" s="476" t="s">
        <v>721</v>
      </c>
      <c r="UE5" s="476" t="s">
        <v>721</v>
      </c>
      <c r="UF5" s="476" t="s">
        <v>721</v>
      </c>
      <c r="UG5" s="476">
        <v>0.86699999999999999</v>
      </c>
      <c r="UH5" s="476" t="s">
        <v>721</v>
      </c>
      <c r="UI5" s="476" t="s">
        <v>721</v>
      </c>
      <c r="UJ5" s="476" t="s">
        <v>721</v>
      </c>
      <c r="UK5" s="476" t="s">
        <v>721</v>
      </c>
      <c r="UL5" s="476" t="s">
        <v>721</v>
      </c>
      <c r="UM5" s="476" t="s">
        <v>721</v>
      </c>
      <c r="UN5" s="476" t="s">
        <v>721</v>
      </c>
      <c r="UO5" s="476" t="s">
        <v>721</v>
      </c>
      <c r="UP5" s="476" t="s">
        <v>721</v>
      </c>
      <c r="UQ5" s="476" t="s">
        <v>721</v>
      </c>
      <c r="UR5" s="476" t="s">
        <v>721</v>
      </c>
      <c r="US5" s="476" t="s">
        <v>721</v>
      </c>
      <c r="UT5" s="476" t="s">
        <v>721</v>
      </c>
      <c r="UU5" s="476" t="s">
        <v>721</v>
      </c>
      <c r="UV5" s="476" t="s">
        <v>721</v>
      </c>
      <c r="UW5" s="476" t="s">
        <v>721</v>
      </c>
      <c r="UX5" s="476" t="s">
        <v>721</v>
      </c>
      <c r="UY5" s="476" t="s">
        <v>721</v>
      </c>
      <c r="UZ5" s="476" t="s">
        <v>721</v>
      </c>
      <c r="VA5" s="476" t="s">
        <v>721</v>
      </c>
      <c r="VB5" s="476" t="s">
        <v>721</v>
      </c>
      <c r="VC5" s="476" t="s">
        <v>721</v>
      </c>
      <c r="VD5" s="476" t="s">
        <v>721</v>
      </c>
      <c r="VE5" s="476" t="s">
        <v>721</v>
      </c>
      <c r="VF5" s="476" t="s">
        <v>721</v>
      </c>
      <c r="VG5" s="476" t="s">
        <v>721</v>
      </c>
      <c r="VH5" s="476" t="s">
        <v>721</v>
      </c>
      <c r="VI5" s="476" t="s">
        <v>721</v>
      </c>
      <c r="VJ5" s="476" t="s">
        <v>721</v>
      </c>
      <c r="VK5" s="476" t="s">
        <v>721</v>
      </c>
      <c r="VL5" s="476" t="s">
        <v>721</v>
      </c>
      <c r="VM5" s="476" t="s">
        <v>721</v>
      </c>
      <c r="VN5" s="476" t="s">
        <v>721</v>
      </c>
      <c r="VO5" s="28"/>
      <c r="VP5" s="28"/>
      <c r="VQ5" s="28"/>
      <c r="VR5" s="28"/>
      <c r="VS5" s="28"/>
      <c r="VT5" s="28"/>
      <c r="VU5" s="28"/>
      <c r="VV5" s="28"/>
      <c r="VW5" s="28"/>
      <c r="VX5" s="28"/>
      <c r="VY5" s="28"/>
      <c r="VZ5" s="28"/>
      <c r="WA5" s="28"/>
      <c r="WB5" s="28"/>
      <c r="WC5" s="28"/>
      <c r="WD5" s="28"/>
      <c r="WE5" s="28"/>
      <c r="WF5" s="28"/>
      <c r="WG5" s="28"/>
      <c r="WH5" s="28"/>
      <c r="WI5" s="28"/>
      <c r="WJ5" s="28"/>
      <c r="WK5" s="28"/>
      <c r="WL5" s="28"/>
      <c r="WM5" s="28"/>
      <c r="WN5" s="28"/>
      <c r="WO5" s="28"/>
      <c r="WP5" s="28"/>
      <c r="WQ5" s="28"/>
      <c r="WR5" s="28"/>
      <c r="WS5" s="28"/>
      <c r="WT5" s="28"/>
      <c r="WU5" s="28"/>
      <c r="WV5" s="28"/>
      <c r="WW5" s="28"/>
    </row>
    <row r="6" spans="1:621" s="151" customFormat="1" ht="15.75" customHeight="1" x14ac:dyDescent="0.35">
      <c r="A6" s="477" t="s">
        <v>14</v>
      </c>
      <c r="B6" s="492" t="s">
        <v>15</v>
      </c>
      <c r="C6" s="493">
        <v>17</v>
      </c>
      <c r="D6" s="494">
        <v>439</v>
      </c>
      <c r="E6" s="473">
        <v>46385.4</v>
      </c>
      <c r="F6" s="473">
        <v>105.7</v>
      </c>
      <c r="G6" s="474">
        <v>407</v>
      </c>
      <c r="H6" s="474">
        <v>366</v>
      </c>
      <c r="I6" s="474">
        <v>260</v>
      </c>
      <c r="J6" s="474">
        <v>198</v>
      </c>
      <c r="K6" s="474">
        <v>84</v>
      </c>
      <c r="L6" s="473">
        <v>14599.7</v>
      </c>
      <c r="M6" s="474">
        <v>344</v>
      </c>
      <c r="N6" s="473">
        <v>31785.7</v>
      </c>
      <c r="O6" s="494">
        <v>64</v>
      </c>
      <c r="P6" s="495">
        <v>11645.3</v>
      </c>
      <c r="Q6" s="494">
        <v>59</v>
      </c>
      <c r="R6" s="495">
        <v>2136.5</v>
      </c>
      <c r="S6" s="494">
        <v>124</v>
      </c>
      <c r="T6" s="495">
        <v>9898.4</v>
      </c>
      <c r="U6" s="494">
        <v>7</v>
      </c>
      <c r="V6" s="495">
        <v>1344.1</v>
      </c>
      <c r="W6" s="494">
        <v>308</v>
      </c>
      <c r="X6" s="495">
        <v>35142.9</v>
      </c>
      <c r="Y6" s="494">
        <v>366</v>
      </c>
      <c r="Z6" s="494">
        <v>198</v>
      </c>
      <c r="AA6" s="494">
        <v>243</v>
      </c>
      <c r="AB6" s="494">
        <v>171</v>
      </c>
      <c r="AC6" s="494">
        <v>28</v>
      </c>
      <c r="AD6" s="494">
        <v>101</v>
      </c>
      <c r="AE6" s="494">
        <v>245</v>
      </c>
      <c r="AF6" s="495">
        <v>15677.8</v>
      </c>
      <c r="AG6" s="494">
        <v>162</v>
      </c>
      <c r="AH6" s="495">
        <v>29548.9</v>
      </c>
      <c r="AI6" s="494">
        <v>15</v>
      </c>
      <c r="AJ6" s="495">
        <v>700.6</v>
      </c>
      <c r="AK6" s="494">
        <v>6</v>
      </c>
      <c r="AL6" s="495">
        <v>458.1</v>
      </c>
      <c r="AM6" s="496">
        <v>260</v>
      </c>
      <c r="AN6" s="496">
        <v>179</v>
      </c>
      <c r="AO6" s="496">
        <v>371</v>
      </c>
      <c r="AP6" s="496">
        <v>31</v>
      </c>
      <c r="AQ6" s="496" t="s">
        <v>721</v>
      </c>
      <c r="AR6" s="496" t="s">
        <v>721</v>
      </c>
      <c r="AS6" s="496">
        <v>11</v>
      </c>
      <c r="AT6" s="496" t="s">
        <v>721</v>
      </c>
      <c r="AU6" s="496" t="s">
        <v>721</v>
      </c>
      <c r="AV6" s="496" t="s">
        <v>721</v>
      </c>
      <c r="AW6" s="496" t="s">
        <v>721</v>
      </c>
      <c r="AX6" s="496" t="s">
        <v>721</v>
      </c>
      <c r="AY6" s="496" t="s">
        <v>721</v>
      </c>
      <c r="AZ6" s="496" t="s">
        <v>721</v>
      </c>
      <c r="BA6" s="496" t="s">
        <v>721</v>
      </c>
      <c r="BB6" s="496" t="s">
        <v>721</v>
      </c>
      <c r="BC6" s="496" t="s">
        <v>721</v>
      </c>
      <c r="BD6" s="496" t="s">
        <v>721</v>
      </c>
      <c r="BE6" s="496" t="s">
        <v>721</v>
      </c>
      <c r="BF6" s="496" t="s">
        <v>721</v>
      </c>
      <c r="BG6" s="496" t="s">
        <v>721</v>
      </c>
      <c r="BH6" s="496" t="s">
        <v>721</v>
      </c>
      <c r="BI6" s="496" t="s">
        <v>721</v>
      </c>
      <c r="BJ6" s="496" t="s">
        <v>721</v>
      </c>
      <c r="BK6" s="496" t="s">
        <v>721</v>
      </c>
      <c r="BL6" s="496" t="s">
        <v>721</v>
      </c>
      <c r="BM6" s="496" t="s">
        <v>721</v>
      </c>
      <c r="BN6" s="496" t="s">
        <v>721</v>
      </c>
      <c r="BO6" s="496">
        <v>430</v>
      </c>
      <c r="BP6" s="496" t="s">
        <v>721</v>
      </c>
      <c r="BQ6" s="496" t="s">
        <v>721</v>
      </c>
      <c r="BR6" s="496" t="s">
        <v>721</v>
      </c>
      <c r="BS6" s="496" t="s">
        <v>721</v>
      </c>
      <c r="BT6" s="496" t="s">
        <v>721</v>
      </c>
      <c r="BU6" s="496" t="s">
        <v>721</v>
      </c>
      <c r="BV6" s="496" t="s">
        <v>721</v>
      </c>
      <c r="BW6" s="496" t="s">
        <v>721</v>
      </c>
      <c r="BX6" s="496" t="s">
        <v>721</v>
      </c>
      <c r="BY6" s="496" t="s">
        <v>721</v>
      </c>
      <c r="BZ6" s="496" t="s">
        <v>721</v>
      </c>
      <c r="CA6" s="496" t="s">
        <v>721</v>
      </c>
      <c r="CB6" s="496" t="s">
        <v>721</v>
      </c>
      <c r="CC6" s="496" t="s">
        <v>721</v>
      </c>
      <c r="CD6" s="496" t="s">
        <v>721</v>
      </c>
      <c r="CE6" s="496" t="s">
        <v>721</v>
      </c>
      <c r="CF6" s="496" t="s">
        <v>721</v>
      </c>
      <c r="CG6" s="496" t="s">
        <v>721</v>
      </c>
      <c r="CH6" s="496" t="s">
        <v>721</v>
      </c>
      <c r="CI6" s="496" t="s">
        <v>721</v>
      </c>
      <c r="CJ6" s="496" t="s">
        <v>721</v>
      </c>
      <c r="CK6" s="496" t="s">
        <v>721</v>
      </c>
      <c r="CL6" s="496" t="s">
        <v>721</v>
      </c>
      <c r="CM6" s="496" t="s">
        <v>721</v>
      </c>
      <c r="CN6" s="496" t="s">
        <v>721</v>
      </c>
      <c r="CO6" s="496" t="s">
        <v>721</v>
      </c>
      <c r="CP6" s="496" t="s">
        <v>721</v>
      </c>
      <c r="CQ6" s="496" t="s">
        <v>721</v>
      </c>
      <c r="CR6" s="496" t="s">
        <v>721</v>
      </c>
      <c r="CS6" s="496" t="s">
        <v>721</v>
      </c>
      <c r="CT6" s="496" t="s">
        <v>721</v>
      </c>
      <c r="CU6" s="496" t="s">
        <v>721</v>
      </c>
      <c r="CV6" s="496">
        <v>351</v>
      </c>
      <c r="CW6" s="496" t="s">
        <v>721</v>
      </c>
      <c r="CX6" s="496" t="s">
        <v>721</v>
      </c>
      <c r="CY6" s="496" t="s">
        <v>721</v>
      </c>
      <c r="CZ6" s="496" t="s">
        <v>721</v>
      </c>
      <c r="DA6" s="496" t="s">
        <v>721</v>
      </c>
      <c r="DB6" s="496" t="s">
        <v>721</v>
      </c>
      <c r="DC6" s="496" t="s">
        <v>721</v>
      </c>
      <c r="DD6" s="496" t="s">
        <v>721</v>
      </c>
      <c r="DE6" s="496" t="s">
        <v>721</v>
      </c>
      <c r="DF6" s="496" t="s">
        <v>721</v>
      </c>
      <c r="DG6" s="496" t="s">
        <v>721</v>
      </c>
      <c r="DH6" s="496" t="s">
        <v>721</v>
      </c>
      <c r="DI6" s="496" t="s">
        <v>721</v>
      </c>
      <c r="DJ6" s="496" t="s">
        <v>721</v>
      </c>
      <c r="DK6" s="496" t="s">
        <v>721</v>
      </c>
      <c r="DL6" s="496" t="s">
        <v>721</v>
      </c>
      <c r="DM6" s="496" t="s">
        <v>721</v>
      </c>
      <c r="DN6" s="496" t="s">
        <v>721</v>
      </c>
      <c r="DO6" s="496" t="s">
        <v>721</v>
      </c>
      <c r="DP6" s="496" t="s">
        <v>721</v>
      </c>
      <c r="DQ6" s="496" t="s">
        <v>721</v>
      </c>
      <c r="DR6" s="496" t="s">
        <v>721</v>
      </c>
      <c r="DS6" s="483" t="s">
        <v>721</v>
      </c>
      <c r="DT6" s="483" t="s">
        <v>721</v>
      </c>
      <c r="DU6" s="483" t="s">
        <v>721</v>
      </c>
      <c r="DV6" s="496">
        <v>54</v>
      </c>
      <c r="DW6" s="497">
        <v>9853.4</v>
      </c>
      <c r="DX6" s="496">
        <v>66</v>
      </c>
      <c r="DY6" s="497">
        <v>9915.5</v>
      </c>
      <c r="DZ6" s="496">
        <v>114</v>
      </c>
      <c r="EA6" s="497">
        <v>10307.1</v>
      </c>
      <c r="EB6" s="496">
        <v>95</v>
      </c>
      <c r="EC6" s="497">
        <v>7209.7</v>
      </c>
      <c r="ED6" s="496">
        <v>67</v>
      </c>
      <c r="EE6" s="497">
        <v>5263.5</v>
      </c>
      <c r="EF6" s="496">
        <v>43</v>
      </c>
      <c r="EG6" s="497">
        <v>3836.2</v>
      </c>
      <c r="EH6" s="485">
        <v>346</v>
      </c>
      <c r="EI6" s="486">
        <v>1362.7</v>
      </c>
      <c r="EJ6" s="485">
        <v>334</v>
      </c>
      <c r="EK6" s="486">
        <v>6890.2</v>
      </c>
      <c r="EL6" s="485">
        <v>332</v>
      </c>
      <c r="EM6" s="486">
        <v>2729.7</v>
      </c>
      <c r="EN6" s="485">
        <v>335</v>
      </c>
      <c r="EO6" s="486">
        <v>1560.2</v>
      </c>
      <c r="EP6" s="485">
        <v>335</v>
      </c>
      <c r="EQ6" s="486">
        <v>1360.8</v>
      </c>
      <c r="ER6" s="485">
        <v>334</v>
      </c>
      <c r="ES6" s="486">
        <v>1134.5</v>
      </c>
      <c r="ET6" s="485">
        <v>0</v>
      </c>
      <c r="EU6" s="485">
        <v>227</v>
      </c>
      <c r="EV6" s="486">
        <v>3352.4</v>
      </c>
      <c r="EW6" s="485">
        <v>79</v>
      </c>
      <c r="EX6" s="486">
        <v>432.1</v>
      </c>
      <c r="EY6" s="485">
        <v>100</v>
      </c>
      <c r="EZ6" s="486">
        <v>1038.8</v>
      </c>
      <c r="FA6" s="485">
        <v>31</v>
      </c>
      <c r="FB6" s="486">
        <v>351.7</v>
      </c>
      <c r="FC6" s="485">
        <v>325</v>
      </c>
      <c r="FD6" s="486">
        <v>3565.8</v>
      </c>
      <c r="FE6" s="485">
        <v>303</v>
      </c>
      <c r="FF6" s="486">
        <v>2176.5</v>
      </c>
      <c r="FG6" s="485">
        <v>83</v>
      </c>
      <c r="FH6" s="486">
        <v>1144.3</v>
      </c>
      <c r="FI6" s="485">
        <v>202</v>
      </c>
      <c r="FJ6" s="486">
        <v>1210.5</v>
      </c>
      <c r="FK6" s="485">
        <v>250</v>
      </c>
      <c r="FL6" s="486">
        <v>711.3</v>
      </c>
      <c r="FM6" s="485">
        <v>18</v>
      </c>
      <c r="FN6" s="486">
        <v>43.1</v>
      </c>
      <c r="FO6" s="485">
        <v>324</v>
      </c>
      <c r="FP6" s="486">
        <v>2312.9</v>
      </c>
      <c r="FQ6" s="485">
        <v>317</v>
      </c>
      <c r="FR6" s="486">
        <v>1223.8</v>
      </c>
      <c r="FS6" s="485">
        <v>2</v>
      </c>
      <c r="FT6" s="486">
        <v>28.5</v>
      </c>
      <c r="FU6" s="485">
        <v>0</v>
      </c>
      <c r="FV6" s="486">
        <v>0</v>
      </c>
      <c r="FW6" s="485">
        <v>0</v>
      </c>
      <c r="FX6" s="486">
        <v>0</v>
      </c>
      <c r="FY6" s="485">
        <v>0</v>
      </c>
      <c r="FZ6" s="486">
        <v>0</v>
      </c>
      <c r="GA6" s="485">
        <v>0</v>
      </c>
      <c r="GB6" s="485">
        <v>0</v>
      </c>
      <c r="GC6" s="487">
        <v>0</v>
      </c>
      <c r="GD6" s="488">
        <v>0</v>
      </c>
      <c r="GE6" s="488">
        <v>27</v>
      </c>
      <c r="GF6" s="488">
        <v>187</v>
      </c>
      <c r="GG6" s="488">
        <v>1</v>
      </c>
      <c r="GH6" s="488">
        <v>1</v>
      </c>
      <c r="GI6" s="488">
        <v>1</v>
      </c>
      <c r="GJ6" s="488">
        <v>0</v>
      </c>
      <c r="GK6" s="488">
        <v>82</v>
      </c>
      <c r="GL6" s="488">
        <v>129</v>
      </c>
      <c r="GM6" s="488">
        <v>214</v>
      </c>
      <c r="GN6" s="488">
        <v>53</v>
      </c>
      <c r="GO6" s="488">
        <v>24</v>
      </c>
      <c r="GP6" s="488">
        <v>1</v>
      </c>
      <c r="GQ6" s="488">
        <v>11</v>
      </c>
      <c r="GR6" s="488">
        <v>0</v>
      </c>
      <c r="GS6" s="488">
        <v>12</v>
      </c>
      <c r="GT6" s="489">
        <v>262</v>
      </c>
      <c r="GU6" s="488">
        <v>0</v>
      </c>
      <c r="GV6" s="490">
        <v>0</v>
      </c>
      <c r="GW6" s="490">
        <v>0</v>
      </c>
      <c r="GX6" s="490">
        <v>0</v>
      </c>
      <c r="GY6" s="491">
        <v>0</v>
      </c>
      <c r="GZ6" s="491">
        <v>0</v>
      </c>
      <c r="HA6" s="491">
        <v>0</v>
      </c>
      <c r="HB6" s="475">
        <v>0</v>
      </c>
      <c r="HC6" s="475">
        <v>0</v>
      </c>
      <c r="HD6" s="475">
        <v>0</v>
      </c>
      <c r="HE6" s="475">
        <v>0</v>
      </c>
      <c r="HF6" s="475">
        <v>0</v>
      </c>
      <c r="HG6" s="475">
        <v>0</v>
      </c>
      <c r="HH6" s="475">
        <v>0</v>
      </c>
      <c r="HI6" s="475">
        <v>0</v>
      </c>
      <c r="HJ6" s="475">
        <v>0</v>
      </c>
      <c r="HK6" s="475">
        <v>0</v>
      </c>
      <c r="HL6" s="475">
        <v>0</v>
      </c>
      <c r="HM6" s="475">
        <v>0</v>
      </c>
      <c r="HN6" s="475">
        <v>0</v>
      </c>
      <c r="HO6" s="475">
        <v>0</v>
      </c>
      <c r="HP6" s="475">
        <v>0</v>
      </c>
      <c r="HQ6" s="475">
        <v>1</v>
      </c>
      <c r="HR6" s="475">
        <v>5</v>
      </c>
      <c r="HS6" s="475">
        <v>0</v>
      </c>
      <c r="HT6" s="475">
        <v>0</v>
      </c>
      <c r="HU6" s="475">
        <v>0</v>
      </c>
      <c r="HV6" s="475">
        <v>0</v>
      </c>
      <c r="HW6" s="475">
        <v>0</v>
      </c>
      <c r="HX6" s="475">
        <v>0</v>
      </c>
      <c r="HY6" s="475">
        <v>0</v>
      </c>
      <c r="HZ6" s="475">
        <v>20</v>
      </c>
      <c r="IA6" s="475" t="s">
        <v>721</v>
      </c>
      <c r="IB6" s="475" t="s">
        <v>721</v>
      </c>
      <c r="IC6" s="475" t="s">
        <v>721</v>
      </c>
      <c r="ID6" s="475" t="s">
        <v>721</v>
      </c>
      <c r="IE6" s="475" t="s">
        <v>721</v>
      </c>
      <c r="IF6" s="475" t="s">
        <v>721</v>
      </c>
      <c r="IG6" s="475" t="s">
        <v>721</v>
      </c>
      <c r="IH6" s="475" t="s">
        <v>721</v>
      </c>
      <c r="II6" s="475" t="s">
        <v>721</v>
      </c>
      <c r="IJ6" s="475" t="s">
        <v>721</v>
      </c>
      <c r="IK6" s="475" t="s">
        <v>721</v>
      </c>
      <c r="IL6" s="475" t="s">
        <v>721</v>
      </c>
      <c r="IM6" s="475" t="s">
        <v>721</v>
      </c>
      <c r="IN6" s="475" t="s">
        <v>721</v>
      </c>
      <c r="IO6" s="475" t="s">
        <v>721</v>
      </c>
      <c r="IP6" s="475" t="s">
        <v>721</v>
      </c>
      <c r="IQ6" s="475" t="s">
        <v>721</v>
      </c>
      <c r="IR6" s="475" t="s">
        <v>721</v>
      </c>
      <c r="IS6" s="475" t="s">
        <v>721</v>
      </c>
      <c r="IT6" s="475" t="s">
        <v>721</v>
      </c>
      <c r="IU6" s="475" t="s">
        <v>721</v>
      </c>
      <c r="IV6" s="475" t="s">
        <v>721</v>
      </c>
      <c r="IW6" s="475" t="s">
        <v>721</v>
      </c>
      <c r="IX6" s="475" t="s">
        <v>721</v>
      </c>
      <c r="IY6" s="475" t="s">
        <v>721</v>
      </c>
      <c r="IZ6" s="475" t="s">
        <v>721</v>
      </c>
      <c r="JA6" s="475" t="s">
        <v>721</v>
      </c>
      <c r="JB6" s="475" t="s">
        <v>721</v>
      </c>
      <c r="JC6" s="475" t="s">
        <v>721</v>
      </c>
      <c r="JD6" s="475" t="s">
        <v>721</v>
      </c>
      <c r="JE6" s="475" t="s">
        <v>721</v>
      </c>
      <c r="JF6" s="475" t="s">
        <v>721</v>
      </c>
      <c r="JG6" s="475" t="s">
        <v>721</v>
      </c>
      <c r="JH6" s="475" t="s">
        <v>721</v>
      </c>
      <c r="JI6" s="475" t="s">
        <v>721</v>
      </c>
      <c r="JJ6" s="475" t="s">
        <v>721</v>
      </c>
      <c r="JK6" s="475" t="s">
        <v>721</v>
      </c>
      <c r="JL6" s="755">
        <v>37923.300000000003</v>
      </c>
      <c r="JM6" s="755">
        <v>3739.6</v>
      </c>
      <c r="JN6" s="755">
        <v>1230.9000000000001</v>
      </c>
      <c r="JO6" s="755">
        <v>127.4</v>
      </c>
      <c r="JP6" s="755">
        <v>976.9</v>
      </c>
      <c r="JQ6" s="755">
        <v>531.20000000000005</v>
      </c>
      <c r="JR6" s="755">
        <v>237.3</v>
      </c>
      <c r="JS6" s="755" t="s">
        <v>721</v>
      </c>
      <c r="JT6" s="755" t="s">
        <v>721</v>
      </c>
      <c r="JU6" s="755">
        <v>139.5</v>
      </c>
      <c r="JV6" s="755">
        <v>74.400000000000006</v>
      </c>
      <c r="JW6" s="755" t="s">
        <v>721</v>
      </c>
      <c r="JX6" s="755">
        <v>77</v>
      </c>
      <c r="JY6" s="755">
        <v>61.2</v>
      </c>
      <c r="JZ6" s="755" t="s">
        <v>721</v>
      </c>
      <c r="KA6" s="755" t="s">
        <v>721</v>
      </c>
      <c r="KB6" s="755">
        <v>69.2</v>
      </c>
      <c r="KC6" s="755">
        <v>127.2</v>
      </c>
      <c r="KD6" s="755">
        <v>1070.3</v>
      </c>
      <c r="KE6" s="475">
        <v>52</v>
      </c>
      <c r="KF6" s="475" t="s">
        <v>721</v>
      </c>
      <c r="KG6" s="475" t="s">
        <v>721</v>
      </c>
      <c r="KH6" s="475" t="s">
        <v>721</v>
      </c>
      <c r="KI6" s="475" t="s">
        <v>721</v>
      </c>
      <c r="KJ6" s="475" t="s">
        <v>721</v>
      </c>
      <c r="KK6" s="475" t="s">
        <v>721</v>
      </c>
      <c r="KL6" s="475" t="s">
        <v>721</v>
      </c>
      <c r="KM6" s="475" t="s">
        <v>721</v>
      </c>
      <c r="KN6" s="475" t="s">
        <v>721</v>
      </c>
      <c r="KO6" s="475" t="s">
        <v>721</v>
      </c>
      <c r="KP6" s="475" t="s">
        <v>721</v>
      </c>
      <c r="KQ6" s="475" t="s">
        <v>721</v>
      </c>
      <c r="KR6" s="475" t="s">
        <v>721</v>
      </c>
      <c r="KS6" s="475" t="s">
        <v>721</v>
      </c>
      <c r="KT6" s="475" t="s">
        <v>721</v>
      </c>
      <c r="KU6" s="475" t="s">
        <v>721</v>
      </c>
      <c r="KV6" s="475" t="s">
        <v>721</v>
      </c>
      <c r="KW6" s="475" t="s">
        <v>721</v>
      </c>
      <c r="KX6" s="475">
        <v>44</v>
      </c>
      <c r="KY6" s="475" t="s">
        <v>721</v>
      </c>
      <c r="KZ6" s="475" t="s">
        <v>721</v>
      </c>
      <c r="LA6" s="475" t="s">
        <v>721</v>
      </c>
      <c r="LB6" s="475" t="s">
        <v>721</v>
      </c>
      <c r="LC6" s="475" t="s">
        <v>721</v>
      </c>
      <c r="LD6" s="475" t="s">
        <v>721</v>
      </c>
      <c r="LE6" s="475" t="s">
        <v>721</v>
      </c>
      <c r="LF6" s="475" t="s">
        <v>721</v>
      </c>
      <c r="LG6" s="475" t="s">
        <v>721</v>
      </c>
      <c r="LH6" s="475" t="s">
        <v>721</v>
      </c>
      <c r="LI6" s="475" t="s">
        <v>721</v>
      </c>
      <c r="LJ6" s="475" t="s">
        <v>721</v>
      </c>
      <c r="LK6" s="475" t="s">
        <v>721</v>
      </c>
      <c r="LL6" s="475" t="s">
        <v>721</v>
      </c>
      <c r="LM6" s="475" t="s">
        <v>721</v>
      </c>
      <c r="LN6" s="475" t="s">
        <v>721</v>
      </c>
      <c r="LO6" s="475" t="s">
        <v>721</v>
      </c>
      <c r="LP6" s="475" t="s">
        <v>721</v>
      </c>
      <c r="LQ6" s="475">
        <v>292</v>
      </c>
      <c r="LR6" s="475">
        <v>27</v>
      </c>
      <c r="LS6" s="475" t="s">
        <v>721</v>
      </c>
      <c r="LT6" s="475" t="s">
        <v>721</v>
      </c>
      <c r="LU6" s="475" t="s">
        <v>721</v>
      </c>
      <c r="LV6" s="475" t="s">
        <v>721</v>
      </c>
      <c r="LW6" s="475" t="s">
        <v>721</v>
      </c>
      <c r="LX6" s="475" t="s">
        <v>721</v>
      </c>
      <c r="LY6" s="475" t="s">
        <v>721</v>
      </c>
      <c r="LZ6" s="475" t="s">
        <v>721</v>
      </c>
      <c r="MA6" s="475" t="s">
        <v>721</v>
      </c>
      <c r="MB6" s="475" t="s">
        <v>721</v>
      </c>
      <c r="MC6" s="475" t="s">
        <v>721</v>
      </c>
      <c r="MD6" s="475" t="s">
        <v>721</v>
      </c>
      <c r="ME6" s="475" t="s">
        <v>721</v>
      </c>
      <c r="MF6" s="475" t="s">
        <v>721</v>
      </c>
      <c r="MG6" s="475" t="s">
        <v>721</v>
      </c>
      <c r="MH6" s="475" t="s">
        <v>721</v>
      </c>
      <c r="MI6" s="475" t="s">
        <v>721</v>
      </c>
      <c r="MJ6" s="475">
        <v>68</v>
      </c>
      <c r="MK6" s="475" t="s">
        <v>721</v>
      </c>
      <c r="ML6" s="475" t="s">
        <v>721</v>
      </c>
      <c r="MM6" s="475" t="s">
        <v>721</v>
      </c>
      <c r="MN6" s="475" t="s">
        <v>721</v>
      </c>
      <c r="MO6" s="475" t="s">
        <v>721</v>
      </c>
      <c r="MP6" s="475" t="s">
        <v>721</v>
      </c>
      <c r="MQ6" s="475" t="s">
        <v>721</v>
      </c>
      <c r="MR6" s="475" t="s">
        <v>721</v>
      </c>
      <c r="MS6" s="475" t="s">
        <v>721</v>
      </c>
      <c r="MT6" s="475" t="s">
        <v>721</v>
      </c>
      <c r="MU6" s="475" t="s">
        <v>721</v>
      </c>
      <c r="MV6" s="475" t="s">
        <v>721</v>
      </c>
      <c r="MW6" s="475" t="s">
        <v>721</v>
      </c>
      <c r="MX6" s="475" t="s">
        <v>721</v>
      </c>
      <c r="MY6" s="475" t="s">
        <v>721</v>
      </c>
      <c r="MZ6" s="475" t="s">
        <v>721</v>
      </c>
      <c r="NA6" s="475" t="s">
        <v>721</v>
      </c>
      <c r="NB6" s="475" t="s">
        <v>721</v>
      </c>
      <c r="NC6" s="476">
        <v>0.59199999999999997</v>
      </c>
      <c r="ND6" s="476">
        <v>0.40799999999999997</v>
      </c>
      <c r="NE6" s="476">
        <v>0.84499999999999997</v>
      </c>
      <c r="NF6" s="476">
        <v>7.0999999999999994E-2</v>
      </c>
      <c r="NG6" s="476" t="s">
        <v>721</v>
      </c>
      <c r="NH6" s="476" t="s">
        <v>721</v>
      </c>
      <c r="NI6" s="476">
        <v>2.5000000000000001E-2</v>
      </c>
      <c r="NJ6" s="476" t="s">
        <v>721</v>
      </c>
      <c r="NK6" s="476" t="s">
        <v>721</v>
      </c>
      <c r="NL6" s="476" t="s">
        <v>721</v>
      </c>
      <c r="NM6" s="476" t="s">
        <v>721</v>
      </c>
      <c r="NN6" s="476" t="s">
        <v>721</v>
      </c>
      <c r="NO6" s="476" t="s">
        <v>721</v>
      </c>
      <c r="NP6" s="476" t="s">
        <v>721</v>
      </c>
      <c r="NQ6" s="476" t="s">
        <v>721</v>
      </c>
      <c r="NR6" s="476" t="s">
        <v>721</v>
      </c>
      <c r="NS6" s="476" t="s">
        <v>721</v>
      </c>
      <c r="NT6" s="476" t="s">
        <v>721</v>
      </c>
      <c r="NU6" s="476" t="s">
        <v>721</v>
      </c>
      <c r="NV6" s="476" t="s">
        <v>721</v>
      </c>
      <c r="NW6" s="476" t="s">
        <v>721</v>
      </c>
      <c r="NX6" s="476" t="s">
        <v>721</v>
      </c>
      <c r="NY6" s="476" t="s">
        <v>721</v>
      </c>
      <c r="NZ6" s="476" t="s">
        <v>721</v>
      </c>
      <c r="OA6" s="476" t="s">
        <v>721</v>
      </c>
      <c r="OB6" s="476" t="s">
        <v>721</v>
      </c>
      <c r="OC6" s="476" t="s">
        <v>721</v>
      </c>
      <c r="OD6" s="476" t="s">
        <v>721</v>
      </c>
      <c r="OE6" s="476">
        <v>0.97899999999999998</v>
      </c>
      <c r="OF6" s="476" t="s">
        <v>721</v>
      </c>
      <c r="OG6" s="476" t="s">
        <v>721</v>
      </c>
      <c r="OH6" s="476" t="s">
        <v>721</v>
      </c>
      <c r="OI6" s="476" t="s">
        <v>721</v>
      </c>
      <c r="OJ6" s="476" t="s">
        <v>721</v>
      </c>
      <c r="OK6" s="476" t="s">
        <v>721</v>
      </c>
      <c r="OL6" s="476" t="s">
        <v>721</v>
      </c>
      <c r="OM6" s="476" t="s">
        <v>721</v>
      </c>
      <c r="ON6" s="476" t="s">
        <v>721</v>
      </c>
      <c r="OO6" s="476" t="s">
        <v>721</v>
      </c>
      <c r="OP6" s="476" t="s">
        <v>721</v>
      </c>
      <c r="OQ6" s="476" t="s">
        <v>721</v>
      </c>
      <c r="OR6" s="476" t="s">
        <v>721</v>
      </c>
      <c r="OS6" s="476" t="s">
        <v>721</v>
      </c>
      <c r="OT6" s="476" t="s">
        <v>721</v>
      </c>
      <c r="OU6" s="476" t="s">
        <v>721</v>
      </c>
      <c r="OV6" s="476" t="s">
        <v>721</v>
      </c>
      <c r="OW6" s="476" t="s">
        <v>721</v>
      </c>
      <c r="OX6" s="476" t="s">
        <v>721</v>
      </c>
      <c r="OY6" s="476" t="s">
        <v>721</v>
      </c>
      <c r="OZ6" s="476" t="s">
        <v>721</v>
      </c>
      <c r="PA6" s="476" t="s">
        <v>721</v>
      </c>
      <c r="PB6" s="476" t="s">
        <v>721</v>
      </c>
      <c r="PC6" s="476" t="s">
        <v>721</v>
      </c>
      <c r="PD6" s="476" t="s">
        <v>721</v>
      </c>
      <c r="PE6" s="476" t="s">
        <v>721</v>
      </c>
      <c r="PF6" s="476" t="s">
        <v>721</v>
      </c>
      <c r="PG6" s="476" t="s">
        <v>721</v>
      </c>
      <c r="PH6" s="476" t="s">
        <v>721</v>
      </c>
      <c r="PI6" s="476" t="s">
        <v>721</v>
      </c>
      <c r="PJ6" s="476" t="s">
        <v>721</v>
      </c>
      <c r="PK6" s="476" t="s">
        <v>721</v>
      </c>
      <c r="PL6" s="476">
        <v>0.95899999999999996</v>
      </c>
      <c r="PM6" s="476" t="s">
        <v>721</v>
      </c>
      <c r="PN6" s="476" t="s">
        <v>721</v>
      </c>
      <c r="PO6" s="476" t="s">
        <v>721</v>
      </c>
      <c r="PP6" s="476" t="s">
        <v>721</v>
      </c>
      <c r="PQ6" s="476" t="s">
        <v>721</v>
      </c>
      <c r="PR6" s="476" t="s">
        <v>721</v>
      </c>
      <c r="PS6" s="476" t="s">
        <v>721</v>
      </c>
      <c r="PT6" s="476" t="s">
        <v>721</v>
      </c>
      <c r="PU6" s="476" t="s">
        <v>721</v>
      </c>
      <c r="PV6" s="476" t="s">
        <v>721</v>
      </c>
      <c r="PW6" s="476" t="s">
        <v>721</v>
      </c>
      <c r="PX6" s="476" t="s">
        <v>721</v>
      </c>
      <c r="PY6" s="476" t="s">
        <v>721</v>
      </c>
      <c r="PZ6" s="476" t="s">
        <v>721</v>
      </c>
      <c r="QA6" s="476" t="s">
        <v>721</v>
      </c>
      <c r="QB6" s="476" t="s">
        <v>721</v>
      </c>
      <c r="QC6" s="476" t="s">
        <v>721</v>
      </c>
      <c r="QD6" s="476" t="s">
        <v>721</v>
      </c>
      <c r="QE6" s="476" t="s">
        <v>721</v>
      </c>
      <c r="QF6" s="476" t="s">
        <v>721</v>
      </c>
      <c r="QG6" s="476" t="s">
        <v>721</v>
      </c>
      <c r="QH6" s="476" t="s">
        <v>721</v>
      </c>
      <c r="QI6" s="476" t="s">
        <v>721</v>
      </c>
      <c r="QJ6" s="476" t="s">
        <v>721</v>
      </c>
      <c r="QK6" s="476" t="s">
        <v>721</v>
      </c>
      <c r="QL6" s="476">
        <v>0.83299999999999996</v>
      </c>
      <c r="QM6" s="476" t="s">
        <v>721</v>
      </c>
      <c r="QN6" s="476" t="s">
        <v>721</v>
      </c>
      <c r="QO6" s="476" t="s">
        <v>721</v>
      </c>
      <c r="QP6" s="476" t="s">
        <v>721</v>
      </c>
      <c r="QQ6" s="476" t="s">
        <v>721</v>
      </c>
      <c r="QR6" s="476" t="s">
        <v>721</v>
      </c>
      <c r="QS6" s="476" t="s">
        <v>721</v>
      </c>
      <c r="QT6" s="476" t="s">
        <v>721</v>
      </c>
      <c r="QU6" s="476" t="s">
        <v>721</v>
      </c>
      <c r="QV6" s="476" t="s">
        <v>721</v>
      </c>
      <c r="QW6" s="476" t="s">
        <v>721</v>
      </c>
      <c r="QX6" s="476" t="s">
        <v>721</v>
      </c>
      <c r="QY6" s="476" t="s">
        <v>721</v>
      </c>
      <c r="QZ6" s="476" t="s">
        <v>721</v>
      </c>
      <c r="RA6" s="476" t="s">
        <v>721</v>
      </c>
      <c r="RB6" s="476" t="s">
        <v>721</v>
      </c>
      <c r="RC6" s="476" t="s">
        <v>721</v>
      </c>
      <c r="RD6" s="476" t="s">
        <v>721</v>
      </c>
      <c r="RE6" s="476" t="s">
        <v>721</v>
      </c>
      <c r="RF6" s="476" t="s">
        <v>721</v>
      </c>
      <c r="RG6" s="476" t="s">
        <v>721</v>
      </c>
      <c r="RH6" s="476" t="s">
        <v>721</v>
      </c>
      <c r="RI6" s="476" t="s">
        <v>721</v>
      </c>
      <c r="RJ6" s="476" t="s">
        <v>721</v>
      </c>
      <c r="RK6" s="476" t="s">
        <v>721</v>
      </c>
      <c r="RL6" s="476" t="s">
        <v>721</v>
      </c>
      <c r="RM6" s="476" t="s">
        <v>721</v>
      </c>
      <c r="RN6" s="476" t="s">
        <v>721</v>
      </c>
      <c r="RO6" s="476" t="s">
        <v>721</v>
      </c>
      <c r="RP6" s="476" t="s">
        <v>721</v>
      </c>
      <c r="RQ6" s="476" t="s">
        <v>721</v>
      </c>
      <c r="RR6" s="476" t="s">
        <v>721</v>
      </c>
      <c r="RS6" s="476" t="s">
        <v>721</v>
      </c>
      <c r="RT6" s="476" t="s">
        <v>721</v>
      </c>
      <c r="RU6" s="476" t="s">
        <v>721</v>
      </c>
      <c r="RV6" s="476" t="s">
        <v>721</v>
      </c>
      <c r="RW6" s="476" t="s">
        <v>721</v>
      </c>
      <c r="RX6" s="476">
        <v>0.81799999999999995</v>
      </c>
      <c r="RY6" s="476">
        <v>8.1000000000000003E-2</v>
      </c>
      <c r="RZ6" s="476">
        <v>2.7E-2</v>
      </c>
      <c r="SA6" s="476">
        <v>3.0000000000000001E-3</v>
      </c>
      <c r="SB6" s="476">
        <v>2.1000000000000001E-2</v>
      </c>
      <c r="SC6" s="476">
        <v>1.0999999999999999E-2</v>
      </c>
      <c r="SD6" s="476">
        <v>5.0000000000000001E-3</v>
      </c>
      <c r="SE6" s="476" t="s">
        <v>721</v>
      </c>
      <c r="SF6" s="476" t="s">
        <v>721</v>
      </c>
      <c r="SG6" s="476">
        <v>3.0000000000000001E-3</v>
      </c>
      <c r="SH6" s="476">
        <v>2E-3</v>
      </c>
      <c r="SI6" s="476" t="s">
        <v>721</v>
      </c>
      <c r="SJ6" s="476">
        <v>2E-3</v>
      </c>
      <c r="SK6" s="476">
        <v>1E-3</v>
      </c>
      <c r="SL6" s="476" t="s">
        <v>721</v>
      </c>
      <c r="SM6" s="476" t="s">
        <v>721</v>
      </c>
      <c r="SN6" s="476">
        <v>1E-3</v>
      </c>
      <c r="SO6" s="476">
        <v>3.0000000000000001E-3</v>
      </c>
      <c r="SP6" s="476">
        <v>2.3E-2</v>
      </c>
      <c r="SQ6" s="476">
        <v>0.81299999999999994</v>
      </c>
      <c r="SR6" s="476" t="s">
        <v>721</v>
      </c>
      <c r="SS6" s="476" t="s">
        <v>721</v>
      </c>
      <c r="ST6" s="476" t="s">
        <v>721</v>
      </c>
      <c r="SU6" s="476" t="s">
        <v>721</v>
      </c>
      <c r="SV6" s="476" t="s">
        <v>721</v>
      </c>
      <c r="SW6" s="476" t="s">
        <v>721</v>
      </c>
      <c r="SX6" s="476" t="s">
        <v>721</v>
      </c>
      <c r="SY6" s="476" t="s">
        <v>721</v>
      </c>
      <c r="SZ6" s="476" t="s">
        <v>721</v>
      </c>
      <c r="TA6" s="476" t="s">
        <v>721</v>
      </c>
      <c r="TB6" s="476" t="s">
        <v>721</v>
      </c>
      <c r="TC6" s="476" t="s">
        <v>721</v>
      </c>
      <c r="TD6" s="476" t="s">
        <v>721</v>
      </c>
      <c r="TE6" s="476" t="s">
        <v>721</v>
      </c>
      <c r="TF6" s="476" t="s">
        <v>721</v>
      </c>
      <c r="TG6" s="476" t="s">
        <v>721</v>
      </c>
      <c r="TH6" s="476" t="s">
        <v>721</v>
      </c>
      <c r="TI6" s="476" t="s">
        <v>721</v>
      </c>
      <c r="TJ6" s="476">
        <v>0.746</v>
      </c>
      <c r="TK6" s="476" t="s">
        <v>721</v>
      </c>
      <c r="TL6" s="476" t="s">
        <v>721</v>
      </c>
      <c r="TM6" s="476" t="s">
        <v>721</v>
      </c>
      <c r="TN6" s="476" t="s">
        <v>721</v>
      </c>
      <c r="TO6" s="476" t="s">
        <v>721</v>
      </c>
      <c r="TP6" s="476" t="s">
        <v>721</v>
      </c>
      <c r="TQ6" s="476" t="s">
        <v>721</v>
      </c>
      <c r="TR6" s="476" t="s">
        <v>721</v>
      </c>
      <c r="TS6" s="476" t="s">
        <v>721</v>
      </c>
      <c r="TT6" s="476" t="s">
        <v>721</v>
      </c>
      <c r="TU6" s="476" t="s">
        <v>721</v>
      </c>
      <c r="TV6" s="476" t="s">
        <v>721</v>
      </c>
      <c r="TW6" s="476" t="s">
        <v>721</v>
      </c>
      <c r="TX6" s="476" t="s">
        <v>721</v>
      </c>
      <c r="TY6" s="476" t="s">
        <v>721</v>
      </c>
      <c r="TZ6" s="476" t="s">
        <v>721</v>
      </c>
      <c r="UA6" s="476" t="s">
        <v>721</v>
      </c>
      <c r="UB6" s="476" t="s">
        <v>721</v>
      </c>
      <c r="UC6" s="476">
        <v>0.84899999999999998</v>
      </c>
      <c r="UD6" s="476">
        <v>7.8E-2</v>
      </c>
      <c r="UE6" s="476" t="s">
        <v>721</v>
      </c>
      <c r="UF6" s="476" t="s">
        <v>721</v>
      </c>
      <c r="UG6" s="476" t="s">
        <v>721</v>
      </c>
      <c r="UH6" s="476" t="s">
        <v>721</v>
      </c>
      <c r="UI6" s="476" t="s">
        <v>721</v>
      </c>
      <c r="UJ6" s="476" t="s">
        <v>721</v>
      </c>
      <c r="UK6" s="476" t="s">
        <v>721</v>
      </c>
      <c r="UL6" s="476" t="s">
        <v>721</v>
      </c>
      <c r="UM6" s="476" t="s">
        <v>721</v>
      </c>
      <c r="UN6" s="476" t="s">
        <v>721</v>
      </c>
      <c r="UO6" s="476" t="s">
        <v>721</v>
      </c>
      <c r="UP6" s="476" t="s">
        <v>721</v>
      </c>
      <c r="UQ6" s="476" t="s">
        <v>721</v>
      </c>
      <c r="UR6" s="476" t="s">
        <v>721</v>
      </c>
      <c r="US6" s="476" t="s">
        <v>721</v>
      </c>
      <c r="UT6" s="476" t="s">
        <v>721</v>
      </c>
      <c r="UU6" s="476" t="s">
        <v>721</v>
      </c>
      <c r="UV6" s="476">
        <v>0.81</v>
      </c>
      <c r="UW6" s="476" t="s">
        <v>721</v>
      </c>
      <c r="UX6" s="476" t="s">
        <v>721</v>
      </c>
      <c r="UY6" s="476" t="s">
        <v>721</v>
      </c>
      <c r="UZ6" s="476" t="s">
        <v>721</v>
      </c>
      <c r="VA6" s="476" t="s">
        <v>721</v>
      </c>
      <c r="VB6" s="476" t="s">
        <v>721</v>
      </c>
      <c r="VC6" s="476" t="s">
        <v>721</v>
      </c>
      <c r="VD6" s="476" t="s">
        <v>721</v>
      </c>
      <c r="VE6" s="476" t="s">
        <v>721</v>
      </c>
      <c r="VF6" s="476" t="s">
        <v>721</v>
      </c>
      <c r="VG6" s="476" t="s">
        <v>721</v>
      </c>
      <c r="VH6" s="476" t="s">
        <v>721</v>
      </c>
      <c r="VI6" s="476" t="s">
        <v>721</v>
      </c>
      <c r="VJ6" s="476" t="s">
        <v>721</v>
      </c>
      <c r="VK6" s="476" t="s">
        <v>721</v>
      </c>
      <c r="VL6" s="476" t="s">
        <v>721</v>
      </c>
      <c r="VM6" s="476" t="s">
        <v>721</v>
      </c>
      <c r="VN6" s="476" t="s">
        <v>721</v>
      </c>
      <c r="VO6" s="28"/>
      <c r="VP6" s="28"/>
      <c r="VQ6" s="28"/>
      <c r="VR6" s="28"/>
      <c r="VS6" s="28"/>
      <c r="VT6" s="28"/>
      <c r="VU6" s="28"/>
      <c r="VV6" s="28"/>
      <c r="VW6" s="28"/>
      <c r="VX6" s="28"/>
      <c r="VY6" s="28"/>
      <c r="VZ6" s="28"/>
      <c r="WA6" s="28"/>
      <c r="WB6" s="28"/>
      <c r="WC6" s="28"/>
      <c r="WD6" s="28"/>
      <c r="WE6" s="28"/>
      <c r="WF6" s="28"/>
      <c r="WG6" s="28"/>
      <c r="WH6" s="28"/>
      <c r="WI6" s="28"/>
      <c r="WJ6" s="28"/>
      <c r="WK6" s="28"/>
      <c r="WL6" s="28"/>
      <c r="WM6" s="28"/>
      <c r="WN6" s="28"/>
      <c r="WO6" s="28"/>
      <c r="WP6" s="28"/>
      <c r="WQ6" s="28"/>
      <c r="WR6" s="28"/>
      <c r="WS6" s="28"/>
      <c r="WT6" s="28"/>
      <c r="WU6" s="28"/>
      <c r="WV6" s="28"/>
      <c r="WW6" s="28"/>
    </row>
    <row r="7" spans="1:621" s="151" customFormat="1" ht="15.75" customHeight="1" x14ac:dyDescent="0.35">
      <c r="A7" s="477" t="s">
        <v>16</v>
      </c>
      <c r="B7" s="492" t="s">
        <v>17</v>
      </c>
      <c r="C7" s="493">
        <v>16</v>
      </c>
      <c r="D7" s="494">
        <v>4210</v>
      </c>
      <c r="E7" s="473">
        <v>483842</v>
      </c>
      <c r="F7" s="473">
        <v>114.9</v>
      </c>
      <c r="G7" s="474">
        <v>4015</v>
      </c>
      <c r="H7" s="474">
        <v>3756</v>
      </c>
      <c r="I7" s="474">
        <v>3384</v>
      </c>
      <c r="J7" s="474">
        <v>2373</v>
      </c>
      <c r="K7" s="474">
        <v>1160</v>
      </c>
      <c r="L7" s="473">
        <v>203135.2</v>
      </c>
      <c r="M7" s="474">
        <v>2981</v>
      </c>
      <c r="N7" s="473">
        <v>280706.8</v>
      </c>
      <c r="O7" s="494">
        <v>588</v>
      </c>
      <c r="P7" s="495">
        <v>107495.8</v>
      </c>
      <c r="Q7" s="494">
        <v>531</v>
      </c>
      <c r="R7" s="495">
        <v>19873.7</v>
      </c>
      <c r="S7" s="494">
        <v>800</v>
      </c>
      <c r="T7" s="495">
        <v>77450.7</v>
      </c>
      <c r="U7" s="494">
        <v>65</v>
      </c>
      <c r="V7" s="495">
        <v>8765.2999999999993</v>
      </c>
      <c r="W7" s="494">
        <v>3345</v>
      </c>
      <c r="X7" s="495">
        <v>397626</v>
      </c>
      <c r="Y7" s="494">
        <v>3791</v>
      </c>
      <c r="Z7" s="494">
        <v>1841</v>
      </c>
      <c r="AA7" s="494">
        <v>2323</v>
      </c>
      <c r="AB7" s="494">
        <v>1503</v>
      </c>
      <c r="AC7" s="494">
        <v>220</v>
      </c>
      <c r="AD7" s="494">
        <v>766</v>
      </c>
      <c r="AE7" s="494">
        <v>2125</v>
      </c>
      <c r="AF7" s="495">
        <v>145286</v>
      </c>
      <c r="AG7" s="494">
        <v>1820</v>
      </c>
      <c r="AH7" s="495">
        <v>326048.40000000002</v>
      </c>
      <c r="AI7" s="494">
        <v>138</v>
      </c>
      <c r="AJ7" s="495">
        <v>6080.6</v>
      </c>
      <c r="AK7" s="494">
        <v>58</v>
      </c>
      <c r="AL7" s="495">
        <v>6427</v>
      </c>
      <c r="AM7" s="496">
        <v>2428</v>
      </c>
      <c r="AN7" s="496">
        <v>1782</v>
      </c>
      <c r="AO7" s="496">
        <v>2942</v>
      </c>
      <c r="AP7" s="496">
        <v>506</v>
      </c>
      <c r="AQ7" s="496">
        <v>171</v>
      </c>
      <c r="AR7" s="496">
        <v>174</v>
      </c>
      <c r="AS7" s="496">
        <v>111</v>
      </c>
      <c r="AT7" s="496">
        <v>12</v>
      </c>
      <c r="AU7" s="496">
        <v>26</v>
      </c>
      <c r="AV7" s="496" t="s">
        <v>721</v>
      </c>
      <c r="AW7" s="496" t="s">
        <v>721</v>
      </c>
      <c r="AX7" s="496" t="s">
        <v>721</v>
      </c>
      <c r="AY7" s="496" t="s">
        <v>721</v>
      </c>
      <c r="AZ7" s="496" t="s">
        <v>721</v>
      </c>
      <c r="BA7" s="496" t="s">
        <v>721</v>
      </c>
      <c r="BB7" s="496">
        <v>15</v>
      </c>
      <c r="BC7" s="496" t="s">
        <v>721</v>
      </c>
      <c r="BD7" s="496" t="s">
        <v>721</v>
      </c>
      <c r="BE7" s="496">
        <v>101</v>
      </c>
      <c r="BF7" s="496" t="s">
        <v>721</v>
      </c>
      <c r="BG7" s="496">
        <v>118</v>
      </c>
      <c r="BH7" s="496" t="s">
        <v>721</v>
      </c>
      <c r="BI7" s="496">
        <v>193</v>
      </c>
      <c r="BJ7" s="496" t="s">
        <v>721</v>
      </c>
      <c r="BK7" s="496" t="s">
        <v>721</v>
      </c>
      <c r="BL7" s="496" t="s">
        <v>721</v>
      </c>
      <c r="BM7" s="496" t="s">
        <v>721</v>
      </c>
      <c r="BN7" s="496">
        <v>11</v>
      </c>
      <c r="BO7" s="496">
        <v>3694</v>
      </c>
      <c r="BP7" s="496" t="s">
        <v>721</v>
      </c>
      <c r="BQ7" s="496" t="s">
        <v>721</v>
      </c>
      <c r="BR7" s="496" t="s">
        <v>721</v>
      </c>
      <c r="BS7" s="496" t="s">
        <v>721</v>
      </c>
      <c r="BT7" s="496" t="s">
        <v>721</v>
      </c>
      <c r="BU7" s="496" t="s">
        <v>721</v>
      </c>
      <c r="BV7" s="496" t="s">
        <v>721</v>
      </c>
      <c r="BW7" s="496">
        <v>41</v>
      </c>
      <c r="BX7" s="496">
        <v>192</v>
      </c>
      <c r="BY7" s="496">
        <v>20</v>
      </c>
      <c r="BZ7" s="496" t="s">
        <v>721</v>
      </c>
      <c r="CA7" s="496" t="s">
        <v>721</v>
      </c>
      <c r="CB7" s="496" t="s">
        <v>721</v>
      </c>
      <c r="CC7" s="496" t="s">
        <v>721</v>
      </c>
      <c r="CD7" s="496" t="s">
        <v>721</v>
      </c>
      <c r="CE7" s="496" t="s">
        <v>721</v>
      </c>
      <c r="CF7" s="496" t="s">
        <v>721</v>
      </c>
      <c r="CG7" s="496">
        <v>17</v>
      </c>
      <c r="CH7" s="496" t="s">
        <v>721</v>
      </c>
      <c r="CI7" s="496" t="s">
        <v>721</v>
      </c>
      <c r="CJ7" s="496" t="s">
        <v>721</v>
      </c>
      <c r="CK7" s="496" t="s">
        <v>721</v>
      </c>
      <c r="CL7" s="496" t="s">
        <v>721</v>
      </c>
      <c r="CM7" s="496" t="s">
        <v>721</v>
      </c>
      <c r="CN7" s="496" t="s">
        <v>721</v>
      </c>
      <c r="CO7" s="496" t="s">
        <v>721</v>
      </c>
      <c r="CP7" s="496">
        <v>115</v>
      </c>
      <c r="CQ7" s="496" t="s">
        <v>721</v>
      </c>
      <c r="CR7" s="496" t="s">
        <v>721</v>
      </c>
      <c r="CS7" s="496" t="s">
        <v>721</v>
      </c>
      <c r="CT7" s="496" t="s">
        <v>721</v>
      </c>
      <c r="CU7" s="496" t="s">
        <v>721</v>
      </c>
      <c r="CV7" s="496">
        <v>2962</v>
      </c>
      <c r="CW7" s="496">
        <v>627</v>
      </c>
      <c r="CX7" s="496" t="s">
        <v>721</v>
      </c>
      <c r="CY7" s="496" t="s">
        <v>721</v>
      </c>
      <c r="CZ7" s="496" t="s">
        <v>721</v>
      </c>
      <c r="DA7" s="496" t="s">
        <v>721</v>
      </c>
      <c r="DB7" s="496" t="s">
        <v>721</v>
      </c>
      <c r="DC7" s="496" t="s">
        <v>721</v>
      </c>
      <c r="DD7" s="496" t="s">
        <v>721</v>
      </c>
      <c r="DE7" s="496">
        <v>61</v>
      </c>
      <c r="DF7" s="496" t="s">
        <v>721</v>
      </c>
      <c r="DG7" s="496" t="s">
        <v>721</v>
      </c>
      <c r="DH7" s="496" t="s">
        <v>721</v>
      </c>
      <c r="DI7" s="496" t="s">
        <v>721</v>
      </c>
      <c r="DJ7" s="496" t="s">
        <v>721</v>
      </c>
      <c r="DK7" s="496" t="s">
        <v>721</v>
      </c>
      <c r="DL7" s="496" t="s">
        <v>721</v>
      </c>
      <c r="DM7" s="496" t="s">
        <v>721</v>
      </c>
      <c r="DN7" s="496" t="s">
        <v>721</v>
      </c>
      <c r="DO7" s="496" t="s">
        <v>721</v>
      </c>
      <c r="DP7" s="496" t="s">
        <v>721</v>
      </c>
      <c r="DQ7" s="496" t="s">
        <v>721</v>
      </c>
      <c r="DR7" s="496" t="s">
        <v>721</v>
      </c>
      <c r="DS7" s="483" t="s">
        <v>721</v>
      </c>
      <c r="DT7" s="483" t="s">
        <v>721</v>
      </c>
      <c r="DU7" s="483" t="s">
        <v>721</v>
      </c>
      <c r="DV7" s="496">
        <v>399</v>
      </c>
      <c r="DW7" s="497">
        <v>64885.4</v>
      </c>
      <c r="DX7" s="496">
        <v>769</v>
      </c>
      <c r="DY7" s="497">
        <v>119822</v>
      </c>
      <c r="DZ7" s="496">
        <v>1282</v>
      </c>
      <c r="EA7" s="497">
        <v>127530</v>
      </c>
      <c r="EB7" s="496">
        <v>963</v>
      </c>
      <c r="EC7" s="497">
        <v>89903.7</v>
      </c>
      <c r="ED7" s="496">
        <v>560</v>
      </c>
      <c r="EE7" s="497">
        <v>54868.4</v>
      </c>
      <c r="EF7" s="496">
        <v>237</v>
      </c>
      <c r="EG7" s="497">
        <v>26832.5</v>
      </c>
      <c r="EH7" s="485">
        <v>3446</v>
      </c>
      <c r="EI7" s="486">
        <v>12510.3</v>
      </c>
      <c r="EJ7" s="485">
        <v>3392</v>
      </c>
      <c r="EK7" s="486">
        <v>72594</v>
      </c>
      <c r="EL7" s="485">
        <v>3391</v>
      </c>
      <c r="EM7" s="486">
        <v>29833.7</v>
      </c>
      <c r="EN7" s="485">
        <v>3530</v>
      </c>
      <c r="EO7" s="486">
        <v>18834</v>
      </c>
      <c r="EP7" s="485">
        <v>3428</v>
      </c>
      <c r="EQ7" s="486">
        <v>10547.4</v>
      </c>
      <c r="ER7" s="485">
        <v>3407</v>
      </c>
      <c r="ES7" s="486">
        <v>7010.6</v>
      </c>
      <c r="ET7" s="485">
        <v>0</v>
      </c>
      <c r="EU7" s="485">
        <v>2465</v>
      </c>
      <c r="EV7" s="486">
        <v>37263.5</v>
      </c>
      <c r="EW7" s="485">
        <v>862</v>
      </c>
      <c r="EX7" s="486">
        <v>5891.9</v>
      </c>
      <c r="EY7" s="485">
        <v>1265</v>
      </c>
      <c r="EZ7" s="486">
        <v>14711.2</v>
      </c>
      <c r="FA7" s="485">
        <v>410</v>
      </c>
      <c r="FB7" s="486">
        <v>4074.3</v>
      </c>
      <c r="FC7" s="485">
        <v>3577</v>
      </c>
      <c r="FD7" s="486">
        <v>42166.8</v>
      </c>
      <c r="FE7" s="485">
        <v>3329</v>
      </c>
      <c r="FF7" s="486">
        <v>25764</v>
      </c>
      <c r="FG7" s="485">
        <v>1878</v>
      </c>
      <c r="FH7" s="486">
        <v>16990.3</v>
      </c>
      <c r="FI7" s="485">
        <v>2416</v>
      </c>
      <c r="FJ7" s="486">
        <v>14498.2</v>
      </c>
      <c r="FK7" s="485">
        <v>2973</v>
      </c>
      <c r="FL7" s="486">
        <v>8799.9</v>
      </c>
      <c r="FM7" s="485">
        <v>205</v>
      </c>
      <c r="FN7" s="486">
        <v>463.7</v>
      </c>
      <c r="FO7" s="485">
        <v>2984</v>
      </c>
      <c r="FP7" s="486">
        <v>22304</v>
      </c>
      <c r="FQ7" s="485">
        <v>3126</v>
      </c>
      <c r="FR7" s="486">
        <v>11638.3</v>
      </c>
      <c r="FS7" s="485">
        <v>98</v>
      </c>
      <c r="FT7" s="486">
        <v>710.6</v>
      </c>
      <c r="FU7" s="485">
        <v>0</v>
      </c>
      <c r="FV7" s="486">
        <v>0</v>
      </c>
      <c r="FW7" s="485">
        <v>0</v>
      </c>
      <c r="FX7" s="486">
        <v>0</v>
      </c>
      <c r="FY7" s="485">
        <v>1</v>
      </c>
      <c r="FZ7" s="486">
        <v>0.1</v>
      </c>
      <c r="GA7" s="485">
        <v>0</v>
      </c>
      <c r="GB7" s="485">
        <v>0</v>
      </c>
      <c r="GC7" s="487">
        <v>0</v>
      </c>
      <c r="GD7" s="488">
        <v>122</v>
      </c>
      <c r="GE7" s="488">
        <v>260</v>
      </c>
      <c r="GF7" s="488">
        <v>2453</v>
      </c>
      <c r="GG7" s="488">
        <v>5</v>
      </c>
      <c r="GH7" s="488">
        <v>4</v>
      </c>
      <c r="GI7" s="488">
        <v>1</v>
      </c>
      <c r="GJ7" s="488">
        <v>0</v>
      </c>
      <c r="GK7" s="488">
        <v>1019</v>
      </c>
      <c r="GL7" s="488">
        <v>1806</v>
      </c>
      <c r="GM7" s="488">
        <v>2835</v>
      </c>
      <c r="GN7" s="488">
        <v>893</v>
      </c>
      <c r="GO7" s="488">
        <v>123</v>
      </c>
      <c r="GP7" s="488">
        <v>4</v>
      </c>
      <c r="GQ7" s="488">
        <v>39</v>
      </c>
      <c r="GR7" s="488">
        <v>2</v>
      </c>
      <c r="GS7" s="488">
        <v>45</v>
      </c>
      <c r="GT7" s="489">
        <v>2816</v>
      </c>
      <c r="GU7" s="488">
        <v>7</v>
      </c>
      <c r="GV7" s="490">
        <v>0</v>
      </c>
      <c r="GW7" s="490">
        <v>3</v>
      </c>
      <c r="GX7" s="490">
        <v>10</v>
      </c>
      <c r="GY7" s="491">
        <v>21</v>
      </c>
      <c r="GZ7" s="491">
        <v>9</v>
      </c>
      <c r="HA7" s="491">
        <v>30</v>
      </c>
      <c r="HB7" s="475">
        <v>1</v>
      </c>
      <c r="HC7" s="475">
        <v>3</v>
      </c>
      <c r="HD7" s="475">
        <v>0</v>
      </c>
      <c r="HE7" s="475">
        <v>0</v>
      </c>
      <c r="HF7" s="475">
        <v>0</v>
      </c>
      <c r="HG7" s="475">
        <v>0</v>
      </c>
      <c r="HH7" s="475">
        <v>2</v>
      </c>
      <c r="HI7" s="475">
        <v>0</v>
      </c>
      <c r="HJ7" s="475">
        <v>0</v>
      </c>
      <c r="HK7" s="475">
        <v>0</v>
      </c>
      <c r="HL7" s="475">
        <v>0</v>
      </c>
      <c r="HM7" s="475">
        <v>0</v>
      </c>
      <c r="HN7" s="475">
        <v>0</v>
      </c>
      <c r="HO7" s="475">
        <v>0</v>
      </c>
      <c r="HP7" s="475">
        <v>0</v>
      </c>
      <c r="HQ7" s="475">
        <v>0</v>
      </c>
      <c r="HR7" s="475">
        <v>18</v>
      </c>
      <c r="HS7" s="475">
        <v>0</v>
      </c>
      <c r="HT7" s="475">
        <v>0</v>
      </c>
      <c r="HU7" s="475">
        <v>0</v>
      </c>
      <c r="HV7" s="475">
        <v>0</v>
      </c>
      <c r="HW7" s="475">
        <v>0</v>
      </c>
      <c r="HX7" s="475">
        <v>0</v>
      </c>
      <c r="HY7" s="475">
        <v>0</v>
      </c>
      <c r="HZ7" s="475">
        <v>93</v>
      </c>
      <c r="IA7" s="475">
        <v>11</v>
      </c>
      <c r="IB7" s="475" t="s">
        <v>721</v>
      </c>
      <c r="IC7" s="475" t="s">
        <v>721</v>
      </c>
      <c r="ID7" s="475" t="s">
        <v>721</v>
      </c>
      <c r="IE7" s="475" t="s">
        <v>721</v>
      </c>
      <c r="IF7" s="475" t="s">
        <v>721</v>
      </c>
      <c r="IG7" s="475" t="s">
        <v>721</v>
      </c>
      <c r="IH7" s="475" t="s">
        <v>721</v>
      </c>
      <c r="II7" s="475" t="s">
        <v>721</v>
      </c>
      <c r="IJ7" s="475" t="s">
        <v>721</v>
      </c>
      <c r="IK7" s="475" t="s">
        <v>721</v>
      </c>
      <c r="IL7" s="475" t="s">
        <v>721</v>
      </c>
      <c r="IM7" s="475" t="s">
        <v>721</v>
      </c>
      <c r="IN7" s="475" t="s">
        <v>721</v>
      </c>
      <c r="IO7" s="475" t="s">
        <v>721</v>
      </c>
      <c r="IP7" s="475" t="s">
        <v>721</v>
      </c>
      <c r="IQ7" s="475" t="s">
        <v>721</v>
      </c>
      <c r="IR7" s="475" t="s">
        <v>721</v>
      </c>
      <c r="IS7" s="475">
        <v>35</v>
      </c>
      <c r="IT7" s="475" t="s">
        <v>721</v>
      </c>
      <c r="IU7" s="475" t="s">
        <v>721</v>
      </c>
      <c r="IV7" s="475" t="s">
        <v>721</v>
      </c>
      <c r="IW7" s="475" t="s">
        <v>721</v>
      </c>
      <c r="IX7" s="475" t="s">
        <v>721</v>
      </c>
      <c r="IY7" s="475" t="s">
        <v>721</v>
      </c>
      <c r="IZ7" s="475" t="s">
        <v>721</v>
      </c>
      <c r="JA7" s="475" t="s">
        <v>721</v>
      </c>
      <c r="JB7" s="475" t="s">
        <v>721</v>
      </c>
      <c r="JC7" s="475" t="s">
        <v>721</v>
      </c>
      <c r="JD7" s="475" t="s">
        <v>721</v>
      </c>
      <c r="JE7" s="475" t="s">
        <v>721</v>
      </c>
      <c r="JF7" s="475" t="s">
        <v>721</v>
      </c>
      <c r="JG7" s="475" t="s">
        <v>721</v>
      </c>
      <c r="JH7" s="475" t="s">
        <v>721</v>
      </c>
      <c r="JI7" s="475" t="s">
        <v>721</v>
      </c>
      <c r="JJ7" s="475" t="s">
        <v>721</v>
      </c>
      <c r="JK7" s="475" t="s">
        <v>721</v>
      </c>
      <c r="JL7" s="755">
        <v>333858.7</v>
      </c>
      <c r="JM7" s="755">
        <v>62597</v>
      </c>
      <c r="JN7" s="755">
        <v>18455.099999999999</v>
      </c>
      <c r="JO7" s="755">
        <v>19446.099999999999</v>
      </c>
      <c r="JP7" s="755">
        <v>11812.9</v>
      </c>
      <c r="JQ7" s="755">
        <v>1812.8</v>
      </c>
      <c r="JR7" s="755">
        <v>3262.7</v>
      </c>
      <c r="JS7" s="755">
        <v>553.79999999999995</v>
      </c>
      <c r="JT7" s="755">
        <v>1725.3</v>
      </c>
      <c r="JU7" s="755">
        <v>439.7</v>
      </c>
      <c r="JV7" s="755">
        <v>141.5</v>
      </c>
      <c r="JW7" s="755">
        <v>1079.8</v>
      </c>
      <c r="JX7" s="755">
        <v>53.5</v>
      </c>
      <c r="JY7" s="755">
        <v>1648.8</v>
      </c>
      <c r="JZ7" s="755">
        <v>586.4</v>
      </c>
      <c r="KA7" s="755" t="s">
        <v>721</v>
      </c>
      <c r="KB7" s="755">
        <v>12369.7</v>
      </c>
      <c r="KC7" s="755">
        <v>1053.8</v>
      </c>
      <c r="KD7" s="755">
        <v>12944.4</v>
      </c>
      <c r="KE7" s="475">
        <v>409</v>
      </c>
      <c r="KF7" s="475">
        <v>79</v>
      </c>
      <c r="KG7" s="475">
        <v>18</v>
      </c>
      <c r="KH7" s="475">
        <v>17</v>
      </c>
      <c r="KI7" s="475">
        <v>12</v>
      </c>
      <c r="KJ7" s="475" t="s">
        <v>721</v>
      </c>
      <c r="KK7" s="475" t="s">
        <v>721</v>
      </c>
      <c r="KL7" s="475" t="s">
        <v>721</v>
      </c>
      <c r="KM7" s="475" t="s">
        <v>721</v>
      </c>
      <c r="KN7" s="475" t="s">
        <v>721</v>
      </c>
      <c r="KO7" s="475" t="s">
        <v>721</v>
      </c>
      <c r="KP7" s="475" t="s">
        <v>721</v>
      </c>
      <c r="KQ7" s="475" t="s">
        <v>721</v>
      </c>
      <c r="KR7" s="475" t="s">
        <v>721</v>
      </c>
      <c r="KS7" s="475" t="s">
        <v>721</v>
      </c>
      <c r="KT7" s="475" t="s">
        <v>721</v>
      </c>
      <c r="KU7" s="475" t="s">
        <v>721</v>
      </c>
      <c r="KV7" s="475" t="s">
        <v>721</v>
      </c>
      <c r="KW7" s="475">
        <v>17</v>
      </c>
      <c r="KX7" s="475">
        <v>331</v>
      </c>
      <c r="KY7" s="475">
        <v>79</v>
      </c>
      <c r="KZ7" s="475">
        <v>19</v>
      </c>
      <c r="LA7" s="475">
        <v>36</v>
      </c>
      <c r="LB7" s="475">
        <v>17</v>
      </c>
      <c r="LC7" s="475" t="s">
        <v>721</v>
      </c>
      <c r="LD7" s="475" t="s">
        <v>721</v>
      </c>
      <c r="LE7" s="475" t="s">
        <v>721</v>
      </c>
      <c r="LF7" s="475" t="s">
        <v>721</v>
      </c>
      <c r="LG7" s="475" t="s">
        <v>721</v>
      </c>
      <c r="LH7" s="475" t="s">
        <v>721</v>
      </c>
      <c r="LI7" s="475" t="s">
        <v>721</v>
      </c>
      <c r="LJ7" s="475" t="s">
        <v>721</v>
      </c>
      <c r="LK7" s="475" t="s">
        <v>721</v>
      </c>
      <c r="LL7" s="475" t="s">
        <v>721</v>
      </c>
      <c r="LM7" s="475" t="s">
        <v>721</v>
      </c>
      <c r="LN7" s="475">
        <v>18</v>
      </c>
      <c r="LO7" s="475" t="s">
        <v>721</v>
      </c>
      <c r="LP7" s="475">
        <v>17</v>
      </c>
      <c r="LQ7" s="475">
        <v>2133</v>
      </c>
      <c r="LR7" s="475">
        <v>334</v>
      </c>
      <c r="LS7" s="475">
        <v>126</v>
      </c>
      <c r="LT7" s="475">
        <v>116</v>
      </c>
      <c r="LU7" s="475">
        <v>82</v>
      </c>
      <c r="LV7" s="475" t="s">
        <v>721</v>
      </c>
      <c r="LW7" s="475">
        <v>19</v>
      </c>
      <c r="LX7" s="475" t="s">
        <v>721</v>
      </c>
      <c r="LY7" s="475" t="s">
        <v>721</v>
      </c>
      <c r="LZ7" s="475" t="s">
        <v>721</v>
      </c>
      <c r="MA7" s="475" t="s">
        <v>721</v>
      </c>
      <c r="MB7" s="475" t="s">
        <v>721</v>
      </c>
      <c r="MC7" s="475" t="s">
        <v>721</v>
      </c>
      <c r="MD7" s="475" t="s">
        <v>721</v>
      </c>
      <c r="ME7" s="475" t="s">
        <v>721</v>
      </c>
      <c r="MF7" s="475" t="s">
        <v>721</v>
      </c>
      <c r="MG7" s="475">
        <v>43</v>
      </c>
      <c r="MH7" s="475" t="s">
        <v>721</v>
      </c>
      <c r="MI7" s="475">
        <v>86</v>
      </c>
      <c r="MJ7" s="475">
        <v>754</v>
      </c>
      <c r="MK7" s="475">
        <v>166</v>
      </c>
      <c r="ML7" s="475">
        <v>43</v>
      </c>
      <c r="MM7" s="475">
        <v>58</v>
      </c>
      <c r="MN7" s="475">
        <v>26</v>
      </c>
      <c r="MO7" s="475" t="s">
        <v>721</v>
      </c>
      <c r="MP7" s="475" t="s">
        <v>721</v>
      </c>
      <c r="MQ7" s="475" t="s">
        <v>721</v>
      </c>
      <c r="MR7" s="475" t="s">
        <v>721</v>
      </c>
      <c r="MS7" s="475" t="s">
        <v>721</v>
      </c>
      <c r="MT7" s="475" t="s">
        <v>721</v>
      </c>
      <c r="MU7" s="475" t="s">
        <v>721</v>
      </c>
      <c r="MV7" s="475" t="s">
        <v>721</v>
      </c>
      <c r="MW7" s="475" t="s">
        <v>721</v>
      </c>
      <c r="MX7" s="475" t="s">
        <v>721</v>
      </c>
      <c r="MY7" s="475" t="s">
        <v>721</v>
      </c>
      <c r="MZ7" s="475">
        <v>58</v>
      </c>
      <c r="NA7" s="475" t="s">
        <v>721</v>
      </c>
      <c r="NB7" s="475">
        <v>31</v>
      </c>
      <c r="NC7" s="476">
        <v>0.57699999999999996</v>
      </c>
      <c r="ND7" s="476">
        <v>0.42299999999999999</v>
      </c>
      <c r="NE7" s="476">
        <v>0.69899999999999995</v>
      </c>
      <c r="NF7" s="476">
        <v>0.12</v>
      </c>
      <c r="NG7" s="476">
        <v>4.1000000000000002E-2</v>
      </c>
      <c r="NH7" s="476">
        <v>4.2000000000000003E-2</v>
      </c>
      <c r="NI7" s="476">
        <v>2.5999999999999999E-2</v>
      </c>
      <c r="NJ7" s="476">
        <v>3.0000000000000001E-3</v>
      </c>
      <c r="NK7" s="476">
        <v>6.0000000000000001E-3</v>
      </c>
      <c r="NL7" s="476" t="s">
        <v>721</v>
      </c>
      <c r="NM7" s="476" t="s">
        <v>721</v>
      </c>
      <c r="NN7" s="476" t="s">
        <v>721</v>
      </c>
      <c r="NO7" s="476" t="s">
        <v>721</v>
      </c>
      <c r="NP7" s="476" t="s">
        <v>721</v>
      </c>
      <c r="NQ7" s="476" t="s">
        <v>721</v>
      </c>
      <c r="NR7" s="476">
        <v>4.0000000000000001E-3</v>
      </c>
      <c r="NS7" s="476" t="s">
        <v>721</v>
      </c>
      <c r="NT7" s="476" t="s">
        <v>721</v>
      </c>
      <c r="NU7" s="476">
        <v>2.4E-2</v>
      </c>
      <c r="NV7" s="476" t="s">
        <v>721</v>
      </c>
      <c r="NW7" s="476">
        <v>2.8000000000000001E-2</v>
      </c>
      <c r="NX7" s="476" t="s">
        <v>721</v>
      </c>
      <c r="NY7" s="476">
        <v>4.5999999999999999E-2</v>
      </c>
      <c r="NZ7" s="476" t="s">
        <v>721</v>
      </c>
      <c r="OA7" s="476" t="s">
        <v>721</v>
      </c>
      <c r="OB7" s="476" t="s">
        <v>721</v>
      </c>
      <c r="OC7" s="476" t="s">
        <v>721</v>
      </c>
      <c r="OD7" s="476">
        <v>3.0000000000000001E-3</v>
      </c>
      <c r="OE7" s="476">
        <v>0.877</v>
      </c>
      <c r="OF7" s="476" t="s">
        <v>721</v>
      </c>
      <c r="OG7" s="476" t="s">
        <v>721</v>
      </c>
      <c r="OH7" s="476" t="s">
        <v>721</v>
      </c>
      <c r="OI7" s="476" t="s">
        <v>721</v>
      </c>
      <c r="OJ7" s="476" t="s">
        <v>721</v>
      </c>
      <c r="OK7" s="476" t="s">
        <v>721</v>
      </c>
      <c r="OL7" s="476" t="s">
        <v>721</v>
      </c>
      <c r="OM7" s="476">
        <v>0.01</v>
      </c>
      <c r="ON7" s="476">
        <v>4.5999999999999999E-2</v>
      </c>
      <c r="OO7" s="476">
        <v>5.0000000000000001E-3</v>
      </c>
      <c r="OP7" s="476" t="s">
        <v>721</v>
      </c>
      <c r="OQ7" s="476" t="s">
        <v>721</v>
      </c>
      <c r="OR7" s="476" t="s">
        <v>721</v>
      </c>
      <c r="OS7" s="476" t="s">
        <v>721</v>
      </c>
      <c r="OT7" s="476" t="s">
        <v>721</v>
      </c>
      <c r="OU7" s="476" t="s">
        <v>721</v>
      </c>
      <c r="OV7" s="476" t="s">
        <v>721</v>
      </c>
      <c r="OW7" s="476">
        <v>4.0000000000000001E-3</v>
      </c>
      <c r="OX7" s="476" t="s">
        <v>721</v>
      </c>
      <c r="OY7" s="476" t="s">
        <v>721</v>
      </c>
      <c r="OZ7" s="476" t="s">
        <v>721</v>
      </c>
      <c r="PA7" s="476" t="s">
        <v>721</v>
      </c>
      <c r="PB7" s="476" t="s">
        <v>721</v>
      </c>
      <c r="PC7" s="476" t="s">
        <v>721</v>
      </c>
      <c r="PD7" s="476" t="s">
        <v>721</v>
      </c>
      <c r="PE7" s="476" t="s">
        <v>721</v>
      </c>
      <c r="PF7" s="476">
        <v>0.03</v>
      </c>
      <c r="PG7" s="476" t="s">
        <v>721</v>
      </c>
      <c r="PH7" s="476" t="s">
        <v>721</v>
      </c>
      <c r="PI7" s="476" t="s">
        <v>721</v>
      </c>
      <c r="PJ7" s="476" t="s">
        <v>721</v>
      </c>
      <c r="PK7" s="476" t="s">
        <v>721</v>
      </c>
      <c r="PL7" s="476">
        <v>0.78100000000000003</v>
      </c>
      <c r="PM7" s="476">
        <v>0.16500000000000001</v>
      </c>
      <c r="PN7" s="476" t="s">
        <v>721</v>
      </c>
      <c r="PO7" s="476" t="s">
        <v>721</v>
      </c>
      <c r="PP7" s="476" t="s">
        <v>721</v>
      </c>
      <c r="PQ7" s="476" t="s">
        <v>721</v>
      </c>
      <c r="PR7" s="476" t="s">
        <v>721</v>
      </c>
      <c r="PS7" s="476" t="s">
        <v>721</v>
      </c>
      <c r="PT7" s="476" t="s">
        <v>721</v>
      </c>
      <c r="PU7" s="476">
        <v>1.6E-2</v>
      </c>
      <c r="PV7" s="476" t="s">
        <v>721</v>
      </c>
      <c r="PW7" s="476" t="s">
        <v>721</v>
      </c>
      <c r="PX7" s="476" t="s">
        <v>721</v>
      </c>
      <c r="PY7" s="476" t="s">
        <v>721</v>
      </c>
      <c r="PZ7" s="476" t="s">
        <v>721</v>
      </c>
      <c r="QA7" s="476" t="s">
        <v>721</v>
      </c>
      <c r="QB7" s="476" t="s">
        <v>721</v>
      </c>
      <c r="QC7" s="476" t="s">
        <v>721</v>
      </c>
      <c r="QD7" s="476" t="s">
        <v>721</v>
      </c>
      <c r="QE7" s="476" t="s">
        <v>721</v>
      </c>
      <c r="QF7" s="476" t="s">
        <v>721</v>
      </c>
      <c r="QG7" s="476" t="s">
        <v>721</v>
      </c>
      <c r="QH7" s="476" t="s">
        <v>721</v>
      </c>
      <c r="QI7" s="476" t="s">
        <v>721</v>
      </c>
      <c r="QJ7" s="476" t="s">
        <v>721</v>
      </c>
      <c r="QK7" s="476" t="s">
        <v>721</v>
      </c>
      <c r="QL7" s="476">
        <v>0.75600000000000001</v>
      </c>
      <c r="QM7" s="476">
        <v>8.8999999999999996E-2</v>
      </c>
      <c r="QN7" s="476" t="s">
        <v>721</v>
      </c>
      <c r="QO7" s="476" t="s">
        <v>721</v>
      </c>
      <c r="QP7" s="476" t="s">
        <v>721</v>
      </c>
      <c r="QQ7" s="476" t="s">
        <v>721</v>
      </c>
      <c r="QR7" s="476" t="s">
        <v>721</v>
      </c>
      <c r="QS7" s="476" t="s">
        <v>721</v>
      </c>
      <c r="QT7" s="476" t="s">
        <v>721</v>
      </c>
      <c r="QU7" s="476" t="s">
        <v>721</v>
      </c>
      <c r="QV7" s="476" t="s">
        <v>721</v>
      </c>
      <c r="QW7" s="476" t="s">
        <v>721</v>
      </c>
      <c r="QX7" s="476" t="s">
        <v>721</v>
      </c>
      <c r="QY7" s="476" t="s">
        <v>721</v>
      </c>
      <c r="QZ7" s="476" t="s">
        <v>721</v>
      </c>
      <c r="RA7" s="476" t="s">
        <v>721</v>
      </c>
      <c r="RB7" s="476" t="s">
        <v>721</v>
      </c>
      <c r="RC7" s="476" t="s">
        <v>721</v>
      </c>
      <c r="RD7" s="476" t="s">
        <v>721</v>
      </c>
      <c r="RE7" s="476">
        <v>0.77800000000000002</v>
      </c>
      <c r="RF7" s="476" t="s">
        <v>721</v>
      </c>
      <c r="RG7" s="476" t="s">
        <v>721</v>
      </c>
      <c r="RH7" s="476" t="s">
        <v>721</v>
      </c>
      <c r="RI7" s="476" t="s">
        <v>721</v>
      </c>
      <c r="RJ7" s="476" t="s">
        <v>721</v>
      </c>
      <c r="RK7" s="476" t="s">
        <v>721</v>
      </c>
      <c r="RL7" s="476" t="s">
        <v>721</v>
      </c>
      <c r="RM7" s="476" t="s">
        <v>721</v>
      </c>
      <c r="RN7" s="476" t="s">
        <v>721</v>
      </c>
      <c r="RO7" s="476" t="s">
        <v>721</v>
      </c>
      <c r="RP7" s="476" t="s">
        <v>721</v>
      </c>
      <c r="RQ7" s="476" t="s">
        <v>721</v>
      </c>
      <c r="RR7" s="476" t="s">
        <v>721</v>
      </c>
      <c r="RS7" s="476" t="s">
        <v>721</v>
      </c>
      <c r="RT7" s="476" t="s">
        <v>721</v>
      </c>
      <c r="RU7" s="476" t="s">
        <v>721</v>
      </c>
      <c r="RV7" s="476" t="s">
        <v>721</v>
      </c>
      <c r="RW7" s="476" t="s">
        <v>721</v>
      </c>
      <c r="RX7" s="476">
        <v>0.69</v>
      </c>
      <c r="RY7" s="476">
        <v>0.129</v>
      </c>
      <c r="RZ7" s="476">
        <v>3.7999999999999999E-2</v>
      </c>
      <c r="SA7" s="476">
        <v>0.04</v>
      </c>
      <c r="SB7" s="476">
        <v>2.4E-2</v>
      </c>
      <c r="SC7" s="476">
        <v>4.0000000000000001E-3</v>
      </c>
      <c r="SD7" s="476">
        <v>7.0000000000000001E-3</v>
      </c>
      <c r="SE7" s="476">
        <v>1E-3</v>
      </c>
      <c r="SF7" s="476">
        <v>4.0000000000000001E-3</v>
      </c>
      <c r="SG7" s="476">
        <v>1E-3</v>
      </c>
      <c r="SH7" s="476">
        <v>0</v>
      </c>
      <c r="SI7" s="476">
        <v>2E-3</v>
      </c>
      <c r="SJ7" s="476">
        <v>0</v>
      </c>
      <c r="SK7" s="476">
        <v>3.0000000000000001E-3</v>
      </c>
      <c r="SL7" s="476">
        <v>1E-3</v>
      </c>
      <c r="SM7" s="476" t="s">
        <v>721</v>
      </c>
      <c r="SN7" s="476">
        <v>2.5999999999999999E-2</v>
      </c>
      <c r="SO7" s="476">
        <v>2E-3</v>
      </c>
      <c r="SP7" s="476">
        <v>2.7E-2</v>
      </c>
      <c r="SQ7" s="476">
        <v>0.69599999999999995</v>
      </c>
      <c r="SR7" s="476">
        <v>0.13400000000000001</v>
      </c>
      <c r="SS7" s="476">
        <v>3.1E-2</v>
      </c>
      <c r="ST7" s="476">
        <v>2.9000000000000001E-2</v>
      </c>
      <c r="SU7" s="476">
        <v>0.02</v>
      </c>
      <c r="SV7" s="476" t="s">
        <v>721</v>
      </c>
      <c r="SW7" s="476" t="s">
        <v>721</v>
      </c>
      <c r="SX7" s="476" t="s">
        <v>721</v>
      </c>
      <c r="SY7" s="476" t="s">
        <v>721</v>
      </c>
      <c r="SZ7" s="476" t="s">
        <v>721</v>
      </c>
      <c r="TA7" s="476" t="s">
        <v>721</v>
      </c>
      <c r="TB7" s="476" t="s">
        <v>721</v>
      </c>
      <c r="TC7" s="476" t="s">
        <v>721</v>
      </c>
      <c r="TD7" s="476" t="s">
        <v>721</v>
      </c>
      <c r="TE7" s="476" t="s">
        <v>721</v>
      </c>
      <c r="TF7" s="476" t="s">
        <v>721</v>
      </c>
      <c r="TG7" s="476" t="s">
        <v>721</v>
      </c>
      <c r="TH7" s="476" t="s">
        <v>721</v>
      </c>
      <c r="TI7" s="476">
        <v>2.9000000000000001E-2</v>
      </c>
      <c r="TJ7" s="476">
        <v>0.623</v>
      </c>
      <c r="TK7" s="476">
        <v>0.14899999999999999</v>
      </c>
      <c r="TL7" s="476">
        <v>3.5999999999999997E-2</v>
      </c>
      <c r="TM7" s="476">
        <v>6.8000000000000005E-2</v>
      </c>
      <c r="TN7" s="476">
        <v>3.2000000000000001E-2</v>
      </c>
      <c r="TO7" s="476" t="s">
        <v>721</v>
      </c>
      <c r="TP7" s="476" t="s">
        <v>721</v>
      </c>
      <c r="TQ7" s="476" t="s">
        <v>721</v>
      </c>
      <c r="TR7" s="476" t="s">
        <v>721</v>
      </c>
      <c r="TS7" s="476" t="s">
        <v>721</v>
      </c>
      <c r="TT7" s="476" t="s">
        <v>721</v>
      </c>
      <c r="TU7" s="476" t="s">
        <v>721</v>
      </c>
      <c r="TV7" s="476" t="s">
        <v>721</v>
      </c>
      <c r="TW7" s="476" t="s">
        <v>721</v>
      </c>
      <c r="TX7" s="476" t="s">
        <v>721</v>
      </c>
      <c r="TY7" s="476" t="s">
        <v>721</v>
      </c>
      <c r="TZ7" s="476">
        <v>3.4000000000000002E-2</v>
      </c>
      <c r="UA7" s="476" t="s">
        <v>721</v>
      </c>
      <c r="UB7" s="476">
        <v>3.2000000000000001E-2</v>
      </c>
      <c r="UC7" s="476">
        <v>0.71599999999999997</v>
      </c>
      <c r="UD7" s="476">
        <v>0.112</v>
      </c>
      <c r="UE7" s="476">
        <v>4.2000000000000003E-2</v>
      </c>
      <c r="UF7" s="476">
        <v>3.9E-2</v>
      </c>
      <c r="UG7" s="476">
        <v>2.8000000000000001E-2</v>
      </c>
      <c r="UH7" s="476" t="s">
        <v>721</v>
      </c>
      <c r="UI7" s="476">
        <v>6.0000000000000001E-3</v>
      </c>
      <c r="UJ7" s="476" t="s">
        <v>721</v>
      </c>
      <c r="UK7" s="476" t="s">
        <v>721</v>
      </c>
      <c r="UL7" s="476" t="s">
        <v>721</v>
      </c>
      <c r="UM7" s="476" t="s">
        <v>721</v>
      </c>
      <c r="UN7" s="476" t="s">
        <v>721</v>
      </c>
      <c r="UO7" s="476" t="s">
        <v>721</v>
      </c>
      <c r="UP7" s="476" t="s">
        <v>721</v>
      </c>
      <c r="UQ7" s="476" t="s">
        <v>721</v>
      </c>
      <c r="UR7" s="476" t="s">
        <v>721</v>
      </c>
      <c r="US7" s="476">
        <v>1.4E-2</v>
      </c>
      <c r="UT7" s="476" t="s">
        <v>721</v>
      </c>
      <c r="UU7" s="476">
        <v>2.9000000000000001E-2</v>
      </c>
      <c r="UV7" s="476">
        <v>0.65</v>
      </c>
      <c r="UW7" s="476">
        <v>0.14299999999999999</v>
      </c>
      <c r="UX7" s="476">
        <v>3.6999999999999998E-2</v>
      </c>
      <c r="UY7" s="476">
        <v>0.05</v>
      </c>
      <c r="UZ7" s="476">
        <v>2.1999999999999999E-2</v>
      </c>
      <c r="VA7" s="476" t="s">
        <v>721</v>
      </c>
      <c r="VB7" s="476" t="s">
        <v>721</v>
      </c>
      <c r="VC7" s="476" t="s">
        <v>721</v>
      </c>
      <c r="VD7" s="476" t="s">
        <v>721</v>
      </c>
      <c r="VE7" s="476" t="s">
        <v>721</v>
      </c>
      <c r="VF7" s="476" t="s">
        <v>721</v>
      </c>
      <c r="VG7" s="476" t="s">
        <v>721</v>
      </c>
      <c r="VH7" s="476" t="s">
        <v>721</v>
      </c>
      <c r="VI7" s="476" t="s">
        <v>721</v>
      </c>
      <c r="VJ7" s="476" t="s">
        <v>721</v>
      </c>
      <c r="VK7" s="476" t="s">
        <v>721</v>
      </c>
      <c r="VL7" s="476">
        <v>0.05</v>
      </c>
      <c r="VM7" s="476" t="s">
        <v>721</v>
      </c>
      <c r="VN7" s="476">
        <v>2.7E-2</v>
      </c>
      <c r="VO7" s="28"/>
      <c r="VP7" s="28"/>
      <c r="VQ7" s="28"/>
      <c r="VR7" s="28"/>
      <c r="VS7" s="28"/>
      <c r="VT7" s="28"/>
      <c r="VU7" s="28"/>
      <c r="VV7" s="28"/>
      <c r="VW7" s="28"/>
      <c r="VX7" s="28"/>
      <c r="VY7" s="28"/>
      <c r="VZ7" s="28"/>
      <c r="WA7" s="28"/>
      <c r="WB7" s="28"/>
      <c r="WC7" s="28"/>
      <c r="WD7" s="28"/>
      <c r="WE7" s="28"/>
      <c r="WF7" s="28"/>
      <c r="WG7" s="28"/>
      <c r="WH7" s="28"/>
      <c r="WI7" s="28"/>
      <c r="WJ7" s="28"/>
      <c r="WK7" s="28"/>
      <c r="WL7" s="28"/>
      <c r="WM7" s="28"/>
      <c r="WN7" s="28"/>
      <c r="WO7" s="28"/>
      <c r="WP7" s="28"/>
      <c r="WQ7" s="28"/>
      <c r="WR7" s="28"/>
      <c r="WS7" s="28"/>
      <c r="WT7" s="28"/>
      <c r="WU7" s="28"/>
      <c r="WV7" s="28"/>
      <c r="WW7" s="28"/>
    </row>
    <row r="8" spans="1:621" s="151" customFormat="1" ht="15.75" customHeight="1" x14ac:dyDescent="0.35">
      <c r="A8" s="477" t="s">
        <v>18</v>
      </c>
      <c r="B8" s="492" t="s">
        <v>15</v>
      </c>
      <c r="C8" s="493">
        <v>15.5</v>
      </c>
      <c r="D8" s="494">
        <v>563</v>
      </c>
      <c r="E8" s="473">
        <v>62702.1</v>
      </c>
      <c r="F8" s="473">
        <v>111.4</v>
      </c>
      <c r="G8" s="474">
        <v>534</v>
      </c>
      <c r="H8" s="474">
        <v>502</v>
      </c>
      <c r="I8" s="474">
        <v>370</v>
      </c>
      <c r="J8" s="474">
        <v>294</v>
      </c>
      <c r="K8" s="474">
        <v>190</v>
      </c>
      <c r="L8" s="473">
        <v>32490.7</v>
      </c>
      <c r="M8" s="474">
        <v>347</v>
      </c>
      <c r="N8" s="473">
        <v>30211.4</v>
      </c>
      <c r="O8" s="494">
        <v>56</v>
      </c>
      <c r="P8" s="495">
        <v>9870.2000000000007</v>
      </c>
      <c r="Q8" s="494">
        <v>91</v>
      </c>
      <c r="R8" s="495">
        <v>3256.8</v>
      </c>
      <c r="S8" s="494">
        <v>45</v>
      </c>
      <c r="T8" s="495">
        <v>5541.7</v>
      </c>
      <c r="U8" s="494">
        <v>7</v>
      </c>
      <c r="V8" s="495">
        <v>1372.1</v>
      </c>
      <c r="W8" s="494">
        <v>511</v>
      </c>
      <c r="X8" s="495">
        <v>55788.3</v>
      </c>
      <c r="Y8" s="494">
        <v>510</v>
      </c>
      <c r="Z8" s="494">
        <v>244</v>
      </c>
      <c r="AA8" s="494">
        <v>317</v>
      </c>
      <c r="AB8" s="494">
        <v>203</v>
      </c>
      <c r="AC8" s="494">
        <v>43</v>
      </c>
      <c r="AD8" s="494">
        <v>112</v>
      </c>
      <c r="AE8" s="494">
        <v>245</v>
      </c>
      <c r="AF8" s="495">
        <v>17281.3</v>
      </c>
      <c r="AG8" s="494">
        <v>260</v>
      </c>
      <c r="AH8" s="495">
        <v>43158.3</v>
      </c>
      <c r="AI8" s="494">
        <v>20</v>
      </c>
      <c r="AJ8" s="495">
        <v>950.2</v>
      </c>
      <c r="AK8" s="494">
        <v>12</v>
      </c>
      <c r="AL8" s="495">
        <v>1312.3</v>
      </c>
      <c r="AM8" s="496">
        <v>328</v>
      </c>
      <c r="AN8" s="496">
        <v>235</v>
      </c>
      <c r="AO8" s="496">
        <v>449</v>
      </c>
      <c r="AP8" s="496">
        <v>59</v>
      </c>
      <c r="AQ8" s="496" t="s">
        <v>721</v>
      </c>
      <c r="AR8" s="496" t="s">
        <v>721</v>
      </c>
      <c r="AS8" s="496">
        <v>19</v>
      </c>
      <c r="AT8" s="496" t="s">
        <v>721</v>
      </c>
      <c r="AU8" s="496">
        <v>20</v>
      </c>
      <c r="AV8" s="496" t="s">
        <v>721</v>
      </c>
      <c r="AW8" s="496" t="s">
        <v>721</v>
      </c>
      <c r="AX8" s="496" t="s">
        <v>721</v>
      </c>
      <c r="AY8" s="496" t="s">
        <v>721</v>
      </c>
      <c r="AZ8" s="496" t="s">
        <v>721</v>
      </c>
      <c r="BA8" s="496" t="s">
        <v>721</v>
      </c>
      <c r="BB8" s="496" t="s">
        <v>721</v>
      </c>
      <c r="BC8" s="496" t="s">
        <v>721</v>
      </c>
      <c r="BD8" s="496" t="s">
        <v>721</v>
      </c>
      <c r="BE8" s="496" t="s">
        <v>721</v>
      </c>
      <c r="BF8" s="496" t="s">
        <v>721</v>
      </c>
      <c r="BG8" s="496" t="s">
        <v>721</v>
      </c>
      <c r="BH8" s="496" t="s">
        <v>721</v>
      </c>
      <c r="BI8" s="496">
        <v>17</v>
      </c>
      <c r="BJ8" s="496" t="s">
        <v>721</v>
      </c>
      <c r="BK8" s="496" t="s">
        <v>721</v>
      </c>
      <c r="BL8" s="496" t="s">
        <v>721</v>
      </c>
      <c r="BM8" s="496" t="s">
        <v>721</v>
      </c>
      <c r="BN8" s="496" t="s">
        <v>721</v>
      </c>
      <c r="BO8" s="496">
        <v>537</v>
      </c>
      <c r="BP8" s="496" t="s">
        <v>721</v>
      </c>
      <c r="BQ8" s="496" t="s">
        <v>721</v>
      </c>
      <c r="BR8" s="496" t="s">
        <v>721</v>
      </c>
      <c r="BS8" s="496" t="s">
        <v>721</v>
      </c>
      <c r="BT8" s="496" t="s">
        <v>721</v>
      </c>
      <c r="BU8" s="496" t="s">
        <v>721</v>
      </c>
      <c r="BV8" s="496" t="s">
        <v>721</v>
      </c>
      <c r="BW8" s="496" t="s">
        <v>721</v>
      </c>
      <c r="BX8" s="496" t="s">
        <v>721</v>
      </c>
      <c r="BY8" s="496" t="s">
        <v>721</v>
      </c>
      <c r="BZ8" s="496" t="s">
        <v>721</v>
      </c>
      <c r="CA8" s="496" t="s">
        <v>721</v>
      </c>
      <c r="CB8" s="496" t="s">
        <v>721</v>
      </c>
      <c r="CC8" s="496" t="s">
        <v>721</v>
      </c>
      <c r="CD8" s="496" t="s">
        <v>721</v>
      </c>
      <c r="CE8" s="496" t="s">
        <v>721</v>
      </c>
      <c r="CF8" s="496" t="s">
        <v>721</v>
      </c>
      <c r="CG8" s="496" t="s">
        <v>721</v>
      </c>
      <c r="CH8" s="496" t="s">
        <v>721</v>
      </c>
      <c r="CI8" s="496" t="s">
        <v>721</v>
      </c>
      <c r="CJ8" s="496" t="s">
        <v>721</v>
      </c>
      <c r="CK8" s="496" t="s">
        <v>721</v>
      </c>
      <c r="CL8" s="496" t="s">
        <v>721</v>
      </c>
      <c r="CM8" s="496" t="s">
        <v>721</v>
      </c>
      <c r="CN8" s="496" t="s">
        <v>721</v>
      </c>
      <c r="CO8" s="496" t="s">
        <v>721</v>
      </c>
      <c r="CP8" s="496" t="s">
        <v>721</v>
      </c>
      <c r="CQ8" s="496" t="s">
        <v>721</v>
      </c>
      <c r="CR8" s="496" t="s">
        <v>721</v>
      </c>
      <c r="CS8" s="496" t="s">
        <v>721</v>
      </c>
      <c r="CT8" s="496" t="s">
        <v>721</v>
      </c>
      <c r="CU8" s="496" t="s">
        <v>721</v>
      </c>
      <c r="CV8" s="496">
        <v>498</v>
      </c>
      <c r="CW8" s="496" t="s">
        <v>721</v>
      </c>
      <c r="CX8" s="496" t="s">
        <v>721</v>
      </c>
      <c r="CY8" s="496" t="s">
        <v>721</v>
      </c>
      <c r="CZ8" s="496" t="s">
        <v>721</v>
      </c>
      <c r="DA8" s="496" t="s">
        <v>721</v>
      </c>
      <c r="DB8" s="496" t="s">
        <v>721</v>
      </c>
      <c r="DC8" s="496" t="s">
        <v>721</v>
      </c>
      <c r="DD8" s="496" t="s">
        <v>721</v>
      </c>
      <c r="DE8" s="496" t="s">
        <v>721</v>
      </c>
      <c r="DF8" s="496" t="s">
        <v>721</v>
      </c>
      <c r="DG8" s="496" t="s">
        <v>721</v>
      </c>
      <c r="DH8" s="496" t="s">
        <v>721</v>
      </c>
      <c r="DI8" s="496" t="s">
        <v>721</v>
      </c>
      <c r="DJ8" s="496" t="s">
        <v>721</v>
      </c>
      <c r="DK8" s="496" t="s">
        <v>721</v>
      </c>
      <c r="DL8" s="496" t="s">
        <v>721</v>
      </c>
      <c r="DM8" s="496" t="s">
        <v>721</v>
      </c>
      <c r="DN8" s="496" t="s">
        <v>721</v>
      </c>
      <c r="DO8" s="496" t="s">
        <v>721</v>
      </c>
      <c r="DP8" s="496" t="s">
        <v>721</v>
      </c>
      <c r="DQ8" s="496" t="s">
        <v>721</v>
      </c>
      <c r="DR8" s="496" t="s">
        <v>721</v>
      </c>
      <c r="DS8" s="483" t="s">
        <v>721</v>
      </c>
      <c r="DT8" s="483" t="s">
        <v>721</v>
      </c>
      <c r="DU8" s="483" t="s">
        <v>721</v>
      </c>
      <c r="DV8" s="496">
        <v>53</v>
      </c>
      <c r="DW8" s="497">
        <v>8973.7000000000007</v>
      </c>
      <c r="DX8" s="496">
        <v>89</v>
      </c>
      <c r="DY8" s="497">
        <v>14537.4</v>
      </c>
      <c r="DZ8" s="496">
        <v>163</v>
      </c>
      <c r="EA8" s="497">
        <v>14869.3</v>
      </c>
      <c r="EB8" s="496">
        <v>135</v>
      </c>
      <c r="EC8" s="497">
        <v>12059.9</v>
      </c>
      <c r="ED8" s="496">
        <v>84</v>
      </c>
      <c r="EE8" s="497">
        <v>7745.4</v>
      </c>
      <c r="EF8" s="496">
        <v>39</v>
      </c>
      <c r="EG8" s="497">
        <v>4516.3999999999996</v>
      </c>
      <c r="EH8" s="485">
        <v>444</v>
      </c>
      <c r="EI8" s="486">
        <v>1622.9</v>
      </c>
      <c r="EJ8" s="485">
        <v>437</v>
      </c>
      <c r="EK8" s="486">
        <v>8986.7999999999993</v>
      </c>
      <c r="EL8" s="485">
        <v>437</v>
      </c>
      <c r="EM8" s="486">
        <v>4066.9</v>
      </c>
      <c r="EN8" s="485">
        <v>451</v>
      </c>
      <c r="EO8" s="486">
        <v>2347.1999999999998</v>
      </c>
      <c r="EP8" s="485">
        <v>440</v>
      </c>
      <c r="EQ8" s="486">
        <v>1287.7</v>
      </c>
      <c r="ER8" s="485">
        <v>438</v>
      </c>
      <c r="ES8" s="486">
        <v>854.7</v>
      </c>
      <c r="ET8" s="485">
        <v>0</v>
      </c>
      <c r="EU8" s="485">
        <v>310</v>
      </c>
      <c r="EV8" s="486">
        <v>5321.3</v>
      </c>
      <c r="EW8" s="485">
        <v>114</v>
      </c>
      <c r="EX8" s="486">
        <v>622.5</v>
      </c>
      <c r="EY8" s="485">
        <v>265</v>
      </c>
      <c r="EZ8" s="486">
        <v>2438</v>
      </c>
      <c r="FA8" s="485">
        <v>129</v>
      </c>
      <c r="FB8" s="486">
        <v>1157.2</v>
      </c>
      <c r="FC8" s="485">
        <v>469</v>
      </c>
      <c r="FD8" s="486">
        <v>5543</v>
      </c>
      <c r="FE8" s="485">
        <v>451</v>
      </c>
      <c r="FF8" s="486">
        <v>3733.6</v>
      </c>
      <c r="FG8" s="485">
        <v>264</v>
      </c>
      <c r="FH8" s="486">
        <v>2632.9</v>
      </c>
      <c r="FI8" s="485">
        <v>348</v>
      </c>
      <c r="FJ8" s="486">
        <v>1966.3</v>
      </c>
      <c r="FK8" s="485">
        <v>369</v>
      </c>
      <c r="FL8" s="486">
        <v>1304.5</v>
      </c>
      <c r="FM8" s="485">
        <v>29</v>
      </c>
      <c r="FN8" s="486">
        <v>63.7</v>
      </c>
      <c r="FO8" s="485">
        <v>454</v>
      </c>
      <c r="FP8" s="486">
        <v>3528.5</v>
      </c>
      <c r="FQ8" s="485">
        <v>502</v>
      </c>
      <c r="FR8" s="486">
        <v>2082.9</v>
      </c>
      <c r="FS8" s="485">
        <v>1</v>
      </c>
      <c r="FT8" s="486">
        <v>3</v>
      </c>
      <c r="FU8" s="485">
        <v>0</v>
      </c>
      <c r="FV8" s="486">
        <v>0</v>
      </c>
      <c r="FW8" s="485">
        <v>0</v>
      </c>
      <c r="FX8" s="486">
        <v>0</v>
      </c>
      <c r="FY8" s="485">
        <v>1</v>
      </c>
      <c r="FZ8" s="486">
        <v>10</v>
      </c>
      <c r="GA8" s="485">
        <v>0</v>
      </c>
      <c r="GB8" s="485">
        <v>0</v>
      </c>
      <c r="GC8" s="487">
        <v>0</v>
      </c>
      <c r="GD8" s="488">
        <v>0</v>
      </c>
      <c r="GE8" s="488">
        <v>14</v>
      </c>
      <c r="GF8" s="488">
        <v>152</v>
      </c>
      <c r="GG8" s="488">
        <v>0</v>
      </c>
      <c r="GH8" s="488">
        <v>1</v>
      </c>
      <c r="GI8" s="488">
        <v>0</v>
      </c>
      <c r="GJ8" s="488">
        <v>0</v>
      </c>
      <c r="GK8" s="488">
        <v>117</v>
      </c>
      <c r="GL8" s="488">
        <v>48</v>
      </c>
      <c r="GM8" s="488">
        <v>166</v>
      </c>
      <c r="GN8" s="488">
        <v>4</v>
      </c>
      <c r="GO8" s="488">
        <v>8</v>
      </c>
      <c r="GP8" s="488">
        <v>4</v>
      </c>
      <c r="GQ8" s="488">
        <v>6</v>
      </c>
      <c r="GR8" s="488">
        <v>0</v>
      </c>
      <c r="GS8" s="488">
        <v>10</v>
      </c>
      <c r="GT8" s="489">
        <v>369</v>
      </c>
      <c r="GU8" s="488">
        <v>0</v>
      </c>
      <c r="GV8" s="490">
        <v>0</v>
      </c>
      <c r="GW8" s="490">
        <v>1</v>
      </c>
      <c r="GX8" s="490">
        <v>1</v>
      </c>
      <c r="GY8" s="491">
        <v>4</v>
      </c>
      <c r="GZ8" s="491">
        <v>0</v>
      </c>
      <c r="HA8" s="491">
        <v>4</v>
      </c>
      <c r="HB8" s="475">
        <v>0</v>
      </c>
      <c r="HC8" s="475">
        <v>0</v>
      </c>
      <c r="HD8" s="475">
        <v>0</v>
      </c>
      <c r="HE8" s="475">
        <v>0</v>
      </c>
      <c r="HF8" s="475">
        <v>0</v>
      </c>
      <c r="HG8" s="475">
        <v>0</v>
      </c>
      <c r="HH8" s="475">
        <v>0</v>
      </c>
      <c r="HI8" s="475">
        <v>0</v>
      </c>
      <c r="HJ8" s="475">
        <v>0</v>
      </c>
      <c r="HK8" s="475">
        <v>0</v>
      </c>
      <c r="HL8" s="475">
        <v>0</v>
      </c>
      <c r="HM8" s="475">
        <v>0</v>
      </c>
      <c r="HN8" s="475">
        <v>0</v>
      </c>
      <c r="HO8" s="475">
        <v>0</v>
      </c>
      <c r="HP8" s="475">
        <v>0</v>
      </c>
      <c r="HQ8" s="475">
        <v>0</v>
      </c>
      <c r="HR8" s="475">
        <v>4</v>
      </c>
      <c r="HS8" s="475">
        <v>0</v>
      </c>
      <c r="HT8" s="475">
        <v>0</v>
      </c>
      <c r="HU8" s="475">
        <v>0</v>
      </c>
      <c r="HV8" s="475">
        <v>0</v>
      </c>
      <c r="HW8" s="475">
        <v>0</v>
      </c>
      <c r="HX8" s="475">
        <v>0</v>
      </c>
      <c r="HY8" s="475">
        <v>0</v>
      </c>
      <c r="HZ8" s="475" t="s">
        <v>721</v>
      </c>
      <c r="IA8" s="475" t="s">
        <v>721</v>
      </c>
      <c r="IB8" s="475" t="s">
        <v>721</v>
      </c>
      <c r="IC8" s="475" t="s">
        <v>721</v>
      </c>
      <c r="ID8" s="475" t="s">
        <v>721</v>
      </c>
      <c r="IE8" s="475" t="s">
        <v>721</v>
      </c>
      <c r="IF8" s="475" t="s">
        <v>721</v>
      </c>
      <c r="IG8" s="475" t="s">
        <v>721</v>
      </c>
      <c r="IH8" s="475" t="s">
        <v>721</v>
      </c>
      <c r="II8" s="475" t="s">
        <v>721</v>
      </c>
      <c r="IJ8" s="475" t="s">
        <v>721</v>
      </c>
      <c r="IK8" s="475" t="s">
        <v>721</v>
      </c>
      <c r="IL8" s="475" t="s">
        <v>721</v>
      </c>
      <c r="IM8" s="475" t="s">
        <v>721</v>
      </c>
      <c r="IN8" s="475" t="s">
        <v>721</v>
      </c>
      <c r="IO8" s="475" t="s">
        <v>721</v>
      </c>
      <c r="IP8" s="475" t="s">
        <v>721</v>
      </c>
      <c r="IQ8" s="475" t="s">
        <v>721</v>
      </c>
      <c r="IR8" s="475" t="s">
        <v>721</v>
      </c>
      <c r="IS8" s="475" t="s">
        <v>721</v>
      </c>
      <c r="IT8" s="475" t="s">
        <v>721</v>
      </c>
      <c r="IU8" s="475" t="s">
        <v>721</v>
      </c>
      <c r="IV8" s="475" t="s">
        <v>721</v>
      </c>
      <c r="IW8" s="475" t="s">
        <v>721</v>
      </c>
      <c r="IX8" s="475" t="s">
        <v>721</v>
      </c>
      <c r="IY8" s="475" t="s">
        <v>721</v>
      </c>
      <c r="IZ8" s="475" t="s">
        <v>721</v>
      </c>
      <c r="JA8" s="475" t="s">
        <v>721</v>
      </c>
      <c r="JB8" s="475" t="s">
        <v>721</v>
      </c>
      <c r="JC8" s="475" t="s">
        <v>721</v>
      </c>
      <c r="JD8" s="475" t="s">
        <v>721</v>
      </c>
      <c r="JE8" s="475" t="s">
        <v>721</v>
      </c>
      <c r="JF8" s="475" t="s">
        <v>721</v>
      </c>
      <c r="JG8" s="475" t="s">
        <v>721</v>
      </c>
      <c r="JH8" s="475" t="s">
        <v>721</v>
      </c>
      <c r="JI8" s="475" t="s">
        <v>721</v>
      </c>
      <c r="JJ8" s="475" t="s">
        <v>721</v>
      </c>
      <c r="JK8" s="475" t="s">
        <v>721</v>
      </c>
      <c r="JL8" s="755">
        <v>48850.6</v>
      </c>
      <c r="JM8" s="755">
        <v>7990.5</v>
      </c>
      <c r="JN8" s="755">
        <v>778.6</v>
      </c>
      <c r="JO8" s="755">
        <v>114</v>
      </c>
      <c r="JP8" s="755">
        <v>2066</v>
      </c>
      <c r="JQ8" s="755">
        <v>90.1</v>
      </c>
      <c r="JR8" s="755">
        <v>2251.3000000000002</v>
      </c>
      <c r="JS8" s="755" t="s">
        <v>721</v>
      </c>
      <c r="JT8" s="755" t="s">
        <v>721</v>
      </c>
      <c r="JU8" s="755">
        <v>63</v>
      </c>
      <c r="JV8" s="755" t="s">
        <v>721</v>
      </c>
      <c r="JW8" s="755" t="s">
        <v>721</v>
      </c>
      <c r="JX8" s="755" t="s">
        <v>721</v>
      </c>
      <c r="JY8" s="755" t="s">
        <v>721</v>
      </c>
      <c r="JZ8" s="755" t="s">
        <v>721</v>
      </c>
      <c r="KA8" s="755" t="s">
        <v>721</v>
      </c>
      <c r="KB8" s="755" t="s">
        <v>721</v>
      </c>
      <c r="KC8" s="755" t="s">
        <v>721</v>
      </c>
      <c r="KD8" s="755">
        <v>498</v>
      </c>
      <c r="KE8" s="475">
        <v>43</v>
      </c>
      <c r="KF8" s="475" t="s">
        <v>721</v>
      </c>
      <c r="KG8" s="475" t="s">
        <v>721</v>
      </c>
      <c r="KH8" s="475" t="s">
        <v>721</v>
      </c>
      <c r="KI8" s="475" t="s">
        <v>721</v>
      </c>
      <c r="KJ8" s="475" t="s">
        <v>721</v>
      </c>
      <c r="KK8" s="475" t="s">
        <v>721</v>
      </c>
      <c r="KL8" s="475" t="s">
        <v>721</v>
      </c>
      <c r="KM8" s="475" t="s">
        <v>721</v>
      </c>
      <c r="KN8" s="475" t="s">
        <v>721</v>
      </c>
      <c r="KO8" s="475" t="s">
        <v>721</v>
      </c>
      <c r="KP8" s="475" t="s">
        <v>721</v>
      </c>
      <c r="KQ8" s="475" t="s">
        <v>721</v>
      </c>
      <c r="KR8" s="475" t="s">
        <v>721</v>
      </c>
      <c r="KS8" s="475" t="s">
        <v>721</v>
      </c>
      <c r="KT8" s="475" t="s">
        <v>721</v>
      </c>
      <c r="KU8" s="475" t="s">
        <v>721</v>
      </c>
      <c r="KV8" s="475" t="s">
        <v>721</v>
      </c>
      <c r="KW8" s="475" t="s">
        <v>721</v>
      </c>
      <c r="KX8" s="475">
        <v>74</v>
      </c>
      <c r="KY8" s="475">
        <v>12</v>
      </c>
      <c r="KZ8" s="475" t="s">
        <v>721</v>
      </c>
      <c r="LA8" s="475" t="s">
        <v>721</v>
      </c>
      <c r="LB8" s="475" t="s">
        <v>721</v>
      </c>
      <c r="LC8" s="475" t="s">
        <v>721</v>
      </c>
      <c r="LD8" s="475" t="s">
        <v>721</v>
      </c>
      <c r="LE8" s="475" t="s">
        <v>721</v>
      </c>
      <c r="LF8" s="475" t="s">
        <v>721</v>
      </c>
      <c r="LG8" s="475" t="s">
        <v>721</v>
      </c>
      <c r="LH8" s="475" t="s">
        <v>721</v>
      </c>
      <c r="LI8" s="475" t="s">
        <v>721</v>
      </c>
      <c r="LJ8" s="475" t="s">
        <v>721</v>
      </c>
      <c r="LK8" s="475" t="s">
        <v>721</v>
      </c>
      <c r="LL8" s="475" t="s">
        <v>721</v>
      </c>
      <c r="LM8" s="475" t="s">
        <v>721</v>
      </c>
      <c r="LN8" s="475" t="s">
        <v>721</v>
      </c>
      <c r="LO8" s="475" t="s">
        <v>721</v>
      </c>
      <c r="LP8" s="475" t="s">
        <v>721</v>
      </c>
      <c r="LQ8" s="475">
        <v>287</v>
      </c>
      <c r="LR8" s="475">
        <v>31</v>
      </c>
      <c r="LS8" s="475" t="s">
        <v>721</v>
      </c>
      <c r="LT8" s="475" t="s">
        <v>721</v>
      </c>
      <c r="LU8" s="475">
        <v>11</v>
      </c>
      <c r="LV8" s="475" t="s">
        <v>721</v>
      </c>
      <c r="LW8" s="475">
        <v>12</v>
      </c>
      <c r="LX8" s="475" t="s">
        <v>721</v>
      </c>
      <c r="LY8" s="475" t="s">
        <v>721</v>
      </c>
      <c r="LZ8" s="475" t="s">
        <v>721</v>
      </c>
      <c r="MA8" s="475" t="s">
        <v>721</v>
      </c>
      <c r="MB8" s="475" t="s">
        <v>721</v>
      </c>
      <c r="MC8" s="475" t="s">
        <v>721</v>
      </c>
      <c r="MD8" s="475" t="s">
        <v>721</v>
      </c>
      <c r="ME8" s="475" t="s">
        <v>721</v>
      </c>
      <c r="MF8" s="475" t="s">
        <v>721</v>
      </c>
      <c r="MG8" s="475" t="s">
        <v>721</v>
      </c>
      <c r="MH8" s="475" t="s">
        <v>721</v>
      </c>
      <c r="MI8" s="475" t="s">
        <v>721</v>
      </c>
      <c r="MJ8" s="475">
        <v>141</v>
      </c>
      <c r="MK8" s="475">
        <v>26</v>
      </c>
      <c r="ML8" s="475" t="s">
        <v>721</v>
      </c>
      <c r="MM8" s="475" t="s">
        <v>721</v>
      </c>
      <c r="MN8" s="475" t="s">
        <v>721</v>
      </c>
      <c r="MO8" s="475" t="s">
        <v>721</v>
      </c>
      <c r="MP8" s="475" t="s">
        <v>721</v>
      </c>
      <c r="MQ8" s="475" t="s">
        <v>721</v>
      </c>
      <c r="MR8" s="475" t="s">
        <v>721</v>
      </c>
      <c r="MS8" s="475" t="s">
        <v>721</v>
      </c>
      <c r="MT8" s="475" t="s">
        <v>721</v>
      </c>
      <c r="MU8" s="475" t="s">
        <v>721</v>
      </c>
      <c r="MV8" s="475" t="s">
        <v>721</v>
      </c>
      <c r="MW8" s="475" t="s">
        <v>721</v>
      </c>
      <c r="MX8" s="475" t="s">
        <v>721</v>
      </c>
      <c r="MY8" s="475" t="s">
        <v>721</v>
      </c>
      <c r="MZ8" s="475" t="s">
        <v>721</v>
      </c>
      <c r="NA8" s="475" t="s">
        <v>721</v>
      </c>
      <c r="NB8" s="475" t="s">
        <v>721</v>
      </c>
      <c r="NC8" s="476">
        <v>0.58299999999999996</v>
      </c>
      <c r="ND8" s="476">
        <v>0.41699999999999998</v>
      </c>
      <c r="NE8" s="476">
        <v>0.79800000000000004</v>
      </c>
      <c r="NF8" s="476">
        <v>0.105</v>
      </c>
      <c r="NG8" s="476" t="s">
        <v>721</v>
      </c>
      <c r="NH8" s="476" t="s">
        <v>721</v>
      </c>
      <c r="NI8" s="476">
        <v>3.4000000000000002E-2</v>
      </c>
      <c r="NJ8" s="476" t="s">
        <v>721</v>
      </c>
      <c r="NK8" s="476">
        <v>3.5999999999999997E-2</v>
      </c>
      <c r="NL8" s="476" t="s">
        <v>721</v>
      </c>
      <c r="NM8" s="476" t="s">
        <v>721</v>
      </c>
      <c r="NN8" s="476" t="s">
        <v>721</v>
      </c>
      <c r="NO8" s="476" t="s">
        <v>721</v>
      </c>
      <c r="NP8" s="476" t="s">
        <v>721</v>
      </c>
      <c r="NQ8" s="476" t="s">
        <v>721</v>
      </c>
      <c r="NR8" s="476" t="s">
        <v>721</v>
      </c>
      <c r="NS8" s="476" t="s">
        <v>721</v>
      </c>
      <c r="NT8" s="476" t="s">
        <v>721</v>
      </c>
      <c r="NU8" s="476" t="s">
        <v>721</v>
      </c>
      <c r="NV8" s="476" t="s">
        <v>721</v>
      </c>
      <c r="NW8" s="476" t="s">
        <v>721</v>
      </c>
      <c r="NX8" s="476" t="s">
        <v>721</v>
      </c>
      <c r="NY8" s="476">
        <v>0.03</v>
      </c>
      <c r="NZ8" s="476" t="s">
        <v>721</v>
      </c>
      <c r="OA8" s="476" t="s">
        <v>721</v>
      </c>
      <c r="OB8" s="476" t="s">
        <v>721</v>
      </c>
      <c r="OC8" s="476" t="s">
        <v>721</v>
      </c>
      <c r="OD8" s="476" t="s">
        <v>721</v>
      </c>
      <c r="OE8" s="476">
        <v>0.95399999999999996</v>
      </c>
      <c r="OF8" s="476" t="s">
        <v>721</v>
      </c>
      <c r="OG8" s="476" t="s">
        <v>721</v>
      </c>
      <c r="OH8" s="476" t="s">
        <v>721</v>
      </c>
      <c r="OI8" s="476" t="s">
        <v>721</v>
      </c>
      <c r="OJ8" s="476" t="s">
        <v>721</v>
      </c>
      <c r="OK8" s="476" t="s">
        <v>721</v>
      </c>
      <c r="OL8" s="476" t="s">
        <v>721</v>
      </c>
      <c r="OM8" s="476" t="s">
        <v>721</v>
      </c>
      <c r="ON8" s="476" t="s">
        <v>721</v>
      </c>
      <c r="OO8" s="476" t="s">
        <v>721</v>
      </c>
      <c r="OP8" s="476" t="s">
        <v>721</v>
      </c>
      <c r="OQ8" s="476" t="s">
        <v>721</v>
      </c>
      <c r="OR8" s="476" t="s">
        <v>721</v>
      </c>
      <c r="OS8" s="476" t="s">
        <v>721</v>
      </c>
      <c r="OT8" s="476" t="s">
        <v>721</v>
      </c>
      <c r="OU8" s="476" t="s">
        <v>721</v>
      </c>
      <c r="OV8" s="476" t="s">
        <v>721</v>
      </c>
      <c r="OW8" s="476" t="s">
        <v>721</v>
      </c>
      <c r="OX8" s="476" t="s">
        <v>721</v>
      </c>
      <c r="OY8" s="476" t="s">
        <v>721</v>
      </c>
      <c r="OZ8" s="476" t="s">
        <v>721</v>
      </c>
      <c r="PA8" s="476" t="s">
        <v>721</v>
      </c>
      <c r="PB8" s="476" t="s">
        <v>721</v>
      </c>
      <c r="PC8" s="476" t="s">
        <v>721</v>
      </c>
      <c r="PD8" s="476" t="s">
        <v>721</v>
      </c>
      <c r="PE8" s="476" t="s">
        <v>721</v>
      </c>
      <c r="PF8" s="476" t="s">
        <v>721</v>
      </c>
      <c r="PG8" s="476" t="s">
        <v>721</v>
      </c>
      <c r="PH8" s="476" t="s">
        <v>721</v>
      </c>
      <c r="PI8" s="476" t="s">
        <v>721</v>
      </c>
      <c r="PJ8" s="476" t="s">
        <v>721</v>
      </c>
      <c r="PK8" s="476" t="s">
        <v>721</v>
      </c>
      <c r="PL8" s="476">
        <v>0.97599999999999998</v>
      </c>
      <c r="PM8" s="476" t="s">
        <v>721</v>
      </c>
      <c r="PN8" s="476" t="s">
        <v>721</v>
      </c>
      <c r="PO8" s="476" t="s">
        <v>721</v>
      </c>
      <c r="PP8" s="476" t="s">
        <v>721</v>
      </c>
      <c r="PQ8" s="476" t="s">
        <v>721</v>
      </c>
      <c r="PR8" s="476" t="s">
        <v>721</v>
      </c>
      <c r="PS8" s="476" t="s">
        <v>721</v>
      </c>
      <c r="PT8" s="476" t="s">
        <v>721</v>
      </c>
      <c r="PU8" s="476" t="s">
        <v>721</v>
      </c>
      <c r="PV8" s="476" t="s">
        <v>721</v>
      </c>
      <c r="PW8" s="476" t="s">
        <v>721</v>
      </c>
      <c r="PX8" s="476" t="s">
        <v>721</v>
      </c>
      <c r="PY8" s="476" t="s">
        <v>721</v>
      </c>
      <c r="PZ8" s="476" t="s">
        <v>721</v>
      </c>
      <c r="QA8" s="476" t="s">
        <v>721</v>
      </c>
      <c r="QB8" s="476" t="s">
        <v>721</v>
      </c>
      <c r="QC8" s="476" t="s">
        <v>721</v>
      </c>
      <c r="QD8" s="476" t="s">
        <v>721</v>
      </c>
      <c r="QE8" s="476" t="s">
        <v>721</v>
      </c>
      <c r="QF8" s="476" t="s">
        <v>721</v>
      </c>
      <c r="QG8" s="476" t="s">
        <v>721</v>
      </c>
      <c r="QH8" s="476" t="s">
        <v>721</v>
      </c>
      <c r="QI8" s="476" t="s">
        <v>721</v>
      </c>
      <c r="QJ8" s="476" t="s">
        <v>721</v>
      </c>
      <c r="QK8" s="476" t="s">
        <v>721</v>
      </c>
      <c r="QL8" s="476" t="s">
        <v>721</v>
      </c>
      <c r="QM8" s="476" t="s">
        <v>721</v>
      </c>
      <c r="QN8" s="476" t="s">
        <v>721</v>
      </c>
      <c r="QO8" s="476" t="s">
        <v>721</v>
      </c>
      <c r="QP8" s="476" t="s">
        <v>721</v>
      </c>
      <c r="QQ8" s="476" t="s">
        <v>721</v>
      </c>
      <c r="QR8" s="476" t="s">
        <v>721</v>
      </c>
      <c r="QS8" s="476" t="s">
        <v>721</v>
      </c>
      <c r="QT8" s="476" t="s">
        <v>721</v>
      </c>
      <c r="QU8" s="476" t="s">
        <v>721</v>
      </c>
      <c r="QV8" s="476" t="s">
        <v>721</v>
      </c>
      <c r="QW8" s="476" t="s">
        <v>721</v>
      </c>
      <c r="QX8" s="476" t="s">
        <v>721</v>
      </c>
      <c r="QY8" s="476" t="s">
        <v>721</v>
      </c>
      <c r="QZ8" s="476" t="s">
        <v>721</v>
      </c>
      <c r="RA8" s="476" t="s">
        <v>721</v>
      </c>
      <c r="RB8" s="476" t="s">
        <v>721</v>
      </c>
      <c r="RC8" s="476" t="s">
        <v>721</v>
      </c>
      <c r="RD8" s="476" t="s">
        <v>721</v>
      </c>
      <c r="RE8" s="476" t="s">
        <v>721</v>
      </c>
      <c r="RF8" s="476" t="s">
        <v>721</v>
      </c>
      <c r="RG8" s="476" t="s">
        <v>721</v>
      </c>
      <c r="RH8" s="476" t="s">
        <v>721</v>
      </c>
      <c r="RI8" s="476" t="s">
        <v>721</v>
      </c>
      <c r="RJ8" s="476" t="s">
        <v>721</v>
      </c>
      <c r="RK8" s="476" t="s">
        <v>721</v>
      </c>
      <c r="RL8" s="476" t="s">
        <v>721</v>
      </c>
      <c r="RM8" s="476" t="s">
        <v>721</v>
      </c>
      <c r="RN8" s="476" t="s">
        <v>721</v>
      </c>
      <c r="RO8" s="476" t="s">
        <v>721</v>
      </c>
      <c r="RP8" s="476" t="s">
        <v>721</v>
      </c>
      <c r="RQ8" s="476" t="s">
        <v>721</v>
      </c>
      <c r="RR8" s="476" t="s">
        <v>721</v>
      </c>
      <c r="RS8" s="476" t="s">
        <v>721</v>
      </c>
      <c r="RT8" s="476" t="s">
        <v>721</v>
      </c>
      <c r="RU8" s="476" t="s">
        <v>721</v>
      </c>
      <c r="RV8" s="476" t="s">
        <v>721</v>
      </c>
      <c r="RW8" s="476" t="s">
        <v>721</v>
      </c>
      <c r="RX8" s="476">
        <v>0.77900000000000003</v>
      </c>
      <c r="RY8" s="476">
        <v>0.127</v>
      </c>
      <c r="RZ8" s="476">
        <v>1.2E-2</v>
      </c>
      <c r="SA8" s="476">
        <v>2E-3</v>
      </c>
      <c r="SB8" s="476">
        <v>3.3000000000000002E-2</v>
      </c>
      <c r="SC8" s="476">
        <v>1E-3</v>
      </c>
      <c r="SD8" s="476">
        <v>3.5999999999999997E-2</v>
      </c>
      <c r="SE8" s="476" t="s">
        <v>721</v>
      </c>
      <c r="SF8" s="476" t="s">
        <v>721</v>
      </c>
      <c r="SG8" s="476">
        <v>1E-3</v>
      </c>
      <c r="SH8" s="476" t="s">
        <v>721</v>
      </c>
      <c r="SI8" s="476" t="s">
        <v>721</v>
      </c>
      <c r="SJ8" s="476" t="s">
        <v>721</v>
      </c>
      <c r="SK8" s="476" t="s">
        <v>721</v>
      </c>
      <c r="SL8" s="476" t="s">
        <v>721</v>
      </c>
      <c r="SM8" s="476" t="s">
        <v>721</v>
      </c>
      <c r="SN8" s="476" t="s">
        <v>721</v>
      </c>
      <c r="SO8" s="476" t="s">
        <v>721</v>
      </c>
      <c r="SP8" s="476">
        <v>8.0000000000000002E-3</v>
      </c>
      <c r="SQ8" s="476">
        <v>0.76800000000000002</v>
      </c>
      <c r="SR8" s="476" t="s">
        <v>721</v>
      </c>
      <c r="SS8" s="476" t="s">
        <v>721</v>
      </c>
      <c r="ST8" s="476" t="s">
        <v>721</v>
      </c>
      <c r="SU8" s="476" t="s">
        <v>721</v>
      </c>
      <c r="SV8" s="476" t="s">
        <v>721</v>
      </c>
      <c r="SW8" s="476" t="s">
        <v>721</v>
      </c>
      <c r="SX8" s="476" t="s">
        <v>721</v>
      </c>
      <c r="SY8" s="476" t="s">
        <v>721</v>
      </c>
      <c r="SZ8" s="476" t="s">
        <v>721</v>
      </c>
      <c r="TA8" s="476" t="s">
        <v>721</v>
      </c>
      <c r="TB8" s="476" t="s">
        <v>721</v>
      </c>
      <c r="TC8" s="476" t="s">
        <v>721</v>
      </c>
      <c r="TD8" s="476" t="s">
        <v>721</v>
      </c>
      <c r="TE8" s="476" t="s">
        <v>721</v>
      </c>
      <c r="TF8" s="476" t="s">
        <v>721</v>
      </c>
      <c r="TG8" s="476" t="s">
        <v>721</v>
      </c>
      <c r="TH8" s="476" t="s">
        <v>721</v>
      </c>
      <c r="TI8" s="476" t="s">
        <v>721</v>
      </c>
      <c r="TJ8" s="476">
        <v>0.81299999999999994</v>
      </c>
      <c r="TK8" s="476">
        <v>0.13200000000000001</v>
      </c>
      <c r="TL8" s="476" t="s">
        <v>721</v>
      </c>
      <c r="TM8" s="476" t="s">
        <v>721</v>
      </c>
      <c r="TN8" s="476" t="s">
        <v>721</v>
      </c>
      <c r="TO8" s="476" t="s">
        <v>721</v>
      </c>
      <c r="TP8" s="476" t="s">
        <v>721</v>
      </c>
      <c r="TQ8" s="476" t="s">
        <v>721</v>
      </c>
      <c r="TR8" s="476" t="s">
        <v>721</v>
      </c>
      <c r="TS8" s="476" t="s">
        <v>721</v>
      </c>
      <c r="TT8" s="476" t="s">
        <v>721</v>
      </c>
      <c r="TU8" s="476" t="s">
        <v>721</v>
      </c>
      <c r="TV8" s="476" t="s">
        <v>721</v>
      </c>
      <c r="TW8" s="476" t="s">
        <v>721</v>
      </c>
      <c r="TX8" s="476" t="s">
        <v>721</v>
      </c>
      <c r="TY8" s="476" t="s">
        <v>721</v>
      </c>
      <c r="TZ8" s="476" t="s">
        <v>721</v>
      </c>
      <c r="UA8" s="476" t="s">
        <v>721</v>
      </c>
      <c r="UB8" s="476" t="s">
        <v>721</v>
      </c>
      <c r="UC8" s="476">
        <v>0.82699999999999996</v>
      </c>
      <c r="UD8" s="476">
        <v>8.8999999999999996E-2</v>
      </c>
      <c r="UE8" s="476" t="s">
        <v>721</v>
      </c>
      <c r="UF8" s="476" t="s">
        <v>721</v>
      </c>
      <c r="UG8" s="476">
        <v>3.2000000000000001E-2</v>
      </c>
      <c r="UH8" s="476" t="s">
        <v>721</v>
      </c>
      <c r="UI8" s="476">
        <v>3.5000000000000003E-2</v>
      </c>
      <c r="UJ8" s="476" t="s">
        <v>721</v>
      </c>
      <c r="UK8" s="476" t="s">
        <v>721</v>
      </c>
      <c r="UL8" s="476" t="s">
        <v>721</v>
      </c>
      <c r="UM8" s="476" t="s">
        <v>721</v>
      </c>
      <c r="UN8" s="476" t="s">
        <v>721</v>
      </c>
      <c r="UO8" s="476" t="s">
        <v>721</v>
      </c>
      <c r="UP8" s="476" t="s">
        <v>721</v>
      </c>
      <c r="UQ8" s="476" t="s">
        <v>721</v>
      </c>
      <c r="UR8" s="476" t="s">
        <v>721</v>
      </c>
      <c r="US8" s="476" t="s">
        <v>721</v>
      </c>
      <c r="UT8" s="476" t="s">
        <v>721</v>
      </c>
      <c r="UU8" s="476" t="s">
        <v>721</v>
      </c>
      <c r="UV8" s="476">
        <v>0.74199999999999999</v>
      </c>
      <c r="UW8" s="476">
        <v>0.13700000000000001</v>
      </c>
      <c r="UX8" s="476" t="s">
        <v>721</v>
      </c>
      <c r="UY8" s="476" t="s">
        <v>721</v>
      </c>
      <c r="UZ8" s="476" t="s">
        <v>721</v>
      </c>
      <c r="VA8" s="476" t="s">
        <v>721</v>
      </c>
      <c r="VB8" s="476" t="s">
        <v>721</v>
      </c>
      <c r="VC8" s="476" t="s">
        <v>721</v>
      </c>
      <c r="VD8" s="476" t="s">
        <v>721</v>
      </c>
      <c r="VE8" s="476" t="s">
        <v>721</v>
      </c>
      <c r="VF8" s="476" t="s">
        <v>721</v>
      </c>
      <c r="VG8" s="476" t="s">
        <v>721</v>
      </c>
      <c r="VH8" s="476" t="s">
        <v>721</v>
      </c>
      <c r="VI8" s="476" t="s">
        <v>721</v>
      </c>
      <c r="VJ8" s="476" t="s">
        <v>721</v>
      </c>
      <c r="VK8" s="476" t="s">
        <v>721</v>
      </c>
      <c r="VL8" s="476" t="s">
        <v>721</v>
      </c>
      <c r="VM8" s="476" t="s">
        <v>721</v>
      </c>
      <c r="VN8" s="476" t="s">
        <v>721</v>
      </c>
      <c r="VO8" s="28"/>
      <c r="VP8" s="28"/>
      <c r="VQ8" s="28"/>
      <c r="VR8" s="28"/>
      <c r="VS8" s="28"/>
      <c r="VT8" s="28"/>
      <c r="VU8" s="28"/>
      <c r="VV8" s="28"/>
      <c r="VW8" s="28"/>
      <c r="VX8" s="28"/>
      <c r="VY8" s="28"/>
      <c r="VZ8" s="28"/>
      <c r="WA8" s="28"/>
      <c r="WB8" s="28"/>
      <c r="WC8" s="28"/>
      <c r="WD8" s="28"/>
      <c r="WE8" s="28"/>
      <c r="WF8" s="28"/>
      <c r="WG8" s="28"/>
      <c r="WH8" s="28"/>
      <c r="WI8" s="28"/>
      <c r="WJ8" s="28"/>
      <c r="WK8" s="28"/>
      <c r="WL8" s="28"/>
      <c r="WM8" s="28"/>
      <c r="WN8" s="28"/>
      <c r="WO8" s="28"/>
      <c r="WP8" s="28"/>
      <c r="WQ8" s="28"/>
      <c r="WR8" s="28"/>
      <c r="WS8" s="28"/>
      <c r="WT8" s="28"/>
      <c r="WU8" s="28"/>
      <c r="WV8" s="28"/>
      <c r="WW8" s="28"/>
    </row>
    <row r="9" spans="1:621" s="151" customFormat="1" ht="15.75" customHeight="1" x14ac:dyDescent="0.35">
      <c r="A9" s="477" t="s">
        <v>19</v>
      </c>
      <c r="B9" s="492" t="s">
        <v>15</v>
      </c>
      <c r="C9" s="493">
        <v>16</v>
      </c>
      <c r="D9" s="494">
        <v>402</v>
      </c>
      <c r="E9" s="473">
        <v>42680.5</v>
      </c>
      <c r="F9" s="473">
        <v>106.2</v>
      </c>
      <c r="G9" s="474">
        <v>382</v>
      </c>
      <c r="H9" s="474">
        <v>365</v>
      </c>
      <c r="I9" s="474">
        <v>280</v>
      </c>
      <c r="J9" s="474">
        <v>218</v>
      </c>
      <c r="K9" s="474">
        <v>98</v>
      </c>
      <c r="L9" s="473">
        <v>15847.9</v>
      </c>
      <c r="M9" s="474">
        <v>300</v>
      </c>
      <c r="N9" s="473">
        <v>26832.6</v>
      </c>
      <c r="O9" s="494">
        <v>45</v>
      </c>
      <c r="P9" s="495">
        <v>8260.5</v>
      </c>
      <c r="Q9" s="494">
        <v>34</v>
      </c>
      <c r="R9" s="495">
        <v>2196.3000000000002</v>
      </c>
      <c r="S9" s="480">
        <v>100</v>
      </c>
      <c r="T9" s="481">
        <v>11446.6</v>
      </c>
      <c r="U9" s="480">
        <v>2</v>
      </c>
      <c r="V9" s="481">
        <v>143.19999999999999</v>
      </c>
      <c r="W9" s="480">
        <v>300</v>
      </c>
      <c r="X9" s="481">
        <v>31090.7</v>
      </c>
      <c r="Y9" s="494">
        <v>366</v>
      </c>
      <c r="Z9" s="494">
        <v>167</v>
      </c>
      <c r="AA9" s="494">
        <v>265</v>
      </c>
      <c r="AB9" s="494">
        <v>151</v>
      </c>
      <c r="AC9" s="494">
        <v>25</v>
      </c>
      <c r="AD9" s="494">
        <v>84</v>
      </c>
      <c r="AE9" s="494">
        <v>151</v>
      </c>
      <c r="AF9" s="495">
        <v>9362.2999999999993</v>
      </c>
      <c r="AG9" s="494">
        <v>221</v>
      </c>
      <c r="AH9" s="495">
        <v>31757.8</v>
      </c>
      <c r="AI9" s="494">
        <v>15</v>
      </c>
      <c r="AJ9" s="495">
        <v>462.4</v>
      </c>
      <c r="AK9" s="494">
        <v>11</v>
      </c>
      <c r="AL9" s="495">
        <v>1098</v>
      </c>
      <c r="AM9" s="496">
        <v>226</v>
      </c>
      <c r="AN9" s="496">
        <v>176</v>
      </c>
      <c r="AO9" s="496">
        <v>141</v>
      </c>
      <c r="AP9" s="496">
        <v>210</v>
      </c>
      <c r="AQ9" s="496" t="s">
        <v>721</v>
      </c>
      <c r="AR9" s="496" t="s">
        <v>721</v>
      </c>
      <c r="AS9" s="496">
        <v>12</v>
      </c>
      <c r="AT9" s="496" t="s">
        <v>721</v>
      </c>
      <c r="AU9" s="496" t="s">
        <v>721</v>
      </c>
      <c r="AV9" s="496" t="s">
        <v>721</v>
      </c>
      <c r="AW9" s="496" t="s">
        <v>721</v>
      </c>
      <c r="AX9" s="496" t="s">
        <v>721</v>
      </c>
      <c r="AY9" s="496" t="s">
        <v>721</v>
      </c>
      <c r="AZ9" s="496" t="s">
        <v>721</v>
      </c>
      <c r="BA9" s="496" t="s">
        <v>721</v>
      </c>
      <c r="BB9" s="496" t="s">
        <v>721</v>
      </c>
      <c r="BC9" s="496" t="s">
        <v>721</v>
      </c>
      <c r="BD9" s="496" t="s">
        <v>721</v>
      </c>
      <c r="BE9" s="496" t="s">
        <v>721</v>
      </c>
      <c r="BF9" s="496" t="s">
        <v>721</v>
      </c>
      <c r="BG9" s="496" t="s">
        <v>721</v>
      </c>
      <c r="BH9" s="496" t="s">
        <v>721</v>
      </c>
      <c r="BI9" s="496">
        <v>151</v>
      </c>
      <c r="BJ9" s="496" t="s">
        <v>721</v>
      </c>
      <c r="BK9" s="496" t="s">
        <v>721</v>
      </c>
      <c r="BL9" s="496" t="s">
        <v>721</v>
      </c>
      <c r="BM9" s="496" t="s">
        <v>721</v>
      </c>
      <c r="BN9" s="496" t="s">
        <v>721</v>
      </c>
      <c r="BO9" s="496">
        <v>246</v>
      </c>
      <c r="BP9" s="496" t="s">
        <v>721</v>
      </c>
      <c r="BQ9" s="496" t="s">
        <v>721</v>
      </c>
      <c r="BR9" s="496" t="s">
        <v>721</v>
      </c>
      <c r="BS9" s="496" t="s">
        <v>721</v>
      </c>
      <c r="BT9" s="496" t="s">
        <v>721</v>
      </c>
      <c r="BU9" s="496" t="s">
        <v>721</v>
      </c>
      <c r="BV9" s="496" t="s">
        <v>721</v>
      </c>
      <c r="BW9" s="496" t="s">
        <v>721</v>
      </c>
      <c r="BX9" s="496" t="s">
        <v>721</v>
      </c>
      <c r="BY9" s="496" t="s">
        <v>721</v>
      </c>
      <c r="BZ9" s="496" t="s">
        <v>721</v>
      </c>
      <c r="CA9" s="496" t="s">
        <v>721</v>
      </c>
      <c r="CB9" s="496" t="s">
        <v>721</v>
      </c>
      <c r="CC9" s="496" t="s">
        <v>721</v>
      </c>
      <c r="CD9" s="496" t="s">
        <v>721</v>
      </c>
      <c r="CE9" s="496" t="s">
        <v>721</v>
      </c>
      <c r="CF9" s="496" t="s">
        <v>721</v>
      </c>
      <c r="CG9" s="496" t="s">
        <v>721</v>
      </c>
      <c r="CH9" s="496" t="s">
        <v>721</v>
      </c>
      <c r="CI9" s="496" t="s">
        <v>721</v>
      </c>
      <c r="CJ9" s="496" t="s">
        <v>721</v>
      </c>
      <c r="CK9" s="496" t="s">
        <v>721</v>
      </c>
      <c r="CL9" s="496" t="s">
        <v>721</v>
      </c>
      <c r="CM9" s="496" t="s">
        <v>721</v>
      </c>
      <c r="CN9" s="496" t="s">
        <v>721</v>
      </c>
      <c r="CO9" s="496" t="s">
        <v>721</v>
      </c>
      <c r="CP9" s="496">
        <v>89</v>
      </c>
      <c r="CQ9" s="496" t="s">
        <v>721</v>
      </c>
      <c r="CR9" s="496" t="s">
        <v>721</v>
      </c>
      <c r="CS9" s="496" t="s">
        <v>721</v>
      </c>
      <c r="CT9" s="496" t="s">
        <v>721</v>
      </c>
      <c r="CU9" s="496" t="s">
        <v>721</v>
      </c>
      <c r="CV9" s="496">
        <v>271</v>
      </c>
      <c r="CW9" s="496" t="s">
        <v>721</v>
      </c>
      <c r="CX9" s="496" t="s">
        <v>721</v>
      </c>
      <c r="CY9" s="496" t="s">
        <v>721</v>
      </c>
      <c r="CZ9" s="496" t="s">
        <v>721</v>
      </c>
      <c r="DA9" s="496" t="s">
        <v>721</v>
      </c>
      <c r="DB9" s="496" t="s">
        <v>721</v>
      </c>
      <c r="DC9" s="496" t="s">
        <v>721</v>
      </c>
      <c r="DD9" s="496" t="s">
        <v>721</v>
      </c>
      <c r="DE9" s="496" t="s">
        <v>721</v>
      </c>
      <c r="DF9" s="496" t="s">
        <v>721</v>
      </c>
      <c r="DG9" s="496" t="s">
        <v>721</v>
      </c>
      <c r="DH9" s="496" t="s">
        <v>721</v>
      </c>
      <c r="DI9" s="496" t="s">
        <v>721</v>
      </c>
      <c r="DJ9" s="496" t="s">
        <v>721</v>
      </c>
      <c r="DK9" s="496" t="s">
        <v>721</v>
      </c>
      <c r="DL9" s="496" t="s">
        <v>721</v>
      </c>
      <c r="DM9" s="496" t="s">
        <v>721</v>
      </c>
      <c r="DN9" s="496" t="s">
        <v>721</v>
      </c>
      <c r="DO9" s="496" t="s">
        <v>721</v>
      </c>
      <c r="DP9" s="496" t="s">
        <v>721</v>
      </c>
      <c r="DQ9" s="496" t="s">
        <v>721</v>
      </c>
      <c r="DR9" s="496" t="s">
        <v>721</v>
      </c>
      <c r="DS9" s="483" t="s">
        <v>721</v>
      </c>
      <c r="DT9" s="483" t="s">
        <v>721</v>
      </c>
      <c r="DU9" s="483" t="s">
        <v>721</v>
      </c>
      <c r="DV9" s="496">
        <v>51</v>
      </c>
      <c r="DW9" s="497">
        <v>6500.9</v>
      </c>
      <c r="DX9" s="496">
        <v>46</v>
      </c>
      <c r="DY9" s="497">
        <v>6174.4</v>
      </c>
      <c r="DZ9" s="496">
        <v>81</v>
      </c>
      <c r="EA9" s="497">
        <v>7229</v>
      </c>
      <c r="EB9" s="496">
        <v>96</v>
      </c>
      <c r="EC9" s="497">
        <v>7806.5</v>
      </c>
      <c r="ED9" s="496">
        <v>77</v>
      </c>
      <c r="EE9" s="497">
        <v>8425.7999999999993</v>
      </c>
      <c r="EF9" s="496">
        <v>51</v>
      </c>
      <c r="EG9" s="497">
        <v>6543.9</v>
      </c>
      <c r="EH9" s="485">
        <v>308</v>
      </c>
      <c r="EI9" s="486">
        <v>1009.3</v>
      </c>
      <c r="EJ9" s="485">
        <v>309</v>
      </c>
      <c r="EK9" s="486">
        <v>6204</v>
      </c>
      <c r="EL9" s="485">
        <v>302</v>
      </c>
      <c r="EM9" s="486">
        <v>2874.6</v>
      </c>
      <c r="EN9" s="485">
        <v>320</v>
      </c>
      <c r="EO9" s="486">
        <v>1473.2</v>
      </c>
      <c r="EP9" s="485">
        <v>303</v>
      </c>
      <c r="EQ9" s="486">
        <v>936.2</v>
      </c>
      <c r="ER9" s="485">
        <v>308</v>
      </c>
      <c r="ES9" s="486">
        <v>690.3</v>
      </c>
      <c r="ET9" s="485">
        <v>0</v>
      </c>
      <c r="EU9" s="485">
        <v>244</v>
      </c>
      <c r="EV9" s="486">
        <v>4002.1</v>
      </c>
      <c r="EW9" s="485">
        <v>35</v>
      </c>
      <c r="EX9" s="486">
        <v>230</v>
      </c>
      <c r="EY9" s="485">
        <v>65</v>
      </c>
      <c r="EZ9" s="486">
        <v>938.7</v>
      </c>
      <c r="FA9" s="485">
        <v>15</v>
      </c>
      <c r="FB9" s="486">
        <v>197.8</v>
      </c>
      <c r="FC9" s="485">
        <v>319</v>
      </c>
      <c r="FD9" s="486">
        <v>3812</v>
      </c>
      <c r="FE9" s="485">
        <v>318</v>
      </c>
      <c r="FF9" s="486">
        <v>2259.6999999999998</v>
      </c>
      <c r="FG9" s="485">
        <v>110</v>
      </c>
      <c r="FH9" s="486">
        <v>983.6</v>
      </c>
      <c r="FI9" s="485">
        <v>267</v>
      </c>
      <c r="FJ9" s="486">
        <v>1604.4</v>
      </c>
      <c r="FK9" s="485">
        <v>284</v>
      </c>
      <c r="FL9" s="486">
        <v>998.7</v>
      </c>
      <c r="FM9" s="485">
        <v>14</v>
      </c>
      <c r="FN9" s="486">
        <v>25.4</v>
      </c>
      <c r="FO9" s="485">
        <v>256</v>
      </c>
      <c r="FP9" s="486">
        <v>2296.8000000000002</v>
      </c>
      <c r="FQ9" s="485">
        <v>299</v>
      </c>
      <c r="FR9" s="486">
        <v>1678.1</v>
      </c>
      <c r="FS9" s="485">
        <v>1</v>
      </c>
      <c r="FT9" s="486">
        <v>8.1999999999999993</v>
      </c>
      <c r="FU9" s="485">
        <v>0</v>
      </c>
      <c r="FV9" s="486">
        <v>0</v>
      </c>
      <c r="FW9" s="485">
        <v>0</v>
      </c>
      <c r="FX9" s="486">
        <v>0</v>
      </c>
      <c r="FY9" s="485">
        <v>0</v>
      </c>
      <c r="FZ9" s="486">
        <v>0</v>
      </c>
      <c r="GA9" s="485">
        <v>0</v>
      </c>
      <c r="GB9" s="485">
        <v>0</v>
      </c>
      <c r="GC9" s="487">
        <v>0</v>
      </c>
      <c r="GD9" s="488">
        <v>0</v>
      </c>
      <c r="GE9" s="488">
        <v>5</v>
      </c>
      <c r="GF9" s="488">
        <v>199</v>
      </c>
      <c r="GG9" s="488">
        <v>0</v>
      </c>
      <c r="GH9" s="488">
        <v>1</v>
      </c>
      <c r="GI9" s="488">
        <v>0</v>
      </c>
      <c r="GJ9" s="488">
        <v>0</v>
      </c>
      <c r="GK9" s="488">
        <v>60</v>
      </c>
      <c r="GL9" s="488">
        <v>143</v>
      </c>
      <c r="GM9" s="488">
        <v>204</v>
      </c>
      <c r="GN9" s="488">
        <v>0</v>
      </c>
      <c r="GO9" s="488">
        <v>17</v>
      </c>
      <c r="GP9" s="488">
        <v>1</v>
      </c>
      <c r="GQ9" s="488">
        <v>0</v>
      </c>
      <c r="GR9" s="488">
        <v>0</v>
      </c>
      <c r="GS9" s="488">
        <v>1</v>
      </c>
      <c r="GT9" s="489">
        <v>237</v>
      </c>
      <c r="GU9" s="488">
        <v>0</v>
      </c>
      <c r="GV9" s="490">
        <v>0</v>
      </c>
      <c r="GW9" s="490">
        <v>0</v>
      </c>
      <c r="GX9" s="490">
        <v>0</v>
      </c>
      <c r="GY9" s="491">
        <v>0</v>
      </c>
      <c r="GZ9" s="491">
        <v>1</v>
      </c>
      <c r="HA9" s="491">
        <v>1</v>
      </c>
      <c r="HB9" s="475">
        <v>0</v>
      </c>
      <c r="HC9" s="475">
        <v>0</v>
      </c>
      <c r="HD9" s="475">
        <v>0</v>
      </c>
      <c r="HE9" s="475">
        <v>0</v>
      </c>
      <c r="HF9" s="475">
        <v>0</v>
      </c>
      <c r="HG9" s="475">
        <v>0</v>
      </c>
      <c r="HH9" s="475">
        <v>0</v>
      </c>
      <c r="HI9" s="475">
        <v>0</v>
      </c>
      <c r="HJ9" s="475">
        <v>0</v>
      </c>
      <c r="HK9" s="475">
        <v>0</v>
      </c>
      <c r="HL9" s="475">
        <v>0</v>
      </c>
      <c r="HM9" s="475">
        <v>0</v>
      </c>
      <c r="HN9" s="475">
        <v>0</v>
      </c>
      <c r="HO9" s="475">
        <v>0</v>
      </c>
      <c r="HP9" s="475">
        <v>0</v>
      </c>
      <c r="HQ9" s="475">
        <v>0</v>
      </c>
      <c r="HR9" s="475">
        <v>0</v>
      </c>
      <c r="HS9" s="475">
        <v>0</v>
      </c>
      <c r="HT9" s="475">
        <v>0</v>
      </c>
      <c r="HU9" s="475">
        <v>0</v>
      </c>
      <c r="HV9" s="475">
        <v>0</v>
      </c>
      <c r="HW9" s="475">
        <v>0</v>
      </c>
      <c r="HX9" s="475">
        <v>0</v>
      </c>
      <c r="HY9" s="475">
        <v>0</v>
      </c>
      <c r="HZ9" s="475" t="s">
        <v>721</v>
      </c>
      <c r="IA9" s="475" t="s">
        <v>721</v>
      </c>
      <c r="IB9" s="475" t="s">
        <v>721</v>
      </c>
      <c r="IC9" s="475" t="s">
        <v>721</v>
      </c>
      <c r="ID9" s="475" t="s">
        <v>721</v>
      </c>
      <c r="IE9" s="475" t="s">
        <v>721</v>
      </c>
      <c r="IF9" s="475" t="s">
        <v>721</v>
      </c>
      <c r="IG9" s="475" t="s">
        <v>721</v>
      </c>
      <c r="IH9" s="475" t="s">
        <v>721</v>
      </c>
      <c r="II9" s="475" t="s">
        <v>721</v>
      </c>
      <c r="IJ9" s="475" t="s">
        <v>721</v>
      </c>
      <c r="IK9" s="475" t="s">
        <v>721</v>
      </c>
      <c r="IL9" s="475" t="s">
        <v>721</v>
      </c>
      <c r="IM9" s="475" t="s">
        <v>721</v>
      </c>
      <c r="IN9" s="475" t="s">
        <v>721</v>
      </c>
      <c r="IO9" s="475" t="s">
        <v>721</v>
      </c>
      <c r="IP9" s="475" t="s">
        <v>721</v>
      </c>
      <c r="IQ9" s="475" t="s">
        <v>721</v>
      </c>
      <c r="IR9" s="475" t="s">
        <v>721</v>
      </c>
      <c r="IS9" s="475" t="s">
        <v>721</v>
      </c>
      <c r="IT9" s="475" t="s">
        <v>721</v>
      </c>
      <c r="IU9" s="475" t="s">
        <v>721</v>
      </c>
      <c r="IV9" s="475" t="s">
        <v>721</v>
      </c>
      <c r="IW9" s="475" t="s">
        <v>721</v>
      </c>
      <c r="IX9" s="475" t="s">
        <v>721</v>
      </c>
      <c r="IY9" s="475" t="s">
        <v>721</v>
      </c>
      <c r="IZ9" s="475" t="s">
        <v>721</v>
      </c>
      <c r="JA9" s="475" t="s">
        <v>721</v>
      </c>
      <c r="JB9" s="475" t="s">
        <v>721</v>
      </c>
      <c r="JC9" s="475" t="s">
        <v>721</v>
      </c>
      <c r="JD9" s="475" t="s">
        <v>721</v>
      </c>
      <c r="JE9" s="475" t="s">
        <v>721</v>
      </c>
      <c r="JF9" s="475" t="s">
        <v>721</v>
      </c>
      <c r="JG9" s="475" t="s">
        <v>721</v>
      </c>
      <c r="JH9" s="475" t="s">
        <v>721</v>
      </c>
      <c r="JI9" s="475" t="s">
        <v>721</v>
      </c>
      <c r="JJ9" s="475" t="s">
        <v>721</v>
      </c>
      <c r="JK9" s="475" t="s">
        <v>721</v>
      </c>
      <c r="JL9" s="755">
        <v>15479.4</v>
      </c>
      <c r="JM9" s="755">
        <v>20923.099999999999</v>
      </c>
      <c r="JN9" s="755">
        <v>708.4</v>
      </c>
      <c r="JO9" s="755">
        <v>421.5</v>
      </c>
      <c r="JP9" s="755">
        <v>1237.3</v>
      </c>
      <c r="JQ9" s="755" t="s">
        <v>721</v>
      </c>
      <c r="JR9" s="755">
        <v>1156.7</v>
      </c>
      <c r="JS9" s="755" t="s">
        <v>721</v>
      </c>
      <c r="JT9" s="755" t="s">
        <v>721</v>
      </c>
      <c r="JU9" s="755" t="s">
        <v>721</v>
      </c>
      <c r="JV9" s="755">
        <v>264.3</v>
      </c>
      <c r="JW9" s="755">
        <v>528</v>
      </c>
      <c r="JX9" s="755" t="s">
        <v>721</v>
      </c>
      <c r="JY9" s="755">
        <v>469.3</v>
      </c>
      <c r="JZ9" s="755">
        <v>109.4</v>
      </c>
      <c r="KA9" s="755" t="s">
        <v>721</v>
      </c>
      <c r="KB9" s="755" t="s">
        <v>721</v>
      </c>
      <c r="KC9" s="755" t="s">
        <v>721</v>
      </c>
      <c r="KD9" s="755">
        <v>1375.1</v>
      </c>
      <c r="KE9" s="475">
        <v>16</v>
      </c>
      <c r="KF9" s="475">
        <v>17</v>
      </c>
      <c r="KG9" s="475" t="s">
        <v>721</v>
      </c>
      <c r="KH9" s="475" t="s">
        <v>721</v>
      </c>
      <c r="KI9" s="475" t="s">
        <v>721</v>
      </c>
      <c r="KJ9" s="475" t="s">
        <v>721</v>
      </c>
      <c r="KK9" s="475" t="s">
        <v>721</v>
      </c>
      <c r="KL9" s="475" t="s">
        <v>721</v>
      </c>
      <c r="KM9" s="475" t="s">
        <v>721</v>
      </c>
      <c r="KN9" s="475" t="s">
        <v>721</v>
      </c>
      <c r="KO9" s="475" t="s">
        <v>721</v>
      </c>
      <c r="KP9" s="475" t="s">
        <v>721</v>
      </c>
      <c r="KQ9" s="475" t="s">
        <v>721</v>
      </c>
      <c r="KR9" s="475" t="s">
        <v>721</v>
      </c>
      <c r="KS9" s="475" t="s">
        <v>721</v>
      </c>
      <c r="KT9" s="475" t="s">
        <v>721</v>
      </c>
      <c r="KU9" s="475" t="s">
        <v>721</v>
      </c>
      <c r="KV9" s="475" t="s">
        <v>721</v>
      </c>
      <c r="KW9" s="475" t="s">
        <v>721</v>
      </c>
      <c r="KX9" s="475" t="s">
        <v>721</v>
      </c>
      <c r="KY9" s="475">
        <v>26</v>
      </c>
      <c r="KZ9" s="475" t="s">
        <v>721</v>
      </c>
      <c r="LA9" s="475" t="s">
        <v>721</v>
      </c>
      <c r="LB9" s="475" t="s">
        <v>721</v>
      </c>
      <c r="LC9" s="475" t="s">
        <v>721</v>
      </c>
      <c r="LD9" s="475" t="s">
        <v>721</v>
      </c>
      <c r="LE9" s="475" t="s">
        <v>721</v>
      </c>
      <c r="LF9" s="475" t="s">
        <v>721</v>
      </c>
      <c r="LG9" s="475" t="s">
        <v>721</v>
      </c>
      <c r="LH9" s="475" t="s">
        <v>721</v>
      </c>
      <c r="LI9" s="475" t="s">
        <v>721</v>
      </c>
      <c r="LJ9" s="475" t="s">
        <v>721</v>
      </c>
      <c r="LK9" s="475" t="s">
        <v>721</v>
      </c>
      <c r="LL9" s="475" t="s">
        <v>721</v>
      </c>
      <c r="LM9" s="475" t="s">
        <v>721</v>
      </c>
      <c r="LN9" s="475" t="s">
        <v>721</v>
      </c>
      <c r="LO9" s="475" t="s">
        <v>721</v>
      </c>
      <c r="LP9" s="475" t="s">
        <v>721</v>
      </c>
      <c r="LQ9" s="475">
        <v>99</v>
      </c>
      <c r="LR9" s="475">
        <v>161</v>
      </c>
      <c r="LS9" s="475" t="s">
        <v>721</v>
      </c>
      <c r="LT9" s="475" t="s">
        <v>721</v>
      </c>
      <c r="LU9" s="475" t="s">
        <v>721</v>
      </c>
      <c r="LV9" s="475" t="s">
        <v>721</v>
      </c>
      <c r="LW9" s="475" t="s">
        <v>721</v>
      </c>
      <c r="LX9" s="475" t="s">
        <v>721</v>
      </c>
      <c r="LY9" s="475" t="s">
        <v>721</v>
      </c>
      <c r="LZ9" s="475" t="s">
        <v>721</v>
      </c>
      <c r="MA9" s="475" t="s">
        <v>721</v>
      </c>
      <c r="MB9" s="475" t="s">
        <v>721</v>
      </c>
      <c r="MC9" s="475" t="s">
        <v>721</v>
      </c>
      <c r="MD9" s="475" t="s">
        <v>721</v>
      </c>
      <c r="ME9" s="475" t="s">
        <v>721</v>
      </c>
      <c r="MF9" s="475" t="s">
        <v>721</v>
      </c>
      <c r="MG9" s="475" t="s">
        <v>721</v>
      </c>
      <c r="MH9" s="475" t="s">
        <v>721</v>
      </c>
      <c r="MI9" s="475" t="s">
        <v>721</v>
      </c>
      <c r="MJ9" s="475">
        <v>41</v>
      </c>
      <c r="MK9" s="475">
        <v>46</v>
      </c>
      <c r="ML9" s="475" t="s">
        <v>721</v>
      </c>
      <c r="MM9" s="475" t="s">
        <v>721</v>
      </c>
      <c r="MN9" s="475" t="s">
        <v>721</v>
      </c>
      <c r="MO9" s="475" t="s">
        <v>721</v>
      </c>
      <c r="MP9" s="475" t="s">
        <v>721</v>
      </c>
      <c r="MQ9" s="475" t="s">
        <v>721</v>
      </c>
      <c r="MR9" s="475" t="s">
        <v>721</v>
      </c>
      <c r="MS9" s="475" t="s">
        <v>721</v>
      </c>
      <c r="MT9" s="475" t="s">
        <v>721</v>
      </c>
      <c r="MU9" s="475" t="s">
        <v>721</v>
      </c>
      <c r="MV9" s="475" t="s">
        <v>721</v>
      </c>
      <c r="MW9" s="475" t="s">
        <v>721</v>
      </c>
      <c r="MX9" s="475" t="s">
        <v>721</v>
      </c>
      <c r="MY9" s="475" t="s">
        <v>721</v>
      </c>
      <c r="MZ9" s="475" t="s">
        <v>721</v>
      </c>
      <c r="NA9" s="475" t="s">
        <v>721</v>
      </c>
      <c r="NB9" s="475" t="s">
        <v>721</v>
      </c>
      <c r="NC9" s="476">
        <v>0.56200000000000006</v>
      </c>
      <c r="ND9" s="476">
        <v>0.438</v>
      </c>
      <c r="NE9" s="476">
        <v>0.35099999999999998</v>
      </c>
      <c r="NF9" s="476">
        <v>0.52200000000000002</v>
      </c>
      <c r="NG9" s="476" t="s">
        <v>721</v>
      </c>
      <c r="NH9" s="476" t="s">
        <v>721</v>
      </c>
      <c r="NI9" s="476">
        <v>0.03</v>
      </c>
      <c r="NJ9" s="476" t="s">
        <v>721</v>
      </c>
      <c r="NK9" s="476" t="s">
        <v>721</v>
      </c>
      <c r="NL9" s="476" t="s">
        <v>721</v>
      </c>
      <c r="NM9" s="476" t="s">
        <v>721</v>
      </c>
      <c r="NN9" s="476" t="s">
        <v>721</v>
      </c>
      <c r="NO9" s="476" t="s">
        <v>721</v>
      </c>
      <c r="NP9" s="476" t="s">
        <v>721</v>
      </c>
      <c r="NQ9" s="476" t="s">
        <v>721</v>
      </c>
      <c r="NR9" s="476" t="s">
        <v>721</v>
      </c>
      <c r="NS9" s="476" t="s">
        <v>721</v>
      </c>
      <c r="NT9" s="476" t="s">
        <v>721</v>
      </c>
      <c r="NU9" s="476" t="s">
        <v>721</v>
      </c>
      <c r="NV9" s="476" t="s">
        <v>721</v>
      </c>
      <c r="NW9" s="476" t="s">
        <v>721</v>
      </c>
      <c r="NX9" s="476" t="s">
        <v>721</v>
      </c>
      <c r="NY9" s="476">
        <v>0.376</v>
      </c>
      <c r="NZ9" s="476" t="s">
        <v>721</v>
      </c>
      <c r="OA9" s="476" t="s">
        <v>721</v>
      </c>
      <c r="OB9" s="476" t="s">
        <v>721</v>
      </c>
      <c r="OC9" s="476" t="s">
        <v>721</v>
      </c>
      <c r="OD9" s="476" t="s">
        <v>721</v>
      </c>
      <c r="OE9" s="476">
        <v>0.61199999999999999</v>
      </c>
      <c r="OF9" s="476" t="s">
        <v>721</v>
      </c>
      <c r="OG9" s="476" t="s">
        <v>721</v>
      </c>
      <c r="OH9" s="476" t="s">
        <v>721</v>
      </c>
      <c r="OI9" s="476" t="s">
        <v>721</v>
      </c>
      <c r="OJ9" s="476" t="s">
        <v>721</v>
      </c>
      <c r="OK9" s="476" t="s">
        <v>721</v>
      </c>
      <c r="OL9" s="476" t="s">
        <v>721</v>
      </c>
      <c r="OM9" s="476" t="s">
        <v>721</v>
      </c>
      <c r="ON9" s="476" t="s">
        <v>721</v>
      </c>
      <c r="OO9" s="476" t="s">
        <v>721</v>
      </c>
      <c r="OP9" s="476" t="s">
        <v>721</v>
      </c>
      <c r="OQ9" s="476" t="s">
        <v>721</v>
      </c>
      <c r="OR9" s="476" t="s">
        <v>721</v>
      </c>
      <c r="OS9" s="476" t="s">
        <v>721</v>
      </c>
      <c r="OT9" s="476" t="s">
        <v>721</v>
      </c>
      <c r="OU9" s="476" t="s">
        <v>721</v>
      </c>
      <c r="OV9" s="476" t="s">
        <v>721</v>
      </c>
      <c r="OW9" s="476" t="s">
        <v>721</v>
      </c>
      <c r="OX9" s="476" t="s">
        <v>721</v>
      </c>
      <c r="OY9" s="476" t="s">
        <v>721</v>
      </c>
      <c r="OZ9" s="476" t="s">
        <v>721</v>
      </c>
      <c r="PA9" s="476" t="s">
        <v>721</v>
      </c>
      <c r="PB9" s="476" t="s">
        <v>721</v>
      </c>
      <c r="PC9" s="476" t="s">
        <v>721</v>
      </c>
      <c r="PD9" s="476" t="s">
        <v>721</v>
      </c>
      <c r="PE9" s="476" t="s">
        <v>721</v>
      </c>
      <c r="PF9" s="476">
        <v>0.24299999999999999</v>
      </c>
      <c r="PG9" s="476" t="s">
        <v>721</v>
      </c>
      <c r="PH9" s="476" t="s">
        <v>721</v>
      </c>
      <c r="PI9" s="476" t="s">
        <v>721</v>
      </c>
      <c r="PJ9" s="476" t="s">
        <v>721</v>
      </c>
      <c r="PK9" s="476" t="s">
        <v>721</v>
      </c>
      <c r="PL9" s="476">
        <v>0.74</v>
      </c>
      <c r="PM9" s="476" t="s">
        <v>721</v>
      </c>
      <c r="PN9" s="476" t="s">
        <v>721</v>
      </c>
      <c r="PO9" s="476" t="s">
        <v>721</v>
      </c>
      <c r="PP9" s="476" t="s">
        <v>721</v>
      </c>
      <c r="PQ9" s="476" t="s">
        <v>721</v>
      </c>
      <c r="PR9" s="476" t="s">
        <v>721</v>
      </c>
      <c r="PS9" s="476" t="s">
        <v>721</v>
      </c>
      <c r="PT9" s="476" t="s">
        <v>721</v>
      </c>
      <c r="PU9" s="476" t="s">
        <v>721</v>
      </c>
      <c r="PV9" s="476" t="s">
        <v>721</v>
      </c>
      <c r="PW9" s="476" t="s">
        <v>721</v>
      </c>
      <c r="PX9" s="476" t="s">
        <v>721</v>
      </c>
      <c r="PY9" s="476" t="s">
        <v>721</v>
      </c>
      <c r="PZ9" s="476" t="s">
        <v>721</v>
      </c>
      <c r="QA9" s="476" t="s">
        <v>721</v>
      </c>
      <c r="QB9" s="476" t="s">
        <v>721</v>
      </c>
      <c r="QC9" s="476" t="s">
        <v>721</v>
      </c>
      <c r="QD9" s="476" t="s">
        <v>721</v>
      </c>
      <c r="QE9" s="476" t="s">
        <v>721</v>
      </c>
      <c r="QF9" s="476" t="s">
        <v>721</v>
      </c>
      <c r="QG9" s="476" t="s">
        <v>721</v>
      </c>
      <c r="QH9" s="476" t="s">
        <v>721</v>
      </c>
      <c r="QI9" s="476" t="s">
        <v>721</v>
      </c>
      <c r="QJ9" s="476" t="s">
        <v>721</v>
      </c>
      <c r="QK9" s="476" t="s">
        <v>721</v>
      </c>
      <c r="QL9" s="476" t="s">
        <v>721</v>
      </c>
      <c r="QM9" s="476" t="s">
        <v>721</v>
      </c>
      <c r="QN9" s="476" t="s">
        <v>721</v>
      </c>
      <c r="QO9" s="476" t="s">
        <v>721</v>
      </c>
      <c r="QP9" s="476" t="s">
        <v>721</v>
      </c>
      <c r="QQ9" s="476" t="s">
        <v>721</v>
      </c>
      <c r="QR9" s="476" t="s">
        <v>721</v>
      </c>
      <c r="QS9" s="476" t="s">
        <v>721</v>
      </c>
      <c r="QT9" s="476" t="s">
        <v>721</v>
      </c>
      <c r="QU9" s="476" t="s">
        <v>721</v>
      </c>
      <c r="QV9" s="476" t="s">
        <v>721</v>
      </c>
      <c r="QW9" s="476" t="s">
        <v>721</v>
      </c>
      <c r="QX9" s="476" t="s">
        <v>721</v>
      </c>
      <c r="QY9" s="476" t="s">
        <v>721</v>
      </c>
      <c r="QZ9" s="476" t="s">
        <v>721</v>
      </c>
      <c r="RA9" s="476" t="s">
        <v>721</v>
      </c>
      <c r="RB9" s="476" t="s">
        <v>721</v>
      </c>
      <c r="RC9" s="476" t="s">
        <v>721</v>
      </c>
      <c r="RD9" s="476" t="s">
        <v>721</v>
      </c>
      <c r="RE9" s="476" t="s">
        <v>721</v>
      </c>
      <c r="RF9" s="476" t="s">
        <v>721</v>
      </c>
      <c r="RG9" s="476" t="s">
        <v>721</v>
      </c>
      <c r="RH9" s="476" t="s">
        <v>721</v>
      </c>
      <c r="RI9" s="476" t="s">
        <v>721</v>
      </c>
      <c r="RJ9" s="476" t="s">
        <v>721</v>
      </c>
      <c r="RK9" s="476" t="s">
        <v>721</v>
      </c>
      <c r="RL9" s="476" t="s">
        <v>721</v>
      </c>
      <c r="RM9" s="476" t="s">
        <v>721</v>
      </c>
      <c r="RN9" s="476" t="s">
        <v>721</v>
      </c>
      <c r="RO9" s="476" t="s">
        <v>721</v>
      </c>
      <c r="RP9" s="476" t="s">
        <v>721</v>
      </c>
      <c r="RQ9" s="476" t="s">
        <v>721</v>
      </c>
      <c r="RR9" s="476" t="s">
        <v>721</v>
      </c>
      <c r="RS9" s="476" t="s">
        <v>721</v>
      </c>
      <c r="RT9" s="476" t="s">
        <v>721</v>
      </c>
      <c r="RU9" s="476" t="s">
        <v>721</v>
      </c>
      <c r="RV9" s="476" t="s">
        <v>721</v>
      </c>
      <c r="RW9" s="476" t="s">
        <v>721</v>
      </c>
      <c r="RX9" s="476">
        <v>0.36299999999999999</v>
      </c>
      <c r="RY9" s="476">
        <v>0.49</v>
      </c>
      <c r="RZ9" s="476">
        <v>1.7000000000000001E-2</v>
      </c>
      <c r="SA9" s="476">
        <v>0.01</v>
      </c>
      <c r="SB9" s="476">
        <v>2.9000000000000001E-2</v>
      </c>
      <c r="SC9" s="476" t="s">
        <v>721</v>
      </c>
      <c r="SD9" s="476">
        <v>2.7E-2</v>
      </c>
      <c r="SE9" s="476" t="s">
        <v>721</v>
      </c>
      <c r="SF9" s="476" t="s">
        <v>721</v>
      </c>
      <c r="SG9" s="476" t="s">
        <v>721</v>
      </c>
      <c r="SH9" s="476">
        <v>6.0000000000000001E-3</v>
      </c>
      <c r="SI9" s="476">
        <v>1.2E-2</v>
      </c>
      <c r="SJ9" s="476" t="s">
        <v>721</v>
      </c>
      <c r="SK9" s="476">
        <v>1.0999999999999999E-2</v>
      </c>
      <c r="SL9" s="476">
        <v>3.0000000000000001E-3</v>
      </c>
      <c r="SM9" s="476" t="s">
        <v>721</v>
      </c>
      <c r="SN9" s="476" t="s">
        <v>721</v>
      </c>
      <c r="SO9" s="476" t="s">
        <v>721</v>
      </c>
      <c r="SP9" s="476">
        <v>3.2000000000000001E-2</v>
      </c>
      <c r="SQ9" s="476">
        <v>0.35599999999999998</v>
      </c>
      <c r="SR9" s="476">
        <v>0.378</v>
      </c>
      <c r="SS9" s="476" t="s">
        <v>721</v>
      </c>
      <c r="ST9" s="476" t="s">
        <v>721</v>
      </c>
      <c r="SU9" s="476" t="s">
        <v>721</v>
      </c>
      <c r="SV9" s="476" t="s">
        <v>721</v>
      </c>
      <c r="SW9" s="476" t="s">
        <v>721</v>
      </c>
      <c r="SX9" s="476" t="s">
        <v>721</v>
      </c>
      <c r="SY9" s="476" t="s">
        <v>721</v>
      </c>
      <c r="SZ9" s="476" t="s">
        <v>721</v>
      </c>
      <c r="TA9" s="476" t="s">
        <v>721</v>
      </c>
      <c r="TB9" s="476" t="s">
        <v>721</v>
      </c>
      <c r="TC9" s="476" t="s">
        <v>721</v>
      </c>
      <c r="TD9" s="476" t="s">
        <v>721</v>
      </c>
      <c r="TE9" s="476" t="s">
        <v>721</v>
      </c>
      <c r="TF9" s="476" t="s">
        <v>721</v>
      </c>
      <c r="TG9" s="476" t="s">
        <v>721</v>
      </c>
      <c r="TH9" s="476" t="s">
        <v>721</v>
      </c>
      <c r="TI9" s="476" t="s">
        <v>721</v>
      </c>
      <c r="TJ9" s="476" t="s">
        <v>721</v>
      </c>
      <c r="TK9" s="476">
        <v>0.76500000000000001</v>
      </c>
      <c r="TL9" s="476" t="s">
        <v>721</v>
      </c>
      <c r="TM9" s="476" t="s">
        <v>721</v>
      </c>
      <c r="TN9" s="476" t="s">
        <v>721</v>
      </c>
      <c r="TO9" s="476" t="s">
        <v>721</v>
      </c>
      <c r="TP9" s="476" t="s">
        <v>721</v>
      </c>
      <c r="TQ9" s="476" t="s">
        <v>721</v>
      </c>
      <c r="TR9" s="476" t="s">
        <v>721</v>
      </c>
      <c r="TS9" s="476" t="s">
        <v>721</v>
      </c>
      <c r="TT9" s="476" t="s">
        <v>721</v>
      </c>
      <c r="TU9" s="476" t="s">
        <v>721</v>
      </c>
      <c r="TV9" s="476" t="s">
        <v>721</v>
      </c>
      <c r="TW9" s="476" t="s">
        <v>721</v>
      </c>
      <c r="TX9" s="476" t="s">
        <v>721</v>
      </c>
      <c r="TY9" s="476" t="s">
        <v>721</v>
      </c>
      <c r="TZ9" s="476" t="s">
        <v>721</v>
      </c>
      <c r="UA9" s="476" t="s">
        <v>721</v>
      </c>
      <c r="UB9" s="476" t="s">
        <v>721</v>
      </c>
      <c r="UC9" s="476">
        <v>0.33</v>
      </c>
      <c r="UD9" s="476">
        <v>0.53700000000000003</v>
      </c>
      <c r="UE9" s="476" t="s">
        <v>721</v>
      </c>
      <c r="UF9" s="476" t="s">
        <v>721</v>
      </c>
      <c r="UG9" s="476" t="s">
        <v>721</v>
      </c>
      <c r="UH9" s="476" t="s">
        <v>721</v>
      </c>
      <c r="UI9" s="476" t="s">
        <v>721</v>
      </c>
      <c r="UJ9" s="476" t="s">
        <v>721</v>
      </c>
      <c r="UK9" s="476" t="s">
        <v>721</v>
      </c>
      <c r="UL9" s="476" t="s">
        <v>721</v>
      </c>
      <c r="UM9" s="476" t="s">
        <v>721</v>
      </c>
      <c r="UN9" s="476" t="s">
        <v>721</v>
      </c>
      <c r="UO9" s="476" t="s">
        <v>721</v>
      </c>
      <c r="UP9" s="476" t="s">
        <v>721</v>
      </c>
      <c r="UQ9" s="476" t="s">
        <v>721</v>
      </c>
      <c r="UR9" s="476" t="s">
        <v>721</v>
      </c>
      <c r="US9" s="476" t="s">
        <v>721</v>
      </c>
      <c r="UT9" s="476" t="s">
        <v>721</v>
      </c>
      <c r="UU9" s="476" t="s">
        <v>721</v>
      </c>
      <c r="UV9" s="476">
        <v>0.41799999999999998</v>
      </c>
      <c r="UW9" s="476">
        <v>0.46899999999999997</v>
      </c>
      <c r="UX9" s="476" t="s">
        <v>721</v>
      </c>
      <c r="UY9" s="476" t="s">
        <v>721</v>
      </c>
      <c r="UZ9" s="476" t="s">
        <v>721</v>
      </c>
      <c r="VA9" s="476" t="s">
        <v>721</v>
      </c>
      <c r="VB9" s="476" t="s">
        <v>721</v>
      </c>
      <c r="VC9" s="476" t="s">
        <v>721</v>
      </c>
      <c r="VD9" s="476" t="s">
        <v>721</v>
      </c>
      <c r="VE9" s="476" t="s">
        <v>721</v>
      </c>
      <c r="VF9" s="476" t="s">
        <v>721</v>
      </c>
      <c r="VG9" s="476" t="s">
        <v>721</v>
      </c>
      <c r="VH9" s="476" t="s">
        <v>721</v>
      </c>
      <c r="VI9" s="476" t="s">
        <v>721</v>
      </c>
      <c r="VJ9" s="476" t="s">
        <v>721</v>
      </c>
      <c r="VK9" s="476" t="s">
        <v>721</v>
      </c>
      <c r="VL9" s="476" t="s">
        <v>721</v>
      </c>
      <c r="VM9" s="476" t="s">
        <v>721</v>
      </c>
      <c r="VN9" s="476" t="s">
        <v>721</v>
      </c>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row>
    <row r="10" spans="1:621" s="151" customFormat="1" ht="15.75" customHeight="1" x14ac:dyDescent="0.35">
      <c r="A10" s="477" t="s">
        <v>20</v>
      </c>
      <c r="B10" s="492" t="s">
        <v>12</v>
      </c>
      <c r="C10" s="493">
        <v>17.93</v>
      </c>
      <c r="D10" s="494">
        <v>14825</v>
      </c>
      <c r="E10" s="473">
        <v>1717582.5</v>
      </c>
      <c r="F10" s="473">
        <v>115.9</v>
      </c>
      <c r="G10" s="474">
        <v>14524</v>
      </c>
      <c r="H10" s="474">
        <v>13482</v>
      </c>
      <c r="I10" s="474">
        <v>8973</v>
      </c>
      <c r="J10" s="474">
        <v>7229</v>
      </c>
      <c r="K10" s="474">
        <v>5383</v>
      </c>
      <c r="L10" s="473">
        <v>875762.6</v>
      </c>
      <c r="M10" s="474">
        <v>9320</v>
      </c>
      <c r="N10" s="473">
        <v>841819.9</v>
      </c>
      <c r="O10" s="494">
        <v>1502</v>
      </c>
      <c r="P10" s="495">
        <v>264125.2</v>
      </c>
      <c r="Q10" s="494">
        <v>1613</v>
      </c>
      <c r="R10" s="495">
        <v>57861.8</v>
      </c>
      <c r="S10" s="494">
        <v>3943</v>
      </c>
      <c r="T10" s="495">
        <v>423394.8</v>
      </c>
      <c r="U10" s="494">
        <v>164</v>
      </c>
      <c r="V10" s="495">
        <v>19495.7</v>
      </c>
      <c r="W10" s="494">
        <v>10718</v>
      </c>
      <c r="X10" s="495">
        <v>1274692</v>
      </c>
      <c r="Y10" s="494">
        <v>13608</v>
      </c>
      <c r="Z10" s="494">
        <v>7641</v>
      </c>
      <c r="AA10" s="494">
        <v>9082</v>
      </c>
      <c r="AB10" s="494">
        <v>6214</v>
      </c>
      <c r="AC10" s="494">
        <v>633</v>
      </c>
      <c r="AD10" s="494">
        <v>2457</v>
      </c>
      <c r="AE10" s="494">
        <v>5922</v>
      </c>
      <c r="AF10" s="495">
        <v>423499.1</v>
      </c>
      <c r="AG10" s="494">
        <v>8020</v>
      </c>
      <c r="AH10" s="495">
        <v>1228476.6000000001</v>
      </c>
      <c r="AI10" s="494">
        <v>320</v>
      </c>
      <c r="AJ10" s="495">
        <v>15590.9</v>
      </c>
      <c r="AK10" s="494">
        <v>441</v>
      </c>
      <c r="AL10" s="495">
        <v>50015.9</v>
      </c>
      <c r="AM10" s="496">
        <v>9033</v>
      </c>
      <c r="AN10" s="496">
        <v>5792</v>
      </c>
      <c r="AO10" s="496">
        <v>3732</v>
      </c>
      <c r="AP10" s="496">
        <v>2740</v>
      </c>
      <c r="AQ10" s="496">
        <v>3950</v>
      </c>
      <c r="AR10" s="496">
        <v>454</v>
      </c>
      <c r="AS10" s="496">
        <v>42</v>
      </c>
      <c r="AT10" s="496">
        <v>869</v>
      </c>
      <c r="AU10" s="496">
        <v>515</v>
      </c>
      <c r="AV10" s="496" t="s">
        <v>721</v>
      </c>
      <c r="AW10" s="496">
        <v>602</v>
      </c>
      <c r="AX10" s="496">
        <v>43</v>
      </c>
      <c r="AY10" s="496">
        <v>19</v>
      </c>
      <c r="AZ10" s="496">
        <v>106</v>
      </c>
      <c r="BA10" s="496">
        <v>23</v>
      </c>
      <c r="BB10" s="496">
        <v>719</v>
      </c>
      <c r="BC10" s="496" t="s">
        <v>721</v>
      </c>
      <c r="BD10" s="496" t="s">
        <v>721</v>
      </c>
      <c r="BE10" s="496">
        <v>208</v>
      </c>
      <c r="BF10" s="496">
        <v>225</v>
      </c>
      <c r="BG10" s="496">
        <v>567</v>
      </c>
      <c r="BH10" s="496">
        <v>19</v>
      </c>
      <c r="BI10" s="496">
        <v>1664</v>
      </c>
      <c r="BJ10" s="496">
        <v>281</v>
      </c>
      <c r="BK10" s="496" t="s">
        <v>721</v>
      </c>
      <c r="BL10" s="496">
        <v>93</v>
      </c>
      <c r="BM10" s="496">
        <v>356</v>
      </c>
      <c r="BN10" s="496">
        <v>193</v>
      </c>
      <c r="BO10" s="496">
        <v>10355</v>
      </c>
      <c r="BP10" s="496">
        <v>34</v>
      </c>
      <c r="BQ10" s="496" t="s">
        <v>721</v>
      </c>
      <c r="BR10" s="496">
        <v>257</v>
      </c>
      <c r="BS10" s="496" t="s">
        <v>721</v>
      </c>
      <c r="BT10" s="496">
        <v>32</v>
      </c>
      <c r="BU10" s="496" t="s">
        <v>721</v>
      </c>
      <c r="BV10" s="496" t="s">
        <v>721</v>
      </c>
      <c r="BW10" s="496">
        <v>106</v>
      </c>
      <c r="BX10" s="496" t="s">
        <v>721</v>
      </c>
      <c r="BY10" s="496">
        <v>109</v>
      </c>
      <c r="BZ10" s="496" t="s">
        <v>721</v>
      </c>
      <c r="CA10" s="496" t="s">
        <v>721</v>
      </c>
      <c r="CB10" s="496" t="s">
        <v>721</v>
      </c>
      <c r="CC10" s="496" t="s">
        <v>721</v>
      </c>
      <c r="CD10" s="496">
        <v>315</v>
      </c>
      <c r="CE10" s="496" t="s">
        <v>721</v>
      </c>
      <c r="CF10" s="496" t="s">
        <v>721</v>
      </c>
      <c r="CG10" s="496">
        <v>75</v>
      </c>
      <c r="CH10" s="496" t="s">
        <v>721</v>
      </c>
      <c r="CI10" s="496" t="s">
        <v>721</v>
      </c>
      <c r="CJ10" s="496">
        <v>490</v>
      </c>
      <c r="CK10" s="496">
        <v>204</v>
      </c>
      <c r="CL10" s="496">
        <v>40</v>
      </c>
      <c r="CM10" s="496">
        <v>135</v>
      </c>
      <c r="CN10" s="496" t="s">
        <v>721</v>
      </c>
      <c r="CO10" s="496" t="s">
        <v>721</v>
      </c>
      <c r="CP10" s="496">
        <v>723</v>
      </c>
      <c r="CQ10" s="496">
        <v>89</v>
      </c>
      <c r="CR10" s="496" t="s">
        <v>721</v>
      </c>
      <c r="CS10" s="496">
        <v>16</v>
      </c>
      <c r="CT10" s="496">
        <v>31</v>
      </c>
      <c r="CU10" s="496">
        <v>35</v>
      </c>
      <c r="CV10" s="496">
        <v>10134</v>
      </c>
      <c r="CW10" s="496">
        <v>2296</v>
      </c>
      <c r="CX10" s="496" t="s">
        <v>721</v>
      </c>
      <c r="CY10" s="496">
        <v>47</v>
      </c>
      <c r="CZ10" s="496">
        <v>20</v>
      </c>
      <c r="DA10" s="496" t="s">
        <v>721</v>
      </c>
      <c r="DB10" s="496" t="s">
        <v>721</v>
      </c>
      <c r="DC10" s="496" t="s">
        <v>721</v>
      </c>
      <c r="DD10" s="496" t="s">
        <v>721</v>
      </c>
      <c r="DE10" s="496" t="s">
        <v>721</v>
      </c>
      <c r="DF10" s="496" t="s">
        <v>721</v>
      </c>
      <c r="DG10" s="496" t="s">
        <v>721</v>
      </c>
      <c r="DH10" s="496" t="s">
        <v>721</v>
      </c>
      <c r="DI10" s="496" t="s">
        <v>721</v>
      </c>
      <c r="DJ10" s="496" t="s">
        <v>721</v>
      </c>
      <c r="DK10" s="496">
        <v>103</v>
      </c>
      <c r="DL10" s="496" t="s">
        <v>721</v>
      </c>
      <c r="DM10" s="496" t="s">
        <v>721</v>
      </c>
      <c r="DN10" s="496">
        <v>11</v>
      </c>
      <c r="DO10" s="496" t="s">
        <v>721</v>
      </c>
      <c r="DP10" s="496" t="s">
        <v>721</v>
      </c>
      <c r="DQ10" s="496">
        <v>28</v>
      </c>
      <c r="DR10" s="496">
        <v>26</v>
      </c>
      <c r="DS10" s="483" t="s">
        <v>721</v>
      </c>
      <c r="DT10" s="483" t="s">
        <v>721</v>
      </c>
      <c r="DU10" s="483" t="s">
        <v>721</v>
      </c>
      <c r="DV10" s="496">
        <v>1260</v>
      </c>
      <c r="DW10" s="497">
        <v>199064.6</v>
      </c>
      <c r="DX10" s="496">
        <v>2278</v>
      </c>
      <c r="DY10" s="497">
        <v>322699.2</v>
      </c>
      <c r="DZ10" s="496">
        <v>3426</v>
      </c>
      <c r="EA10" s="497">
        <v>354742.2</v>
      </c>
      <c r="EB10" s="496">
        <v>2978</v>
      </c>
      <c r="EC10" s="497">
        <v>299769.5</v>
      </c>
      <c r="ED10" s="496">
        <v>2669</v>
      </c>
      <c r="EE10" s="497">
        <v>275605.40000000002</v>
      </c>
      <c r="EF10" s="496">
        <v>2214</v>
      </c>
      <c r="EG10" s="497">
        <v>265701.59999999998</v>
      </c>
      <c r="EH10" s="485">
        <v>12335</v>
      </c>
      <c r="EI10" s="486">
        <v>39710.699999999997</v>
      </c>
      <c r="EJ10" s="485">
        <v>12332</v>
      </c>
      <c r="EK10" s="486">
        <v>273595.7</v>
      </c>
      <c r="EL10" s="485">
        <v>12231</v>
      </c>
      <c r="EM10" s="486">
        <v>116348.5</v>
      </c>
      <c r="EN10" s="485">
        <v>12542</v>
      </c>
      <c r="EO10" s="486">
        <v>63244.5</v>
      </c>
      <c r="EP10" s="485">
        <v>12298</v>
      </c>
      <c r="EQ10" s="486">
        <v>35064.1</v>
      </c>
      <c r="ER10" s="485">
        <v>12219</v>
      </c>
      <c r="ES10" s="486">
        <v>25687.1</v>
      </c>
      <c r="ET10" s="485">
        <v>2</v>
      </c>
      <c r="EU10" s="485">
        <v>10550</v>
      </c>
      <c r="EV10" s="486">
        <v>175863.7</v>
      </c>
      <c r="EW10" s="485">
        <v>2598</v>
      </c>
      <c r="EX10" s="486">
        <v>13133.9</v>
      </c>
      <c r="EY10" s="485">
        <v>4462</v>
      </c>
      <c r="EZ10" s="486">
        <v>59968.3</v>
      </c>
      <c r="FA10" s="485">
        <v>2048</v>
      </c>
      <c r="FB10" s="486">
        <v>20504</v>
      </c>
      <c r="FC10" s="485">
        <v>12960</v>
      </c>
      <c r="FD10" s="486">
        <v>173973.4</v>
      </c>
      <c r="FE10" s="485">
        <v>12837</v>
      </c>
      <c r="FF10" s="486">
        <v>109390.6</v>
      </c>
      <c r="FG10" s="485">
        <v>4928</v>
      </c>
      <c r="FH10" s="486">
        <v>47749.9</v>
      </c>
      <c r="FI10" s="485">
        <v>10188</v>
      </c>
      <c r="FJ10" s="486">
        <v>71546</v>
      </c>
      <c r="FK10" s="485">
        <v>11108</v>
      </c>
      <c r="FL10" s="486">
        <v>32807.300000000003</v>
      </c>
      <c r="FM10" s="485">
        <v>713</v>
      </c>
      <c r="FN10" s="486">
        <v>1842.9</v>
      </c>
      <c r="FO10" s="485">
        <v>11879</v>
      </c>
      <c r="FP10" s="486">
        <v>106918.5</v>
      </c>
      <c r="FQ10" s="485">
        <v>11545</v>
      </c>
      <c r="FR10" s="486">
        <v>30789.8</v>
      </c>
      <c r="FS10" s="485">
        <v>175</v>
      </c>
      <c r="FT10" s="486">
        <v>1247.8</v>
      </c>
      <c r="FU10" s="485">
        <v>0</v>
      </c>
      <c r="FV10" s="486">
        <v>0</v>
      </c>
      <c r="FW10" s="485">
        <v>0</v>
      </c>
      <c r="FX10" s="486">
        <v>0</v>
      </c>
      <c r="FY10" s="485">
        <v>0</v>
      </c>
      <c r="FZ10" s="486">
        <v>0</v>
      </c>
      <c r="GA10" s="485">
        <v>0</v>
      </c>
      <c r="GB10" s="485">
        <v>0</v>
      </c>
      <c r="GC10" s="487">
        <v>0</v>
      </c>
      <c r="GD10" s="488">
        <v>12</v>
      </c>
      <c r="GE10" s="488">
        <v>159</v>
      </c>
      <c r="GF10" s="488">
        <v>2783</v>
      </c>
      <c r="GG10" s="488">
        <v>17</v>
      </c>
      <c r="GH10" s="488">
        <v>13</v>
      </c>
      <c r="GI10" s="488">
        <v>8</v>
      </c>
      <c r="GJ10" s="488">
        <v>0</v>
      </c>
      <c r="GK10" s="488">
        <v>1559</v>
      </c>
      <c r="GL10" s="488">
        <v>1357</v>
      </c>
      <c r="GM10" s="488">
        <v>2954</v>
      </c>
      <c r="GN10" s="488">
        <v>6907</v>
      </c>
      <c r="GO10" s="488">
        <v>433</v>
      </c>
      <c r="GP10" s="488">
        <v>39</v>
      </c>
      <c r="GQ10" s="488">
        <v>156</v>
      </c>
      <c r="GR10" s="488">
        <v>27</v>
      </c>
      <c r="GS10" s="488">
        <v>222</v>
      </c>
      <c r="GT10" s="489">
        <v>9868</v>
      </c>
      <c r="GU10" s="488">
        <v>27</v>
      </c>
      <c r="GV10" s="490">
        <v>1</v>
      </c>
      <c r="GW10" s="490">
        <v>26</v>
      </c>
      <c r="GX10" s="490">
        <v>54</v>
      </c>
      <c r="GY10" s="491">
        <v>17</v>
      </c>
      <c r="GZ10" s="491">
        <v>16</v>
      </c>
      <c r="HA10" s="491">
        <v>33</v>
      </c>
      <c r="HB10" s="475">
        <v>6</v>
      </c>
      <c r="HC10" s="475">
        <v>4</v>
      </c>
      <c r="HD10" s="475">
        <v>0</v>
      </c>
      <c r="HE10" s="475">
        <v>2</v>
      </c>
      <c r="HF10" s="475">
        <v>1</v>
      </c>
      <c r="HG10" s="475">
        <v>3</v>
      </c>
      <c r="HH10" s="475">
        <v>3</v>
      </c>
      <c r="HI10" s="475">
        <v>0</v>
      </c>
      <c r="HJ10" s="475">
        <v>0</v>
      </c>
      <c r="HK10" s="475">
        <v>0</v>
      </c>
      <c r="HL10" s="475">
        <v>0</v>
      </c>
      <c r="HM10" s="475">
        <v>1</v>
      </c>
      <c r="HN10" s="475">
        <v>0</v>
      </c>
      <c r="HO10" s="475">
        <v>1</v>
      </c>
      <c r="HP10" s="475">
        <v>0</v>
      </c>
      <c r="HQ10" s="475">
        <v>1</v>
      </c>
      <c r="HR10" s="475">
        <v>61</v>
      </c>
      <c r="HS10" s="475">
        <v>0</v>
      </c>
      <c r="HT10" s="475">
        <v>0</v>
      </c>
      <c r="HU10" s="475">
        <v>0</v>
      </c>
      <c r="HV10" s="475">
        <v>0</v>
      </c>
      <c r="HW10" s="475">
        <v>0</v>
      </c>
      <c r="HX10" s="475">
        <v>0</v>
      </c>
      <c r="HY10" s="475">
        <v>0</v>
      </c>
      <c r="HZ10" s="475">
        <v>112</v>
      </c>
      <c r="IA10" s="475">
        <v>92</v>
      </c>
      <c r="IB10" s="475">
        <v>112</v>
      </c>
      <c r="IC10" s="475">
        <v>19</v>
      </c>
      <c r="ID10" s="475" t="s">
        <v>721</v>
      </c>
      <c r="IE10" s="475">
        <v>25</v>
      </c>
      <c r="IF10" s="475">
        <v>19</v>
      </c>
      <c r="IG10" s="475" t="s">
        <v>721</v>
      </c>
      <c r="IH10" s="475">
        <v>12</v>
      </c>
      <c r="II10" s="475" t="s">
        <v>721</v>
      </c>
      <c r="IJ10" s="475" t="s">
        <v>721</v>
      </c>
      <c r="IK10" s="475" t="s">
        <v>721</v>
      </c>
      <c r="IL10" s="475" t="s">
        <v>721</v>
      </c>
      <c r="IM10" s="475">
        <v>23</v>
      </c>
      <c r="IN10" s="475" t="s">
        <v>721</v>
      </c>
      <c r="IO10" s="475" t="s">
        <v>721</v>
      </c>
      <c r="IP10" s="475" t="s">
        <v>721</v>
      </c>
      <c r="IQ10" s="475" t="s">
        <v>721</v>
      </c>
      <c r="IR10" s="475">
        <v>13</v>
      </c>
      <c r="IS10" s="475">
        <v>68</v>
      </c>
      <c r="IT10" s="475">
        <v>50</v>
      </c>
      <c r="IU10" s="475">
        <v>51</v>
      </c>
      <c r="IV10" s="475" t="s">
        <v>721</v>
      </c>
      <c r="IW10" s="475" t="s">
        <v>721</v>
      </c>
      <c r="IX10" s="475" t="s">
        <v>721</v>
      </c>
      <c r="IY10" s="475" t="s">
        <v>721</v>
      </c>
      <c r="IZ10" s="475" t="s">
        <v>721</v>
      </c>
      <c r="JA10" s="475" t="s">
        <v>721</v>
      </c>
      <c r="JB10" s="475" t="s">
        <v>721</v>
      </c>
      <c r="JC10" s="475" t="s">
        <v>721</v>
      </c>
      <c r="JD10" s="475" t="s">
        <v>721</v>
      </c>
      <c r="JE10" s="475" t="s">
        <v>721</v>
      </c>
      <c r="JF10" s="475">
        <v>15</v>
      </c>
      <c r="JG10" s="475" t="s">
        <v>721</v>
      </c>
      <c r="JH10" s="475" t="s">
        <v>721</v>
      </c>
      <c r="JI10" s="475" t="s">
        <v>721</v>
      </c>
      <c r="JJ10" s="475" t="s">
        <v>721</v>
      </c>
      <c r="JK10" s="475">
        <v>12</v>
      </c>
      <c r="JL10" s="755">
        <v>443873.1</v>
      </c>
      <c r="JM10" s="755">
        <v>323552.90000000002</v>
      </c>
      <c r="JN10" s="755">
        <v>455019.9</v>
      </c>
      <c r="JO10" s="755">
        <v>55883</v>
      </c>
      <c r="JP10" s="755">
        <v>5012.5</v>
      </c>
      <c r="JQ10" s="755">
        <v>98135.5</v>
      </c>
      <c r="JR10" s="755">
        <v>59737.1</v>
      </c>
      <c r="JS10" s="755">
        <v>661.4</v>
      </c>
      <c r="JT10" s="755">
        <v>62492.4</v>
      </c>
      <c r="JU10" s="755">
        <v>4659.8999999999996</v>
      </c>
      <c r="JV10" s="755">
        <v>2317.8000000000002</v>
      </c>
      <c r="JW10" s="755">
        <v>12634.6</v>
      </c>
      <c r="JX10" s="755">
        <v>3331</v>
      </c>
      <c r="JY10" s="755">
        <v>77894.100000000006</v>
      </c>
      <c r="JZ10" s="755">
        <v>487.4</v>
      </c>
      <c r="KA10" s="755">
        <v>236.7</v>
      </c>
      <c r="KB10" s="755">
        <v>22479.3</v>
      </c>
      <c r="KC10" s="755">
        <v>23539.599999999999</v>
      </c>
      <c r="KD10" s="755">
        <v>65634.3</v>
      </c>
      <c r="KE10" s="475">
        <v>470</v>
      </c>
      <c r="KF10" s="475">
        <v>333</v>
      </c>
      <c r="KG10" s="475">
        <v>307</v>
      </c>
      <c r="KH10" s="475">
        <v>51</v>
      </c>
      <c r="KI10" s="475" t="s">
        <v>721</v>
      </c>
      <c r="KJ10" s="475">
        <v>76</v>
      </c>
      <c r="KK10" s="475">
        <v>65</v>
      </c>
      <c r="KL10" s="475" t="s">
        <v>721</v>
      </c>
      <c r="KM10" s="475">
        <v>30</v>
      </c>
      <c r="KN10" s="475" t="s">
        <v>721</v>
      </c>
      <c r="KO10" s="475" t="s">
        <v>721</v>
      </c>
      <c r="KP10" s="475" t="s">
        <v>721</v>
      </c>
      <c r="KQ10" s="475" t="s">
        <v>721</v>
      </c>
      <c r="KR10" s="475">
        <v>46</v>
      </c>
      <c r="KS10" s="475" t="s">
        <v>721</v>
      </c>
      <c r="KT10" s="475" t="s">
        <v>721</v>
      </c>
      <c r="KU10" s="475">
        <v>16</v>
      </c>
      <c r="KV10" s="475">
        <v>13</v>
      </c>
      <c r="KW10" s="475">
        <v>69</v>
      </c>
      <c r="KX10" s="475">
        <v>408</v>
      </c>
      <c r="KY10" s="475">
        <v>381</v>
      </c>
      <c r="KZ10" s="475">
        <v>337</v>
      </c>
      <c r="LA10" s="475">
        <v>56</v>
      </c>
      <c r="LB10" s="475" t="s">
        <v>721</v>
      </c>
      <c r="LC10" s="475">
        <v>105</v>
      </c>
      <c r="LD10" s="475">
        <v>45</v>
      </c>
      <c r="LE10" s="475" t="s">
        <v>721</v>
      </c>
      <c r="LF10" s="475">
        <v>52</v>
      </c>
      <c r="LG10" s="475" t="s">
        <v>721</v>
      </c>
      <c r="LH10" s="475" t="s">
        <v>721</v>
      </c>
      <c r="LI10" s="475" t="s">
        <v>721</v>
      </c>
      <c r="LJ10" s="475" t="s">
        <v>721</v>
      </c>
      <c r="LK10" s="475">
        <v>89</v>
      </c>
      <c r="LL10" s="475" t="s">
        <v>721</v>
      </c>
      <c r="LM10" s="475" t="s">
        <v>721</v>
      </c>
      <c r="LN10" s="475">
        <v>18</v>
      </c>
      <c r="LO10" s="475">
        <v>19</v>
      </c>
      <c r="LP10" s="475">
        <v>72</v>
      </c>
      <c r="LQ10" s="475">
        <v>2460</v>
      </c>
      <c r="LR10" s="475">
        <v>1680</v>
      </c>
      <c r="LS10" s="475">
        <v>2513</v>
      </c>
      <c r="LT10" s="475">
        <v>256</v>
      </c>
      <c r="LU10" s="475">
        <v>30</v>
      </c>
      <c r="LV10" s="475">
        <v>497</v>
      </c>
      <c r="LW10" s="475">
        <v>341</v>
      </c>
      <c r="LX10" s="475" t="s">
        <v>721</v>
      </c>
      <c r="LY10" s="475">
        <v>377</v>
      </c>
      <c r="LZ10" s="475">
        <v>24</v>
      </c>
      <c r="MA10" s="475" t="s">
        <v>721</v>
      </c>
      <c r="MB10" s="475">
        <v>60</v>
      </c>
      <c r="MC10" s="475" t="s">
        <v>721</v>
      </c>
      <c r="MD10" s="475">
        <v>423</v>
      </c>
      <c r="ME10" s="475" t="s">
        <v>721</v>
      </c>
      <c r="MF10" s="475" t="s">
        <v>721</v>
      </c>
      <c r="MG10" s="475">
        <v>137</v>
      </c>
      <c r="MH10" s="475">
        <v>138</v>
      </c>
      <c r="MI10" s="475">
        <v>359</v>
      </c>
      <c r="MJ10" s="475">
        <v>1236</v>
      </c>
      <c r="MK10" s="475">
        <v>1040</v>
      </c>
      <c r="ML10" s="475">
        <v>1406</v>
      </c>
      <c r="MM10" s="475">
        <v>193</v>
      </c>
      <c r="MN10" s="475">
        <v>12</v>
      </c>
      <c r="MO10" s="475">
        <v>365</v>
      </c>
      <c r="MP10" s="475">
        <v>168</v>
      </c>
      <c r="MQ10" s="475" t="s">
        <v>721</v>
      </c>
      <c r="MR10" s="475">
        <v>221</v>
      </c>
      <c r="MS10" s="475">
        <v>18</v>
      </c>
      <c r="MT10" s="475">
        <v>11</v>
      </c>
      <c r="MU10" s="475">
        <v>45</v>
      </c>
      <c r="MV10" s="475">
        <v>13</v>
      </c>
      <c r="MW10" s="475">
        <v>292</v>
      </c>
      <c r="MX10" s="475" t="s">
        <v>721</v>
      </c>
      <c r="MY10" s="475" t="s">
        <v>721</v>
      </c>
      <c r="MZ10" s="475">
        <v>69</v>
      </c>
      <c r="NA10" s="475">
        <v>86</v>
      </c>
      <c r="NB10" s="475">
        <v>204</v>
      </c>
      <c r="NC10" s="476">
        <v>0.60899999999999999</v>
      </c>
      <c r="ND10" s="476">
        <v>0.39100000000000001</v>
      </c>
      <c r="NE10" s="476">
        <v>0.252</v>
      </c>
      <c r="NF10" s="476">
        <v>0.185</v>
      </c>
      <c r="NG10" s="476">
        <v>0.26700000000000002</v>
      </c>
      <c r="NH10" s="476">
        <v>3.1E-2</v>
      </c>
      <c r="NI10" s="476">
        <v>3.0000000000000001E-3</v>
      </c>
      <c r="NJ10" s="476">
        <v>5.8999999999999997E-2</v>
      </c>
      <c r="NK10" s="476">
        <v>3.5000000000000003E-2</v>
      </c>
      <c r="NL10" s="476" t="s">
        <v>721</v>
      </c>
      <c r="NM10" s="476">
        <v>4.1000000000000002E-2</v>
      </c>
      <c r="NN10" s="476">
        <v>3.0000000000000001E-3</v>
      </c>
      <c r="NO10" s="476">
        <v>1E-3</v>
      </c>
      <c r="NP10" s="476">
        <v>7.0000000000000001E-3</v>
      </c>
      <c r="NQ10" s="476">
        <v>2E-3</v>
      </c>
      <c r="NR10" s="476">
        <v>4.8000000000000001E-2</v>
      </c>
      <c r="NS10" s="476" t="s">
        <v>721</v>
      </c>
      <c r="NT10" s="476" t="s">
        <v>721</v>
      </c>
      <c r="NU10" s="476">
        <v>1.4E-2</v>
      </c>
      <c r="NV10" s="476">
        <v>1.4999999999999999E-2</v>
      </c>
      <c r="NW10" s="476">
        <v>3.7999999999999999E-2</v>
      </c>
      <c r="NX10" s="476">
        <v>1E-3</v>
      </c>
      <c r="NY10" s="476">
        <v>0.112</v>
      </c>
      <c r="NZ10" s="476">
        <v>1.9E-2</v>
      </c>
      <c r="OA10" s="476" t="s">
        <v>721</v>
      </c>
      <c r="OB10" s="476">
        <v>6.0000000000000001E-3</v>
      </c>
      <c r="OC10" s="476">
        <v>2.4E-2</v>
      </c>
      <c r="OD10" s="476">
        <v>1.2999999999999999E-2</v>
      </c>
      <c r="OE10" s="476">
        <v>0.69799999999999995</v>
      </c>
      <c r="OF10" s="476">
        <v>2E-3</v>
      </c>
      <c r="OG10" s="476" t="s">
        <v>721</v>
      </c>
      <c r="OH10" s="476">
        <v>1.7000000000000001E-2</v>
      </c>
      <c r="OI10" s="476" t="s">
        <v>721</v>
      </c>
      <c r="OJ10" s="476">
        <v>2E-3</v>
      </c>
      <c r="OK10" s="476" t="s">
        <v>721</v>
      </c>
      <c r="OL10" s="476" t="s">
        <v>721</v>
      </c>
      <c r="OM10" s="476">
        <v>7.0000000000000001E-3</v>
      </c>
      <c r="ON10" s="476" t="s">
        <v>721</v>
      </c>
      <c r="OO10" s="476">
        <v>7.0000000000000001E-3</v>
      </c>
      <c r="OP10" s="476" t="s">
        <v>721</v>
      </c>
      <c r="OQ10" s="476" t="s">
        <v>721</v>
      </c>
      <c r="OR10" s="476" t="s">
        <v>721</v>
      </c>
      <c r="OS10" s="476" t="s">
        <v>721</v>
      </c>
      <c r="OT10" s="476">
        <v>2.1000000000000001E-2</v>
      </c>
      <c r="OU10" s="476" t="s">
        <v>721</v>
      </c>
      <c r="OV10" s="476" t="s">
        <v>721</v>
      </c>
      <c r="OW10" s="476">
        <v>5.0000000000000001E-3</v>
      </c>
      <c r="OX10" s="476" t="s">
        <v>721</v>
      </c>
      <c r="OY10" s="476" t="s">
        <v>721</v>
      </c>
      <c r="OZ10" s="476">
        <v>3.3000000000000002E-2</v>
      </c>
      <c r="PA10" s="476">
        <v>1.4E-2</v>
      </c>
      <c r="PB10" s="476">
        <v>3.0000000000000001E-3</v>
      </c>
      <c r="PC10" s="476">
        <v>8.9999999999999993E-3</v>
      </c>
      <c r="PD10" s="476" t="s">
        <v>721</v>
      </c>
      <c r="PE10" s="476" t="s">
        <v>721</v>
      </c>
      <c r="PF10" s="476">
        <v>5.2999999999999999E-2</v>
      </c>
      <c r="PG10" s="476">
        <v>7.0000000000000001E-3</v>
      </c>
      <c r="PH10" s="476" t="s">
        <v>721</v>
      </c>
      <c r="PI10" s="476">
        <v>1E-3</v>
      </c>
      <c r="PJ10" s="476">
        <v>2E-3</v>
      </c>
      <c r="PK10" s="476">
        <v>3.0000000000000001E-3</v>
      </c>
      <c r="PL10" s="476">
        <v>0.745</v>
      </c>
      <c r="PM10" s="476">
        <v>0.16900000000000001</v>
      </c>
      <c r="PN10" s="476" t="s">
        <v>721</v>
      </c>
      <c r="PO10" s="476">
        <v>3.0000000000000001E-3</v>
      </c>
      <c r="PP10" s="476">
        <v>1E-3</v>
      </c>
      <c r="PQ10" s="476" t="s">
        <v>721</v>
      </c>
      <c r="PR10" s="476" t="s">
        <v>721</v>
      </c>
      <c r="PS10" s="476" t="s">
        <v>721</v>
      </c>
      <c r="PT10" s="476" t="s">
        <v>721</v>
      </c>
      <c r="PU10" s="476" t="s">
        <v>721</v>
      </c>
      <c r="PV10" s="476" t="s">
        <v>721</v>
      </c>
      <c r="PW10" s="476" t="s">
        <v>721</v>
      </c>
      <c r="PX10" s="476" t="s">
        <v>721</v>
      </c>
      <c r="PY10" s="476" t="s">
        <v>721</v>
      </c>
      <c r="PZ10" s="476" t="s">
        <v>721</v>
      </c>
      <c r="QA10" s="476">
        <v>8.0000000000000002E-3</v>
      </c>
      <c r="QB10" s="476" t="s">
        <v>721</v>
      </c>
      <c r="QC10" s="476" t="s">
        <v>721</v>
      </c>
      <c r="QD10" s="476">
        <v>1E-3</v>
      </c>
      <c r="QE10" s="476" t="s">
        <v>721</v>
      </c>
      <c r="QF10" s="476" t="s">
        <v>721</v>
      </c>
      <c r="QG10" s="476">
        <v>2E-3</v>
      </c>
      <c r="QH10" s="476">
        <v>2E-3</v>
      </c>
      <c r="QI10" s="476" t="s">
        <v>721</v>
      </c>
      <c r="QJ10" s="476" t="s">
        <v>721</v>
      </c>
      <c r="QK10" s="476" t="s">
        <v>721</v>
      </c>
      <c r="QL10" s="476">
        <v>0.25900000000000001</v>
      </c>
      <c r="QM10" s="476">
        <v>0.21199999999999999</v>
      </c>
      <c r="QN10" s="476">
        <v>0.25900000000000001</v>
      </c>
      <c r="QO10" s="476">
        <v>4.3999999999999997E-2</v>
      </c>
      <c r="QP10" s="476" t="s">
        <v>721</v>
      </c>
      <c r="QQ10" s="476">
        <v>5.8000000000000003E-2</v>
      </c>
      <c r="QR10" s="476">
        <v>4.3999999999999997E-2</v>
      </c>
      <c r="QS10" s="476" t="s">
        <v>721</v>
      </c>
      <c r="QT10" s="476">
        <v>2.8000000000000001E-2</v>
      </c>
      <c r="QU10" s="476" t="s">
        <v>721</v>
      </c>
      <c r="QV10" s="476" t="s">
        <v>721</v>
      </c>
      <c r="QW10" s="476" t="s">
        <v>721</v>
      </c>
      <c r="QX10" s="476" t="s">
        <v>721</v>
      </c>
      <c r="QY10" s="476">
        <v>5.2999999999999999E-2</v>
      </c>
      <c r="QZ10" s="476" t="s">
        <v>721</v>
      </c>
      <c r="RA10" s="476" t="s">
        <v>721</v>
      </c>
      <c r="RB10" s="476" t="s">
        <v>721</v>
      </c>
      <c r="RC10" s="476" t="s">
        <v>721</v>
      </c>
      <c r="RD10" s="476">
        <v>0.03</v>
      </c>
      <c r="RE10" s="476">
        <v>0.30599999999999999</v>
      </c>
      <c r="RF10" s="476">
        <v>0.22500000000000001</v>
      </c>
      <c r="RG10" s="476">
        <v>0.23</v>
      </c>
      <c r="RH10" s="476" t="s">
        <v>721</v>
      </c>
      <c r="RI10" s="476" t="s">
        <v>721</v>
      </c>
      <c r="RJ10" s="476" t="s">
        <v>721</v>
      </c>
      <c r="RK10" s="476" t="s">
        <v>721</v>
      </c>
      <c r="RL10" s="476" t="s">
        <v>721</v>
      </c>
      <c r="RM10" s="476" t="s">
        <v>721</v>
      </c>
      <c r="RN10" s="476" t="s">
        <v>721</v>
      </c>
      <c r="RO10" s="476" t="s">
        <v>721</v>
      </c>
      <c r="RP10" s="476" t="s">
        <v>721</v>
      </c>
      <c r="RQ10" s="476" t="s">
        <v>721</v>
      </c>
      <c r="RR10" s="476">
        <v>6.8000000000000005E-2</v>
      </c>
      <c r="RS10" s="476" t="s">
        <v>721</v>
      </c>
      <c r="RT10" s="476" t="s">
        <v>721</v>
      </c>
      <c r="RU10" s="476" t="s">
        <v>721</v>
      </c>
      <c r="RV10" s="476" t="s">
        <v>721</v>
      </c>
      <c r="RW10" s="476">
        <v>5.3999999999999999E-2</v>
      </c>
      <c r="RX10" s="476">
        <v>0.25800000000000001</v>
      </c>
      <c r="RY10" s="476">
        <v>0.188</v>
      </c>
      <c r="RZ10" s="476">
        <v>0.26500000000000001</v>
      </c>
      <c r="SA10" s="476">
        <v>3.3000000000000002E-2</v>
      </c>
      <c r="SB10" s="476">
        <v>3.0000000000000001E-3</v>
      </c>
      <c r="SC10" s="476">
        <v>5.7000000000000002E-2</v>
      </c>
      <c r="SD10" s="476">
        <v>3.5000000000000003E-2</v>
      </c>
      <c r="SE10" s="476">
        <v>0</v>
      </c>
      <c r="SF10" s="476">
        <v>3.5999999999999997E-2</v>
      </c>
      <c r="SG10" s="476">
        <v>3.0000000000000001E-3</v>
      </c>
      <c r="SH10" s="476">
        <v>1E-3</v>
      </c>
      <c r="SI10" s="476">
        <v>7.0000000000000001E-3</v>
      </c>
      <c r="SJ10" s="476">
        <v>2E-3</v>
      </c>
      <c r="SK10" s="476">
        <v>4.4999999999999998E-2</v>
      </c>
      <c r="SL10" s="476">
        <v>0</v>
      </c>
      <c r="SM10" s="476">
        <v>0</v>
      </c>
      <c r="SN10" s="476">
        <v>1.2999999999999999E-2</v>
      </c>
      <c r="SO10" s="476">
        <v>1.4E-2</v>
      </c>
      <c r="SP10" s="476">
        <v>3.7999999999999999E-2</v>
      </c>
      <c r="SQ10" s="476">
        <v>0.313</v>
      </c>
      <c r="SR10" s="476">
        <v>0.222</v>
      </c>
      <c r="SS10" s="476">
        <v>0.20399999999999999</v>
      </c>
      <c r="ST10" s="476">
        <v>3.4000000000000002E-2</v>
      </c>
      <c r="SU10" s="476" t="s">
        <v>721</v>
      </c>
      <c r="SV10" s="476">
        <v>5.0999999999999997E-2</v>
      </c>
      <c r="SW10" s="476">
        <v>4.2999999999999997E-2</v>
      </c>
      <c r="SX10" s="476" t="s">
        <v>721</v>
      </c>
      <c r="SY10" s="476">
        <v>0.02</v>
      </c>
      <c r="SZ10" s="476" t="s">
        <v>721</v>
      </c>
      <c r="TA10" s="476" t="s">
        <v>721</v>
      </c>
      <c r="TB10" s="476" t="s">
        <v>721</v>
      </c>
      <c r="TC10" s="476" t="s">
        <v>721</v>
      </c>
      <c r="TD10" s="476">
        <v>3.1E-2</v>
      </c>
      <c r="TE10" s="476" t="s">
        <v>721</v>
      </c>
      <c r="TF10" s="476" t="s">
        <v>721</v>
      </c>
      <c r="TG10" s="476">
        <v>1.0999999999999999E-2</v>
      </c>
      <c r="TH10" s="476">
        <v>8.9999999999999993E-3</v>
      </c>
      <c r="TI10" s="476">
        <v>4.5999999999999999E-2</v>
      </c>
      <c r="TJ10" s="476">
        <v>0.253</v>
      </c>
      <c r="TK10" s="476">
        <v>0.23599999999999999</v>
      </c>
      <c r="TL10" s="476">
        <v>0.20899999999999999</v>
      </c>
      <c r="TM10" s="476">
        <v>3.5000000000000003E-2</v>
      </c>
      <c r="TN10" s="476" t="s">
        <v>721</v>
      </c>
      <c r="TO10" s="476">
        <v>6.5000000000000002E-2</v>
      </c>
      <c r="TP10" s="476">
        <v>2.8000000000000001E-2</v>
      </c>
      <c r="TQ10" s="476" t="s">
        <v>721</v>
      </c>
      <c r="TR10" s="476">
        <v>3.2000000000000001E-2</v>
      </c>
      <c r="TS10" s="476" t="s">
        <v>721</v>
      </c>
      <c r="TT10" s="476" t="s">
        <v>721</v>
      </c>
      <c r="TU10" s="476" t="s">
        <v>721</v>
      </c>
      <c r="TV10" s="476" t="s">
        <v>721</v>
      </c>
      <c r="TW10" s="476">
        <v>5.5E-2</v>
      </c>
      <c r="TX10" s="476" t="s">
        <v>721</v>
      </c>
      <c r="TY10" s="476" t="s">
        <v>721</v>
      </c>
      <c r="TZ10" s="476">
        <v>1.0999999999999999E-2</v>
      </c>
      <c r="UA10" s="476">
        <v>1.2E-2</v>
      </c>
      <c r="UB10" s="476">
        <v>4.4999999999999998E-2</v>
      </c>
      <c r="UC10" s="476">
        <v>0.26400000000000001</v>
      </c>
      <c r="UD10" s="476">
        <v>0.18</v>
      </c>
      <c r="UE10" s="476">
        <v>0.27</v>
      </c>
      <c r="UF10" s="476">
        <v>2.7E-2</v>
      </c>
      <c r="UG10" s="476">
        <v>3.0000000000000001E-3</v>
      </c>
      <c r="UH10" s="476">
        <v>5.2999999999999999E-2</v>
      </c>
      <c r="UI10" s="476">
        <v>3.6999999999999998E-2</v>
      </c>
      <c r="UJ10" s="476" t="s">
        <v>721</v>
      </c>
      <c r="UK10" s="476">
        <v>0.04</v>
      </c>
      <c r="UL10" s="476">
        <v>3.0000000000000001E-3</v>
      </c>
      <c r="UM10" s="476" t="s">
        <v>721</v>
      </c>
      <c r="UN10" s="476">
        <v>6.0000000000000001E-3</v>
      </c>
      <c r="UO10" s="476" t="s">
        <v>721</v>
      </c>
      <c r="UP10" s="476">
        <v>4.4999999999999998E-2</v>
      </c>
      <c r="UQ10" s="476" t="s">
        <v>721</v>
      </c>
      <c r="UR10" s="476" t="s">
        <v>721</v>
      </c>
      <c r="US10" s="476">
        <v>1.4999999999999999E-2</v>
      </c>
      <c r="UT10" s="476">
        <v>1.4999999999999999E-2</v>
      </c>
      <c r="UU10" s="476">
        <v>3.9E-2</v>
      </c>
      <c r="UV10" s="476">
        <v>0.23</v>
      </c>
      <c r="UW10" s="476">
        <v>0.193</v>
      </c>
      <c r="UX10" s="476">
        <v>0.26100000000000001</v>
      </c>
      <c r="UY10" s="476">
        <v>3.5999999999999997E-2</v>
      </c>
      <c r="UZ10" s="476">
        <v>2E-3</v>
      </c>
      <c r="VA10" s="476">
        <v>6.8000000000000005E-2</v>
      </c>
      <c r="VB10" s="476">
        <v>3.1E-2</v>
      </c>
      <c r="VC10" s="476" t="s">
        <v>721</v>
      </c>
      <c r="VD10" s="476">
        <v>4.1000000000000002E-2</v>
      </c>
      <c r="VE10" s="476">
        <v>3.0000000000000001E-3</v>
      </c>
      <c r="VF10" s="476">
        <v>2E-3</v>
      </c>
      <c r="VG10" s="476">
        <v>8.0000000000000002E-3</v>
      </c>
      <c r="VH10" s="476">
        <v>2E-3</v>
      </c>
      <c r="VI10" s="476">
        <v>5.3999999999999999E-2</v>
      </c>
      <c r="VJ10" s="476" t="s">
        <v>721</v>
      </c>
      <c r="VK10" s="476" t="s">
        <v>721</v>
      </c>
      <c r="VL10" s="476">
        <v>1.2999999999999999E-2</v>
      </c>
      <c r="VM10" s="476">
        <v>1.6E-2</v>
      </c>
      <c r="VN10" s="476">
        <v>3.7999999999999999E-2</v>
      </c>
      <c r="VO10" s="28"/>
      <c r="VP10" s="28"/>
      <c r="VQ10" s="28"/>
      <c r="VR10" s="28"/>
      <c r="VS10" s="28"/>
      <c r="VT10" s="28"/>
      <c r="VU10" s="28"/>
      <c r="VV10" s="28"/>
      <c r="VW10" s="28"/>
      <c r="VX10" s="28"/>
      <c r="VY10" s="28"/>
      <c r="VZ10" s="28"/>
      <c r="WA10" s="28"/>
      <c r="WB10" s="28"/>
      <c r="WC10" s="28"/>
      <c r="WD10" s="28"/>
      <c r="WE10" s="28"/>
      <c r="WF10" s="28"/>
      <c r="WG10" s="28"/>
      <c r="WH10" s="28"/>
      <c r="WI10" s="28"/>
      <c r="WJ10" s="28"/>
      <c r="WK10" s="28"/>
      <c r="WL10" s="28"/>
      <c r="WM10" s="28"/>
      <c r="WN10" s="28"/>
      <c r="WO10" s="28"/>
      <c r="WP10" s="28"/>
      <c r="WQ10" s="28"/>
      <c r="WR10" s="28"/>
      <c r="WS10" s="28"/>
      <c r="WT10" s="28"/>
      <c r="WU10" s="28"/>
      <c r="WV10" s="28"/>
      <c r="WW10" s="28"/>
    </row>
    <row r="11" spans="1:621" s="151" customFormat="1" ht="15.75" customHeight="1" x14ac:dyDescent="0.35">
      <c r="A11" s="477" t="s">
        <v>21</v>
      </c>
      <c r="B11" s="492" t="s">
        <v>15</v>
      </c>
      <c r="C11" s="493">
        <v>17.100000000000001</v>
      </c>
      <c r="D11" s="494">
        <v>343</v>
      </c>
      <c r="E11" s="473">
        <v>43468.2</v>
      </c>
      <c r="F11" s="473">
        <v>126.7</v>
      </c>
      <c r="G11" s="474">
        <v>324</v>
      </c>
      <c r="H11" s="474">
        <v>362</v>
      </c>
      <c r="I11" s="474">
        <v>317</v>
      </c>
      <c r="J11" s="474">
        <v>225</v>
      </c>
      <c r="K11" s="474">
        <v>77</v>
      </c>
      <c r="L11" s="473">
        <v>14765.9</v>
      </c>
      <c r="M11" s="474">
        <v>262</v>
      </c>
      <c r="N11" s="473">
        <v>28702.3</v>
      </c>
      <c r="O11" s="494">
        <v>80</v>
      </c>
      <c r="P11" s="495">
        <v>14009.1</v>
      </c>
      <c r="Q11" s="494">
        <v>33</v>
      </c>
      <c r="R11" s="495">
        <v>1654.2</v>
      </c>
      <c r="S11" s="480">
        <v>35</v>
      </c>
      <c r="T11" s="481">
        <v>2581.6999999999998</v>
      </c>
      <c r="U11" s="480">
        <v>7</v>
      </c>
      <c r="V11" s="481">
        <v>903.2</v>
      </c>
      <c r="W11" s="480">
        <v>301</v>
      </c>
      <c r="X11" s="481">
        <v>39983.300000000003</v>
      </c>
      <c r="Y11" s="494">
        <v>364</v>
      </c>
      <c r="Z11" s="494">
        <v>170</v>
      </c>
      <c r="AA11" s="494">
        <v>208</v>
      </c>
      <c r="AB11" s="494">
        <v>144</v>
      </c>
      <c r="AC11" s="494">
        <v>18</v>
      </c>
      <c r="AD11" s="494">
        <v>84</v>
      </c>
      <c r="AE11" s="494">
        <v>163</v>
      </c>
      <c r="AF11" s="495">
        <v>10539.1</v>
      </c>
      <c r="AG11" s="494">
        <v>165</v>
      </c>
      <c r="AH11" s="495">
        <v>32495.599999999999</v>
      </c>
      <c r="AI11" s="494">
        <v>10</v>
      </c>
      <c r="AJ11" s="495">
        <v>385.1</v>
      </c>
      <c r="AK11" s="494">
        <v>1</v>
      </c>
      <c r="AL11" s="495">
        <v>48.4</v>
      </c>
      <c r="AM11" s="496">
        <v>195</v>
      </c>
      <c r="AN11" s="496">
        <v>148</v>
      </c>
      <c r="AO11" s="496">
        <v>251</v>
      </c>
      <c r="AP11" s="496">
        <v>16</v>
      </c>
      <c r="AQ11" s="496" t="s">
        <v>721</v>
      </c>
      <c r="AR11" s="496" t="s">
        <v>721</v>
      </c>
      <c r="AS11" s="496">
        <v>33</v>
      </c>
      <c r="AT11" s="496" t="s">
        <v>721</v>
      </c>
      <c r="AU11" s="496">
        <v>16</v>
      </c>
      <c r="AV11" s="496" t="s">
        <v>721</v>
      </c>
      <c r="AW11" s="496" t="s">
        <v>721</v>
      </c>
      <c r="AX11" s="496" t="s">
        <v>721</v>
      </c>
      <c r="AY11" s="496" t="s">
        <v>721</v>
      </c>
      <c r="AZ11" s="496" t="s">
        <v>721</v>
      </c>
      <c r="BA11" s="496" t="s">
        <v>721</v>
      </c>
      <c r="BB11" s="496" t="s">
        <v>721</v>
      </c>
      <c r="BC11" s="496" t="s">
        <v>721</v>
      </c>
      <c r="BD11" s="496" t="s">
        <v>721</v>
      </c>
      <c r="BE11" s="496" t="s">
        <v>721</v>
      </c>
      <c r="BF11" s="496" t="s">
        <v>721</v>
      </c>
      <c r="BG11" s="496" t="s">
        <v>721</v>
      </c>
      <c r="BH11" s="496" t="s">
        <v>721</v>
      </c>
      <c r="BI11" s="496" t="s">
        <v>721</v>
      </c>
      <c r="BJ11" s="496" t="s">
        <v>721</v>
      </c>
      <c r="BK11" s="496" t="s">
        <v>721</v>
      </c>
      <c r="BL11" s="496" t="s">
        <v>721</v>
      </c>
      <c r="BM11" s="496" t="s">
        <v>721</v>
      </c>
      <c r="BN11" s="496" t="s">
        <v>721</v>
      </c>
      <c r="BO11" s="496">
        <v>322</v>
      </c>
      <c r="BP11" s="496" t="s">
        <v>721</v>
      </c>
      <c r="BQ11" s="496" t="s">
        <v>721</v>
      </c>
      <c r="BR11" s="496" t="s">
        <v>721</v>
      </c>
      <c r="BS11" s="496" t="s">
        <v>721</v>
      </c>
      <c r="BT11" s="496" t="s">
        <v>721</v>
      </c>
      <c r="BU11" s="496" t="s">
        <v>721</v>
      </c>
      <c r="BV11" s="496" t="s">
        <v>721</v>
      </c>
      <c r="BW11" s="496" t="s">
        <v>721</v>
      </c>
      <c r="BX11" s="496" t="s">
        <v>721</v>
      </c>
      <c r="BY11" s="496" t="s">
        <v>721</v>
      </c>
      <c r="BZ11" s="496" t="s">
        <v>721</v>
      </c>
      <c r="CA11" s="496" t="s">
        <v>721</v>
      </c>
      <c r="CB11" s="496" t="s">
        <v>721</v>
      </c>
      <c r="CC11" s="496" t="s">
        <v>721</v>
      </c>
      <c r="CD11" s="496" t="s">
        <v>721</v>
      </c>
      <c r="CE11" s="496" t="s">
        <v>721</v>
      </c>
      <c r="CF11" s="496" t="s">
        <v>721</v>
      </c>
      <c r="CG11" s="496" t="s">
        <v>721</v>
      </c>
      <c r="CH11" s="496" t="s">
        <v>721</v>
      </c>
      <c r="CI11" s="496" t="s">
        <v>721</v>
      </c>
      <c r="CJ11" s="496" t="s">
        <v>721</v>
      </c>
      <c r="CK11" s="496" t="s">
        <v>721</v>
      </c>
      <c r="CL11" s="496" t="s">
        <v>721</v>
      </c>
      <c r="CM11" s="496" t="s">
        <v>721</v>
      </c>
      <c r="CN11" s="496" t="s">
        <v>721</v>
      </c>
      <c r="CO11" s="496" t="s">
        <v>721</v>
      </c>
      <c r="CP11" s="496" t="s">
        <v>721</v>
      </c>
      <c r="CQ11" s="496" t="s">
        <v>721</v>
      </c>
      <c r="CR11" s="496" t="s">
        <v>721</v>
      </c>
      <c r="CS11" s="496" t="s">
        <v>721</v>
      </c>
      <c r="CT11" s="496" t="s">
        <v>721</v>
      </c>
      <c r="CU11" s="496" t="s">
        <v>721</v>
      </c>
      <c r="CV11" s="496">
        <v>343</v>
      </c>
      <c r="CW11" s="496" t="s">
        <v>721</v>
      </c>
      <c r="CX11" s="496" t="s">
        <v>721</v>
      </c>
      <c r="CY11" s="496" t="s">
        <v>721</v>
      </c>
      <c r="CZ11" s="496" t="s">
        <v>721</v>
      </c>
      <c r="DA11" s="496" t="s">
        <v>721</v>
      </c>
      <c r="DB11" s="496" t="s">
        <v>721</v>
      </c>
      <c r="DC11" s="496" t="s">
        <v>721</v>
      </c>
      <c r="DD11" s="496" t="s">
        <v>721</v>
      </c>
      <c r="DE11" s="496" t="s">
        <v>721</v>
      </c>
      <c r="DF11" s="496" t="s">
        <v>721</v>
      </c>
      <c r="DG11" s="496" t="s">
        <v>721</v>
      </c>
      <c r="DH11" s="496" t="s">
        <v>721</v>
      </c>
      <c r="DI11" s="496" t="s">
        <v>721</v>
      </c>
      <c r="DJ11" s="496" t="s">
        <v>721</v>
      </c>
      <c r="DK11" s="496" t="s">
        <v>721</v>
      </c>
      <c r="DL11" s="496" t="s">
        <v>721</v>
      </c>
      <c r="DM11" s="496" t="s">
        <v>721</v>
      </c>
      <c r="DN11" s="496" t="s">
        <v>721</v>
      </c>
      <c r="DO11" s="496" t="s">
        <v>721</v>
      </c>
      <c r="DP11" s="496" t="s">
        <v>721</v>
      </c>
      <c r="DQ11" s="496" t="s">
        <v>721</v>
      </c>
      <c r="DR11" s="496" t="s">
        <v>721</v>
      </c>
      <c r="DS11" s="483" t="s">
        <v>721</v>
      </c>
      <c r="DT11" s="483" t="s">
        <v>721</v>
      </c>
      <c r="DU11" s="483" t="s">
        <v>721</v>
      </c>
      <c r="DV11" s="496">
        <v>30</v>
      </c>
      <c r="DW11" s="497">
        <v>6796.5</v>
      </c>
      <c r="DX11" s="496">
        <v>91</v>
      </c>
      <c r="DY11" s="497">
        <v>17116.099999999999</v>
      </c>
      <c r="DZ11" s="496">
        <v>86</v>
      </c>
      <c r="EA11" s="497">
        <v>8530.4</v>
      </c>
      <c r="EB11" s="496">
        <v>65</v>
      </c>
      <c r="EC11" s="497">
        <v>5525.3</v>
      </c>
      <c r="ED11" s="496">
        <v>49</v>
      </c>
      <c r="EE11" s="497">
        <v>3723.5</v>
      </c>
      <c r="EF11" s="496">
        <v>22</v>
      </c>
      <c r="EG11" s="497">
        <v>1776.4</v>
      </c>
      <c r="EH11" s="485">
        <v>280</v>
      </c>
      <c r="EI11" s="486">
        <v>1128.8</v>
      </c>
      <c r="EJ11" s="485">
        <v>264</v>
      </c>
      <c r="EK11" s="486">
        <v>5665.4</v>
      </c>
      <c r="EL11" s="485">
        <v>268</v>
      </c>
      <c r="EM11" s="486">
        <v>2627.4</v>
      </c>
      <c r="EN11" s="485">
        <v>288</v>
      </c>
      <c r="EO11" s="486">
        <v>1439.8</v>
      </c>
      <c r="EP11" s="485">
        <v>277</v>
      </c>
      <c r="EQ11" s="486">
        <v>847.7</v>
      </c>
      <c r="ER11" s="485">
        <v>268</v>
      </c>
      <c r="ES11" s="486">
        <v>433.2</v>
      </c>
      <c r="ET11" s="485">
        <v>0</v>
      </c>
      <c r="EU11" s="485">
        <v>225</v>
      </c>
      <c r="EV11" s="486">
        <v>3758.6</v>
      </c>
      <c r="EW11" s="485">
        <v>45</v>
      </c>
      <c r="EX11" s="486">
        <v>119.2</v>
      </c>
      <c r="EY11" s="485">
        <v>55</v>
      </c>
      <c r="EZ11" s="486">
        <v>818.9</v>
      </c>
      <c r="FA11" s="485">
        <v>65</v>
      </c>
      <c r="FB11" s="486">
        <v>706</v>
      </c>
      <c r="FC11" s="485">
        <v>302</v>
      </c>
      <c r="FD11" s="486">
        <v>3693.1</v>
      </c>
      <c r="FE11" s="485">
        <v>279</v>
      </c>
      <c r="FF11" s="486">
        <v>2124.9</v>
      </c>
      <c r="FG11" s="485">
        <v>61</v>
      </c>
      <c r="FH11" s="486">
        <v>710</v>
      </c>
      <c r="FI11" s="485">
        <v>130</v>
      </c>
      <c r="FJ11" s="486">
        <v>963.2</v>
      </c>
      <c r="FK11" s="485">
        <v>239</v>
      </c>
      <c r="FL11" s="486">
        <v>888.4</v>
      </c>
      <c r="FM11" s="485">
        <v>19</v>
      </c>
      <c r="FN11" s="486">
        <v>56.9</v>
      </c>
      <c r="FO11" s="485">
        <v>164</v>
      </c>
      <c r="FP11" s="486">
        <v>1393.2</v>
      </c>
      <c r="FQ11" s="485">
        <v>158</v>
      </c>
      <c r="FR11" s="486">
        <v>430.8</v>
      </c>
      <c r="FS11" s="485">
        <v>0</v>
      </c>
      <c r="FT11" s="486">
        <v>0</v>
      </c>
      <c r="FU11" s="485">
        <v>0</v>
      </c>
      <c r="FV11" s="486">
        <v>0</v>
      </c>
      <c r="FW11" s="485">
        <v>0</v>
      </c>
      <c r="FX11" s="486">
        <v>0</v>
      </c>
      <c r="FY11" s="485">
        <v>0</v>
      </c>
      <c r="FZ11" s="486">
        <v>0</v>
      </c>
      <c r="GA11" s="485">
        <v>0</v>
      </c>
      <c r="GB11" s="485">
        <v>0</v>
      </c>
      <c r="GC11" s="487">
        <v>0</v>
      </c>
      <c r="GD11" s="488">
        <v>0</v>
      </c>
      <c r="GE11" s="488">
        <v>1</v>
      </c>
      <c r="GF11" s="488">
        <v>46</v>
      </c>
      <c r="GG11" s="488">
        <v>0</v>
      </c>
      <c r="GH11" s="488">
        <v>0</v>
      </c>
      <c r="GI11" s="488">
        <v>0</v>
      </c>
      <c r="GJ11" s="488">
        <v>0</v>
      </c>
      <c r="GK11" s="488">
        <v>23</v>
      </c>
      <c r="GL11" s="488">
        <v>24</v>
      </c>
      <c r="GM11" s="488">
        <v>47</v>
      </c>
      <c r="GN11" s="488">
        <v>4</v>
      </c>
      <c r="GO11" s="488">
        <v>35</v>
      </c>
      <c r="GP11" s="488">
        <v>10</v>
      </c>
      <c r="GQ11" s="488">
        <v>2</v>
      </c>
      <c r="GR11" s="488">
        <v>0</v>
      </c>
      <c r="GS11" s="488">
        <v>12</v>
      </c>
      <c r="GT11" s="489">
        <v>251</v>
      </c>
      <c r="GU11" s="488">
        <v>0</v>
      </c>
      <c r="GV11" s="490">
        <v>0</v>
      </c>
      <c r="GW11" s="490">
        <v>0</v>
      </c>
      <c r="GX11" s="490">
        <v>0</v>
      </c>
      <c r="GY11" s="491">
        <v>1</v>
      </c>
      <c r="GZ11" s="491">
        <v>0</v>
      </c>
      <c r="HA11" s="491">
        <v>1</v>
      </c>
      <c r="HB11" s="475">
        <v>0</v>
      </c>
      <c r="HC11" s="475">
        <v>0</v>
      </c>
      <c r="HD11" s="475">
        <v>0</v>
      </c>
      <c r="HE11" s="475">
        <v>0</v>
      </c>
      <c r="HF11" s="475">
        <v>0</v>
      </c>
      <c r="HG11" s="475">
        <v>0</v>
      </c>
      <c r="HH11" s="475">
        <v>1</v>
      </c>
      <c r="HI11" s="475">
        <v>0</v>
      </c>
      <c r="HJ11" s="475">
        <v>0</v>
      </c>
      <c r="HK11" s="475">
        <v>0</v>
      </c>
      <c r="HL11" s="475">
        <v>0</v>
      </c>
      <c r="HM11" s="475">
        <v>0</v>
      </c>
      <c r="HN11" s="475">
        <v>0</v>
      </c>
      <c r="HO11" s="475">
        <v>0</v>
      </c>
      <c r="HP11" s="475">
        <v>0</v>
      </c>
      <c r="HQ11" s="475">
        <v>0</v>
      </c>
      <c r="HR11" s="475">
        <v>2</v>
      </c>
      <c r="HS11" s="475">
        <v>0</v>
      </c>
      <c r="HT11" s="475">
        <v>0</v>
      </c>
      <c r="HU11" s="475">
        <v>0</v>
      </c>
      <c r="HV11" s="475">
        <v>0</v>
      </c>
      <c r="HW11" s="475">
        <v>0</v>
      </c>
      <c r="HX11" s="475">
        <v>0</v>
      </c>
      <c r="HY11" s="475">
        <v>0</v>
      </c>
      <c r="HZ11" s="475">
        <v>23</v>
      </c>
      <c r="IA11" s="475" t="s">
        <v>721</v>
      </c>
      <c r="IB11" s="475" t="s">
        <v>721</v>
      </c>
      <c r="IC11" s="475" t="s">
        <v>721</v>
      </c>
      <c r="ID11" s="475" t="s">
        <v>721</v>
      </c>
      <c r="IE11" s="475" t="s">
        <v>721</v>
      </c>
      <c r="IF11" s="475" t="s">
        <v>721</v>
      </c>
      <c r="IG11" s="475" t="s">
        <v>721</v>
      </c>
      <c r="IH11" s="475" t="s">
        <v>721</v>
      </c>
      <c r="II11" s="475" t="s">
        <v>721</v>
      </c>
      <c r="IJ11" s="475" t="s">
        <v>721</v>
      </c>
      <c r="IK11" s="475" t="s">
        <v>721</v>
      </c>
      <c r="IL11" s="475" t="s">
        <v>721</v>
      </c>
      <c r="IM11" s="475" t="s">
        <v>721</v>
      </c>
      <c r="IN11" s="475" t="s">
        <v>721</v>
      </c>
      <c r="IO11" s="475" t="s">
        <v>721</v>
      </c>
      <c r="IP11" s="475" t="s">
        <v>721</v>
      </c>
      <c r="IQ11" s="475" t="s">
        <v>721</v>
      </c>
      <c r="IR11" s="475" t="s">
        <v>721</v>
      </c>
      <c r="IS11" s="475" t="s">
        <v>721</v>
      </c>
      <c r="IT11" s="475" t="s">
        <v>721</v>
      </c>
      <c r="IU11" s="475" t="s">
        <v>721</v>
      </c>
      <c r="IV11" s="475" t="s">
        <v>721</v>
      </c>
      <c r="IW11" s="475" t="s">
        <v>721</v>
      </c>
      <c r="IX11" s="475" t="s">
        <v>721</v>
      </c>
      <c r="IY11" s="475" t="s">
        <v>721</v>
      </c>
      <c r="IZ11" s="475" t="s">
        <v>721</v>
      </c>
      <c r="JA11" s="475" t="s">
        <v>721</v>
      </c>
      <c r="JB11" s="475" t="s">
        <v>721</v>
      </c>
      <c r="JC11" s="475" t="s">
        <v>721</v>
      </c>
      <c r="JD11" s="475" t="s">
        <v>721</v>
      </c>
      <c r="JE11" s="475" t="s">
        <v>721</v>
      </c>
      <c r="JF11" s="475" t="s">
        <v>721</v>
      </c>
      <c r="JG11" s="475" t="s">
        <v>721</v>
      </c>
      <c r="JH11" s="475" t="s">
        <v>721</v>
      </c>
      <c r="JI11" s="475" t="s">
        <v>721</v>
      </c>
      <c r="JJ11" s="475" t="s">
        <v>721</v>
      </c>
      <c r="JK11" s="475" t="s">
        <v>721</v>
      </c>
      <c r="JL11" s="755">
        <v>32854.9</v>
      </c>
      <c r="JM11" s="755">
        <v>2247.6999999999998</v>
      </c>
      <c r="JN11" s="755">
        <v>422.8</v>
      </c>
      <c r="JO11" s="755">
        <v>1179.5</v>
      </c>
      <c r="JP11" s="755">
        <v>3805.6</v>
      </c>
      <c r="JQ11" s="755">
        <v>61.8</v>
      </c>
      <c r="JR11" s="755">
        <v>1215.5</v>
      </c>
      <c r="JS11" s="755" t="s">
        <v>721</v>
      </c>
      <c r="JT11" s="755">
        <v>83.2</v>
      </c>
      <c r="JU11" s="755">
        <v>34.4</v>
      </c>
      <c r="JV11" s="755" t="s">
        <v>721</v>
      </c>
      <c r="JW11" s="755" t="s">
        <v>721</v>
      </c>
      <c r="JX11" s="755" t="s">
        <v>721</v>
      </c>
      <c r="JY11" s="755" t="s">
        <v>721</v>
      </c>
      <c r="JZ11" s="755">
        <v>103.7</v>
      </c>
      <c r="KA11" s="755" t="s">
        <v>721</v>
      </c>
      <c r="KB11" s="755">
        <v>550.20000000000005</v>
      </c>
      <c r="KC11" s="755" t="s">
        <v>721</v>
      </c>
      <c r="KD11" s="755">
        <v>908.9</v>
      </c>
      <c r="KE11" s="475">
        <v>59</v>
      </c>
      <c r="KF11" s="475" t="s">
        <v>721</v>
      </c>
      <c r="KG11" s="475" t="s">
        <v>721</v>
      </c>
      <c r="KH11" s="475" t="s">
        <v>721</v>
      </c>
      <c r="KI11" s="475" t="s">
        <v>721</v>
      </c>
      <c r="KJ11" s="475" t="s">
        <v>721</v>
      </c>
      <c r="KK11" s="475" t="s">
        <v>721</v>
      </c>
      <c r="KL11" s="475" t="s">
        <v>721</v>
      </c>
      <c r="KM11" s="475" t="s">
        <v>721</v>
      </c>
      <c r="KN11" s="475" t="s">
        <v>721</v>
      </c>
      <c r="KO11" s="475" t="s">
        <v>721</v>
      </c>
      <c r="KP11" s="475" t="s">
        <v>721</v>
      </c>
      <c r="KQ11" s="475" t="s">
        <v>721</v>
      </c>
      <c r="KR11" s="475" t="s">
        <v>721</v>
      </c>
      <c r="KS11" s="475" t="s">
        <v>721</v>
      </c>
      <c r="KT11" s="475" t="s">
        <v>721</v>
      </c>
      <c r="KU11" s="475" t="s">
        <v>721</v>
      </c>
      <c r="KV11" s="475" t="s">
        <v>721</v>
      </c>
      <c r="KW11" s="475" t="s">
        <v>721</v>
      </c>
      <c r="KX11" s="475">
        <v>26</v>
      </c>
      <c r="KY11" s="475" t="s">
        <v>721</v>
      </c>
      <c r="KZ11" s="475" t="s">
        <v>721</v>
      </c>
      <c r="LA11" s="475" t="s">
        <v>721</v>
      </c>
      <c r="LB11" s="475" t="s">
        <v>721</v>
      </c>
      <c r="LC11" s="475" t="s">
        <v>721</v>
      </c>
      <c r="LD11" s="475" t="s">
        <v>721</v>
      </c>
      <c r="LE11" s="475" t="s">
        <v>721</v>
      </c>
      <c r="LF11" s="475" t="s">
        <v>721</v>
      </c>
      <c r="LG11" s="475" t="s">
        <v>721</v>
      </c>
      <c r="LH11" s="475" t="s">
        <v>721</v>
      </c>
      <c r="LI11" s="475" t="s">
        <v>721</v>
      </c>
      <c r="LJ11" s="475" t="s">
        <v>721</v>
      </c>
      <c r="LK11" s="475" t="s">
        <v>721</v>
      </c>
      <c r="LL11" s="475" t="s">
        <v>721</v>
      </c>
      <c r="LM11" s="475" t="s">
        <v>721</v>
      </c>
      <c r="LN11" s="475" t="s">
        <v>721</v>
      </c>
      <c r="LO11" s="475" t="s">
        <v>721</v>
      </c>
      <c r="LP11" s="475" t="s">
        <v>721</v>
      </c>
      <c r="LQ11" s="475">
        <v>185</v>
      </c>
      <c r="LR11" s="475">
        <v>13</v>
      </c>
      <c r="LS11" s="475" t="s">
        <v>721</v>
      </c>
      <c r="LT11" s="475" t="s">
        <v>721</v>
      </c>
      <c r="LU11" s="475">
        <v>27</v>
      </c>
      <c r="LV11" s="475" t="s">
        <v>721</v>
      </c>
      <c r="LW11" s="475">
        <v>14</v>
      </c>
      <c r="LX11" s="475" t="s">
        <v>721</v>
      </c>
      <c r="LY11" s="475" t="s">
        <v>721</v>
      </c>
      <c r="LZ11" s="475" t="s">
        <v>721</v>
      </c>
      <c r="MA11" s="475" t="s">
        <v>721</v>
      </c>
      <c r="MB11" s="475" t="s">
        <v>721</v>
      </c>
      <c r="MC11" s="475" t="s">
        <v>721</v>
      </c>
      <c r="MD11" s="475" t="s">
        <v>721</v>
      </c>
      <c r="ME11" s="475" t="s">
        <v>721</v>
      </c>
      <c r="MF11" s="475" t="s">
        <v>721</v>
      </c>
      <c r="MG11" s="475" t="s">
        <v>721</v>
      </c>
      <c r="MH11" s="475" t="s">
        <v>721</v>
      </c>
      <c r="MI11" s="475" t="s">
        <v>721</v>
      </c>
      <c r="MJ11" s="475">
        <v>64</v>
      </c>
      <c r="MK11" s="475" t="s">
        <v>721</v>
      </c>
      <c r="ML11" s="475" t="s">
        <v>721</v>
      </c>
      <c r="MM11" s="475" t="s">
        <v>721</v>
      </c>
      <c r="MN11" s="475" t="s">
        <v>721</v>
      </c>
      <c r="MO11" s="475" t="s">
        <v>721</v>
      </c>
      <c r="MP11" s="475" t="s">
        <v>721</v>
      </c>
      <c r="MQ11" s="475" t="s">
        <v>721</v>
      </c>
      <c r="MR11" s="475" t="s">
        <v>721</v>
      </c>
      <c r="MS11" s="475" t="s">
        <v>721</v>
      </c>
      <c r="MT11" s="475" t="s">
        <v>721</v>
      </c>
      <c r="MU11" s="475" t="s">
        <v>721</v>
      </c>
      <c r="MV11" s="475" t="s">
        <v>721</v>
      </c>
      <c r="MW11" s="475" t="s">
        <v>721</v>
      </c>
      <c r="MX11" s="475" t="s">
        <v>721</v>
      </c>
      <c r="MY11" s="475" t="s">
        <v>721</v>
      </c>
      <c r="MZ11" s="475" t="s">
        <v>721</v>
      </c>
      <c r="NA11" s="475" t="s">
        <v>721</v>
      </c>
      <c r="NB11" s="475" t="s">
        <v>721</v>
      </c>
      <c r="NC11" s="476">
        <v>0.56899999999999995</v>
      </c>
      <c r="ND11" s="476">
        <v>0.43099999999999999</v>
      </c>
      <c r="NE11" s="476">
        <v>0.73199999999999998</v>
      </c>
      <c r="NF11" s="476">
        <v>4.7E-2</v>
      </c>
      <c r="NG11" s="476" t="s">
        <v>721</v>
      </c>
      <c r="NH11" s="476" t="s">
        <v>721</v>
      </c>
      <c r="NI11" s="476">
        <v>9.6000000000000002E-2</v>
      </c>
      <c r="NJ11" s="476" t="s">
        <v>721</v>
      </c>
      <c r="NK11" s="476">
        <v>4.7E-2</v>
      </c>
      <c r="NL11" s="476" t="s">
        <v>721</v>
      </c>
      <c r="NM11" s="476" t="s">
        <v>721</v>
      </c>
      <c r="NN11" s="476" t="s">
        <v>721</v>
      </c>
      <c r="NO11" s="476" t="s">
        <v>721</v>
      </c>
      <c r="NP11" s="476" t="s">
        <v>721</v>
      </c>
      <c r="NQ11" s="476" t="s">
        <v>721</v>
      </c>
      <c r="NR11" s="476" t="s">
        <v>721</v>
      </c>
      <c r="NS11" s="476" t="s">
        <v>721</v>
      </c>
      <c r="NT11" s="476" t="s">
        <v>721</v>
      </c>
      <c r="NU11" s="476" t="s">
        <v>721</v>
      </c>
      <c r="NV11" s="476" t="s">
        <v>721</v>
      </c>
      <c r="NW11" s="476" t="s">
        <v>721</v>
      </c>
      <c r="NX11" s="476" t="s">
        <v>721</v>
      </c>
      <c r="NY11" s="476" t="s">
        <v>721</v>
      </c>
      <c r="NZ11" s="476" t="s">
        <v>721</v>
      </c>
      <c r="OA11" s="476" t="s">
        <v>721</v>
      </c>
      <c r="OB11" s="476" t="s">
        <v>721</v>
      </c>
      <c r="OC11" s="476" t="s">
        <v>721</v>
      </c>
      <c r="OD11" s="476" t="s">
        <v>721</v>
      </c>
      <c r="OE11" s="476">
        <v>0.93899999999999995</v>
      </c>
      <c r="OF11" s="476" t="s">
        <v>721</v>
      </c>
      <c r="OG11" s="476" t="s">
        <v>721</v>
      </c>
      <c r="OH11" s="476" t="s">
        <v>721</v>
      </c>
      <c r="OI11" s="476" t="s">
        <v>721</v>
      </c>
      <c r="OJ11" s="476" t="s">
        <v>721</v>
      </c>
      <c r="OK11" s="476" t="s">
        <v>721</v>
      </c>
      <c r="OL11" s="476" t="s">
        <v>721</v>
      </c>
      <c r="OM11" s="476" t="s">
        <v>721</v>
      </c>
      <c r="ON11" s="476" t="s">
        <v>721</v>
      </c>
      <c r="OO11" s="476" t="s">
        <v>721</v>
      </c>
      <c r="OP11" s="476" t="s">
        <v>721</v>
      </c>
      <c r="OQ11" s="476" t="s">
        <v>721</v>
      </c>
      <c r="OR11" s="476" t="s">
        <v>721</v>
      </c>
      <c r="OS11" s="476" t="s">
        <v>721</v>
      </c>
      <c r="OT11" s="476" t="s">
        <v>721</v>
      </c>
      <c r="OU11" s="476" t="s">
        <v>721</v>
      </c>
      <c r="OV11" s="476" t="s">
        <v>721</v>
      </c>
      <c r="OW11" s="476" t="s">
        <v>721</v>
      </c>
      <c r="OX11" s="476" t="s">
        <v>721</v>
      </c>
      <c r="OY11" s="476" t="s">
        <v>721</v>
      </c>
      <c r="OZ11" s="476" t="s">
        <v>721</v>
      </c>
      <c r="PA11" s="476" t="s">
        <v>721</v>
      </c>
      <c r="PB11" s="476" t="s">
        <v>721</v>
      </c>
      <c r="PC11" s="476" t="s">
        <v>721</v>
      </c>
      <c r="PD11" s="476" t="s">
        <v>721</v>
      </c>
      <c r="PE11" s="476" t="s">
        <v>721</v>
      </c>
      <c r="PF11" s="476" t="s">
        <v>721</v>
      </c>
      <c r="PG11" s="476" t="s">
        <v>721</v>
      </c>
      <c r="PH11" s="476" t="s">
        <v>721</v>
      </c>
      <c r="PI11" s="476" t="s">
        <v>721</v>
      </c>
      <c r="PJ11" s="476" t="s">
        <v>721</v>
      </c>
      <c r="PK11" s="476" t="s">
        <v>721</v>
      </c>
      <c r="PL11" s="476">
        <v>0.94199999999999995</v>
      </c>
      <c r="PM11" s="476" t="s">
        <v>721</v>
      </c>
      <c r="PN11" s="476" t="s">
        <v>721</v>
      </c>
      <c r="PO11" s="476" t="s">
        <v>721</v>
      </c>
      <c r="PP11" s="476" t="s">
        <v>721</v>
      </c>
      <c r="PQ11" s="476" t="s">
        <v>721</v>
      </c>
      <c r="PR11" s="476" t="s">
        <v>721</v>
      </c>
      <c r="PS11" s="476" t="s">
        <v>721</v>
      </c>
      <c r="PT11" s="476" t="s">
        <v>721</v>
      </c>
      <c r="PU11" s="476" t="s">
        <v>721</v>
      </c>
      <c r="PV11" s="476" t="s">
        <v>721</v>
      </c>
      <c r="PW11" s="476" t="s">
        <v>721</v>
      </c>
      <c r="PX11" s="476" t="s">
        <v>721</v>
      </c>
      <c r="PY11" s="476" t="s">
        <v>721</v>
      </c>
      <c r="PZ11" s="476" t="s">
        <v>721</v>
      </c>
      <c r="QA11" s="476" t="s">
        <v>721</v>
      </c>
      <c r="QB11" s="476" t="s">
        <v>721</v>
      </c>
      <c r="QC11" s="476" t="s">
        <v>721</v>
      </c>
      <c r="QD11" s="476" t="s">
        <v>721</v>
      </c>
      <c r="QE11" s="476" t="s">
        <v>721</v>
      </c>
      <c r="QF11" s="476" t="s">
        <v>721</v>
      </c>
      <c r="QG11" s="476" t="s">
        <v>721</v>
      </c>
      <c r="QH11" s="476" t="s">
        <v>721</v>
      </c>
      <c r="QI11" s="476" t="s">
        <v>721</v>
      </c>
      <c r="QJ11" s="476" t="s">
        <v>721</v>
      </c>
      <c r="QK11" s="476" t="s">
        <v>721</v>
      </c>
      <c r="QL11" s="476">
        <v>0.65700000000000003</v>
      </c>
      <c r="QM11" s="476" t="s">
        <v>721</v>
      </c>
      <c r="QN11" s="476" t="s">
        <v>721</v>
      </c>
      <c r="QO11" s="476" t="s">
        <v>721</v>
      </c>
      <c r="QP11" s="476" t="s">
        <v>721</v>
      </c>
      <c r="QQ11" s="476" t="s">
        <v>721</v>
      </c>
      <c r="QR11" s="476" t="s">
        <v>721</v>
      </c>
      <c r="QS11" s="476" t="s">
        <v>721</v>
      </c>
      <c r="QT11" s="476" t="s">
        <v>721</v>
      </c>
      <c r="QU11" s="476" t="s">
        <v>721</v>
      </c>
      <c r="QV11" s="476" t="s">
        <v>721</v>
      </c>
      <c r="QW11" s="476" t="s">
        <v>721</v>
      </c>
      <c r="QX11" s="476" t="s">
        <v>721</v>
      </c>
      <c r="QY11" s="476" t="s">
        <v>721</v>
      </c>
      <c r="QZ11" s="476" t="s">
        <v>721</v>
      </c>
      <c r="RA11" s="476" t="s">
        <v>721</v>
      </c>
      <c r="RB11" s="476" t="s">
        <v>721</v>
      </c>
      <c r="RC11" s="476" t="s">
        <v>721</v>
      </c>
      <c r="RD11" s="476" t="s">
        <v>721</v>
      </c>
      <c r="RE11" s="476" t="s">
        <v>721</v>
      </c>
      <c r="RF11" s="476" t="s">
        <v>721</v>
      </c>
      <c r="RG11" s="476" t="s">
        <v>721</v>
      </c>
      <c r="RH11" s="476" t="s">
        <v>721</v>
      </c>
      <c r="RI11" s="476" t="s">
        <v>721</v>
      </c>
      <c r="RJ11" s="476" t="s">
        <v>721</v>
      </c>
      <c r="RK11" s="476" t="s">
        <v>721</v>
      </c>
      <c r="RL11" s="476" t="s">
        <v>721</v>
      </c>
      <c r="RM11" s="476" t="s">
        <v>721</v>
      </c>
      <c r="RN11" s="476" t="s">
        <v>721</v>
      </c>
      <c r="RO11" s="476" t="s">
        <v>721</v>
      </c>
      <c r="RP11" s="476" t="s">
        <v>721</v>
      </c>
      <c r="RQ11" s="476" t="s">
        <v>721</v>
      </c>
      <c r="RR11" s="476" t="s">
        <v>721</v>
      </c>
      <c r="RS11" s="476" t="s">
        <v>721</v>
      </c>
      <c r="RT11" s="476" t="s">
        <v>721</v>
      </c>
      <c r="RU11" s="476" t="s">
        <v>721</v>
      </c>
      <c r="RV11" s="476" t="s">
        <v>721</v>
      </c>
      <c r="RW11" s="476" t="s">
        <v>721</v>
      </c>
      <c r="RX11" s="476">
        <v>0.75600000000000001</v>
      </c>
      <c r="RY11" s="476">
        <v>5.1999999999999998E-2</v>
      </c>
      <c r="RZ11" s="476">
        <v>0.01</v>
      </c>
      <c r="SA11" s="476">
        <v>2.7E-2</v>
      </c>
      <c r="SB11" s="476">
        <v>8.7999999999999995E-2</v>
      </c>
      <c r="SC11" s="476">
        <v>1E-3</v>
      </c>
      <c r="SD11" s="476">
        <v>2.8000000000000001E-2</v>
      </c>
      <c r="SE11" s="476" t="s">
        <v>721</v>
      </c>
      <c r="SF11" s="476">
        <v>2E-3</v>
      </c>
      <c r="SG11" s="476">
        <v>1E-3</v>
      </c>
      <c r="SH11" s="476" t="s">
        <v>721</v>
      </c>
      <c r="SI11" s="476" t="s">
        <v>721</v>
      </c>
      <c r="SJ11" s="476" t="s">
        <v>721</v>
      </c>
      <c r="SK11" s="476" t="s">
        <v>721</v>
      </c>
      <c r="SL11" s="476">
        <v>2E-3</v>
      </c>
      <c r="SM11" s="476" t="s">
        <v>721</v>
      </c>
      <c r="SN11" s="476">
        <v>1.2999999999999999E-2</v>
      </c>
      <c r="SO11" s="476" t="s">
        <v>721</v>
      </c>
      <c r="SP11" s="476">
        <v>2.1000000000000001E-2</v>
      </c>
      <c r="SQ11" s="476">
        <v>0.73799999999999999</v>
      </c>
      <c r="SR11" s="476" t="s">
        <v>721</v>
      </c>
      <c r="SS11" s="476" t="s">
        <v>721</v>
      </c>
      <c r="ST11" s="476" t="s">
        <v>721</v>
      </c>
      <c r="SU11" s="476" t="s">
        <v>721</v>
      </c>
      <c r="SV11" s="476" t="s">
        <v>721</v>
      </c>
      <c r="SW11" s="476" t="s">
        <v>721</v>
      </c>
      <c r="SX11" s="476" t="s">
        <v>721</v>
      </c>
      <c r="SY11" s="476" t="s">
        <v>721</v>
      </c>
      <c r="SZ11" s="476" t="s">
        <v>721</v>
      </c>
      <c r="TA11" s="476" t="s">
        <v>721</v>
      </c>
      <c r="TB11" s="476" t="s">
        <v>721</v>
      </c>
      <c r="TC11" s="476" t="s">
        <v>721</v>
      </c>
      <c r="TD11" s="476" t="s">
        <v>721</v>
      </c>
      <c r="TE11" s="476" t="s">
        <v>721</v>
      </c>
      <c r="TF11" s="476" t="s">
        <v>721</v>
      </c>
      <c r="TG11" s="476" t="s">
        <v>721</v>
      </c>
      <c r="TH11" s="476" t="s">
        <v>721</v>
      </c>
      <c r="TI11" s="476" t="s">
        <v>721</v>
      </c>
      <c r="TJ11" s="476">
        <v>0.78800000000000003</v>
      </c>
      <c r="TK11" s="476" t="s">
        <v>721</v>
      </c>
      <c r="TL11" s="476" t="s">
        <v>721</v>
      </c>
      <c r="TM11" s="476" t="s">
        <v>721</v>
      </c>
      <c r="TN11" s="476" t="s">
        <v>721</v>
      </c>
      <c r="TO11" s="476" t="s">
        <v>721</v>
      </c>
      <c r="TP11" s="476" t="s">
        <v>721</v>
      </c>
      <c r="TQ11" s="476" t="s">
        <v>721</v>
      </c>
      <c r="TR11" s="476" t="s">
        <v>721</v>
      </c>
      <c r="TS11" s="476" t="s">
        <v>721</v>
      </c>
      <c r="TT11" s="476" t="s">
        <v>721</v>
      </c>
      <c r="TU11" s="476" t="s">
        <v>721</v>
      </c>
      <c r="TV11" s="476" t="s">
        <v>721</v>
      </c>
      <c r="TW11" s="476" t="s">
        <v>721</v>
      </c>
      <c r="TX11" s="476" t="s">
        <v>721</v>
      </c>
      <c r="TY11" s="476" t="s">
        <v>721</v>
      </c>
      <c r="TZ11" s="476" t="s">
        <v>721</v>
      </c>
      <c r="UA11" s="476" t="s">
        <v>721</v>
      </c>
      <c r="UB11" s="476" t="s">
        <v>721</v>
      </c>
      <c r="UC11" s="476">
        <v>0.70599999999999996</v>
      </c>
      <c r="UD11" s="476">
        <v>0.05</v>
      </c>
      <c r="UE11" s="476" t="s">
        <v>721</v>
      </c>
      <c r="UF11" s="476" t="s">
        <v>721</v>
      </c>
      <c r="UG11" s="476">
        <v>0.10299999999999999</v>
      </c>
      <c r="UH11" s="476" t="s">
        <v>721</v>
      </c>
      <c r="UI11" s="476">
        <v>5.2999999999999999E-2</v>
      </c>
      <c r="UJ11" s="476" t="s">
        <v>721</v>
      </c>
      <c r="UK11" s="476" t="s">
        <v>721</v>
      </c>
      <c r="UL11" s="476" t="s">
        <v>721</v>
      </c>
      <c r="UM11" s="476" t="s">
        <v>721</v>
      </c>
      <c r="UN11" s="476" t="s">
        <v>721</v>
      </c>
      <c r="UO11" s="476" t="s">
        <v>721</v>
      </c>
      <c r="UP11" s="476" t="s">
        <v>721</v>
      </c>
      <c r="UQ11" s="476" t="s">
        <v>721</v>
      </c>
      <c r="UR11" s="476" t="s">
        <v>721</v>
      </c>
      <c r="US11" s="476" t="s">
        <v>721</v>
      </c>
      <c r="UT11" s="476" t="s">
        <v>721</v>
      </c>
      <c r="UU11" s="476" t="s">
        <v>721</v>
      </c>
      <c r="UV11" s="476">
        <v>0.83099999999999996</v>
      </c>
      <c r="UW11" s="476" t="s">
        <v>721</v>
      </c>
      <c r="UX11" s="476" t="s">
        <v>721</v>
      </c>
      <c r="UY11" s="476" t="s">
        <v>721</v>
      </c>
      <c r="UZ11" s="476" t="s">
        <v>721</v>
      </c>
      <c r="VA11" s="476" t="s">
        <v>721</v>
      </c>
      <c r="VB11" s="476" t="s">
        <v>721</v>
      </c>
      <c r="VC11" s="476" t="s">
        <v>721</v>
      </c>
      <c r="VD11" s="476" t="s">
        <v>721</v>
      </c>
      <c r="VE11" s="476" t="s">
        <v>721</v>
      </c>
      <c r="VF11" s="476" t="s">
        <v>721</v>
      </c>
      <c r="VG11" s="476" t="s">
        <v>721</v>
      </c>
      <c r="VH11" s="476" t="s">
        <v>721</v>
      </c>
      <c r="VI11" s="476" t="s">
        <v>721</v>
      </c>
      <c r="VJ11" s="476" t="s">
        <v>721</v>
      </c>
      <c r="VK11" s="476" t="s">
        <v>721</v>
      </c>
      <c r="VL11" s="476" t="s">
        <v>721</v>
      </c>
      <c r="VM11" s="476" t="s">
        <v>721</v>
      </c>
      <c r="VN11" s="476" t="s">
        <v>721</v>
      </c>
      <c r="VO11" s="28"/>
      <c r="VP11" s="28"/>
      <c r="VQ11" s="28"/>
      <c r="VR11" s="28"/>
      <c r="VS11" s="28"/>
      <c r="VT11" s="28"/>
      <c r="VU11" s="28"/>
      <c r="VV11" s="28"/>
      <c r="VW11" s="28"/>
      <c r="VX11" s="28"/>
      <c r="VY11" s="28"/>
      <c r="VZ11" s="28"/>
      <c r="WA11" s="28"/>
      <c r="WB11" s="28"/>
      <c r="WC11" s="28"/>
      <c r="WD11" s="28"/>
      <c r="WE11" s="28"/>
      <c r="WF11" s="28"/>
      <c r="WG11" s="28"/>
      <c r="WH11" s="28"/>
      <c r="WI11" s="28"/>
      <c r="WJ11" s="28"/>
      <c r="WK11" s="28"/>
      <c r="WL11" s="28"/>
      <c r="WM11" s="28"/>
      <c r="WN11" s="28"/>
      <c r="WO11" s="28"/>
      <c r="WP11" s="28"/>
      <c r="WQ11" s="28"/>
      <c r="WR11" s="28"/>
      <c r="WS11" s="28"/>
      <c r="WT11" s="28"/>
      <c r="WU11" s="28"/>
      <c r="WV11" s="28"/>
      <c r="WW11" s="28"/>
    </row>
    <row r="12" spans="1:621" s="151" customFormat="1" ht="15.75" customHeight="1" x14ac:dyDescent="0.35">
      <c r="A12" s="477" t="s">
        <v>22</v>
      </c>
      <c r="B12" s="492" t="s">
        <v>17</v>
      </c>
      <c r="C12" s="493">
        <v>16</v>
      </c>
      <c r="D12" s="494">
        <v>1806</v>
      </c>
      <c r="E12" s="473">
        <v>265356.90000000002</v>
      </c>
      <c r="F12" s="473">
        <v>146.9</v>
      </c>
      <c r="G12" s="474">
        <v>1698</v>
      </c>
      <c r="H12" s="474">
        <v>1826</v>
      </c>
      <c r="I12" s="474">
        <v>1021</v>
      </c>
      <c r="J12" s="474">
        <v>765</v>
      </c>
      <c r="K12" s="474">
        <v>683</v>
      </c>
      <c r="L12" s="473">
        <v>138772.4</v>
      </c>
      <c r="M12" s="474">
        <v>1106</v>
      </c>
      <c r="N12" s="473">
        <v>126584.5</v>
      </c>
      <c r="O12" s="494">
        <v>465</v>
      </c>
      <c r="P12" s="495">
        <v>79920.2</v>
      </c>
      <c r="Q12" s="494">
        <v>296</v>
      </c>
      <c r="R12" s="495">
        <v>13334.3</v>
      </c>
      <c r="S12" s="494">
        <v>449</v>
      </c>
      <c r="T12" s="495">
        <v>50258.400000000001</v>
      </c>
      <c r="U12" s="494">
        <v>16</v>
      </c>
      <c r="V12" s="495">
        <v>2773.3</v>
      </c>
      <c r="W12" s="494">
        <v>1341</v>
      </c>
      <c r="X12" s="495">
        <v>212325.2</v>
      </c>
      <c r="Y12" s="494">
        <v>1857</v>
      </c>
      <c r="Z12" s="494">
        <v>1139</v>
      </c>
      <c r="AA12" s="494">
        <v>1290</v>
      </c>
      <c r="AB12" s="494">
        <v>985</v>
      </c>
      <c r="AC12" s="494">
        <v>86</v>
      </c>
      <c r="AD12" s="494">
        <v>685</v>
      </c>
      <c r="AE12" s="494">
        <v>606</v>
      </c>
      <c r="AF12" s="495">
        <v>43079.7</v>
      </c>
      <c r="AG12" s="494">
        <v>1092</v>
      </c>
      <c r="AH12" s="495">
        <v>214258.1</v>
      </c>
      <c r="AI12" s="494">
        <v>42</v>
      </c>
      <c r="AJ12" s="495">
        <v>1734.6</v>
      </c>
      <c r="AK12" s="494">
        <v>49</v>
      </c>
      <c r="AL12" s="495">
        <v>6284.5</v>
      </c>
      <c r="AM12" s="496">
        <v>939</v>
      </c>
      <c r="AN12" s="496">
        <v>867</v>
      </c>
      <c r="AO12" s="496">
        <v>1380</v>
      </c>
      <c r="AP12" s="496">
        <v>118</v>
      </c>
      <c r="AQ12" s="496">
        <v>30</v>
      </c>
      <c r="AR12" s="496">
        <v>29</v>
      </c>
      <c r="AS12" s="496">
        <v>28</v>
      </c>
      <c r="AT12" s="496">
        <v>20</v>
      </c>
      <c r="AU12" s="496">
        <v>36</v>
      </c>
      <c r="AV12" s="496" t="s">
        <v>721</v>
      </c>
      <c r="AW12" s="496">
        <v>13</v>
      </c>
      <c r="AX12" s="496" t="s">
        <v>721</v>
      </c>
      <c r="AY12" s="496" t="s">
        <v>721</v>
      </c>
      <c r="AZ12" s="496" t="s">
        <v>721</v>
      </c>
      <c r="BA12" s="496" t="s">
        <v>721</v>
      </c>
      <c r="BB12" s="496">
        <v>22</v>
      </c>
      <c r="BC12" s="496" t="s">
        <v>721</v>
      </c>
      <c r="BD12" s="496" t="s">
        <v>721</v>
      </c>
      <c r="BE12" s="496" t="s">
        <v>721</v>
      </c>
      <c r="BF12" s="496">
        <v>11</v>
      </c>
      <c r="BG12" s="496">
        <v>102</v>
      </c>
      <c r="BH12" s="496" t="s">
        <v>721</v>
      </c>
      <c r="BI12" s="496">
        <v>33</v>
      </c>
      <c r="BJ12" s="496" t="s">
        <v>721</v>
      </c>
      <c r="BK12" s="496" t="s">
        <v>721</v>
      </c>
      <c r="BL12" s="496" t="s">
        <v>721</v>
      </c>
      <c r="BM12" s="496" t="s">
        <v>721</v>
      </c>
      <c r="BN12" s="496">
        <v>28</v>
      </c>
      <c r="BO12" s="496">
        <v>1659</v>
      </c>
      <c r="BP12" s="496" t="s">
        <v>721</v>
      </c>
      <c r="BQ12" s="496" t="s">
        <v>721</v>
      </c>
      <c r="BR12" s="496" t="s">
        <v>721</v>
      </c>
      <c r="BS12" s="496" t="s">
        <v>721</v>
      </c>
      <c r="BT12" s="496" t="s">
        <v>721</v>
      </c>
      <c r="BU12" s="496" t="s">
        <v>721</v>
      </c>
      <c r="BV12" s="496" t="s">
        <v>721</v>
      </c>
      <c r="BW12" s="496" t="s">
        <v>721</v>
      </c>
      <c r="BX12" s="496" t="s">
        <v>721</v>
      </c>
      <c r="BY12" s="496" t="s">
        <v>721</v>
      </c>
      <c r="BZ12" s="496" t="s">
        <v>721</v>
      </c>
      <c r="CA12" s="496" t="s">
        <v>721</v>
      </c>
      <c r="CB12" s="496" t="s">
        <v>721</v>
      </c>
      <c r="CC12" s="496" t="s">
        <v>721</v>
      </c>
      <c r="CD12" s="496">
        <v>19</v>
      </c>
      <c r="CE12" s="496" t="s">
        <v>721</v>
      </c>
      <c r="CF12" s="496" t="s">
        <v>721</v>
      </c>
      <c r="CG12" s="496" t="s">
        <v>721</v>
      </c>
      <c r="CH12" s="496" t="s">
        <v>721</v>
      </c>
      <c r="CI12" s="496" t="s">
        <v>721</v>
      </c>
      <c r="CJ12" s="496" t="s">
        <v>721</v>
      </c>
      <c r="CK12" s="496" t="s">
        <v>721</v>
      </c>
      <c r="CL12" s="496" t="s">
        <v>721</v>
      </c>
      <c r="CM12" s="496" t="s">
        <v>721</v>
      </c>
      <c r="CN12" s="496" t="s">
        <v>721</v>
      </c>
      <c r="CO12" s="496" t="s">
        <v>721</v>
      </c>
      <c r="CP12" s="496">
        <v>27</v>
      </c>
      <c r="CQ12" s="496" t="s">
        <v>721</v>
      </c>
      <c r="CR12" s="496" t="s">
        <v>721</v>
      </c>
      <c r="CS12" s="496" t="s">
        <v>721</v>
      </c>
      <c r="CT12" s="496" t="s">
        <v>721</v>
      </c>
      <c r="CU12" s="496" t="s">
        <v>721</v>
      </c>
      <c r="CV12" s="496">
        <v>1740</v>
      </c>
      <c r="CW12" s="496">
        <v>53</v>
      </c>
      <c r="CX12" s="496" t="s">
        <v>721</v>
      </c>
      <c r="CY12" s="496" t="s">
        <v>721</v>
      </c>
      <c r="CZ12" s="496" t="s">
        <v>721</v>
      </c>
      <c r="DA12" s="496" t="s">
        <v>721</v>
      </c>
      <c r="DB12" s="496" t="s">
        <v>721</v>
      </c>
      <c r="DC12" s="496" t="s">
        <v>721</v>
      </c>
      <c r="DD12" s="496" t="s">
        <v>721</v>
      </c>
      <c r="DE12" s="496" t="s">
        <v>721</v>
      </c>
      <c r="DF12" s="496" t="s">
        <v>721</v>
      </c>
      <c r="DG12" s="496" t="s">
        <v>721</v>
      </c>
      <c r="DH12" s="496" t="s">
        <v>721</v>
      </c>
      <c r="DI12" s="496" t="s">
        <v>721</v>
      </c>
      <c r="DJ12" s="496" t="s">
        <v>721</v>
      </c>
      <c r="DK12" s="496" t="s">
        <v>721</v>
      </c>
      <c r="DL12" s="496" t="s">
        <v>721</v>
      </c>
      <c r="DM12" s="496" t="s">
        <v>721</v>
      </c>
      <c r="DN12" s="496" t="s">
        <v>721</v>
      </c>
      <c r="DO12" s="496" t="s">
        <v>721</v>
      </c>
      <c r="DP12" s="496" t="s">
        <v>721</v>
      </c>
      <c r="DQ12" s="496" t="s">
        <v>721</v>
      </c>
      <c r="DR12" s="496" t="s">
        <v>721</v>
      </c>
      <c r="DS12" s="483" t="s">
        <v>721</v>
      </c>
      <c r="DT12" s="483" t="s">
        <v>721</v>
      </c>
      <c r="DU12" s="483" t="s">
        <v>721</v>
      </c>
      <c r="DV12" s="496">
        <v>299</v>
      </c>
      <c r="DW12" s="497">
        <v>61157.3</v>
      </c>
      <c r="DX12" s="496">
        <v>466</v>
      </c>
      <c r="DY12" s="497">
        <v>86526.5</v>
      </c>
      <c r="DZ12" s="496">
        <v>359</v>
      </c>
      <c r="EA12" s="497">
        <v>41427.699999999997</v>
      </c>
      <c r="EB12" s="496">
        <v>325</v>
      </c>
      <c r="EC12" s="497">
        <v>33585.599999999999</v>
      </c>
      <c r="ED12" s="496">
        <v>219</v>
      </c>
      <c r="EE12" s="497">
        <v>23594</v>
      </c>
      <c r="EF12" s="496">
        <v>138</v>
      </c>
      <c r="EG12" s="497">
        <v>19065.8</v>
      </c>
      <c r="EH12" s="485">
        <v>1378</v>
      </c>
      <c r="EI12" s="486">
        <v>4738.7</v>
      </c>
      <c r="EJ12" s="485">
        <v>1436</v>
      </c>
      <c r="EK12" s="486">
        <v>33096.1</v>
      </c>
      <c r="EL12" s="485">
        <v>1376</v>
      </c>
      <c r="EM12" s="486">
        <v>15552.2</v>
      </c>
      <c r="EN12" s="485">
        <v>1522</v>
      </c>
      <c r="EO12" s="486">
        <v>8031.6</v>
      </c>
      <c r="EP12" s="485">
        <v>1394</v>
      </c>
      <c r="EQ12" s="486">
        <v>4542.5</v>
      </c>
      <c r="ER12" s="485">
        <v>1367</v>
      </c>
      <c r="ES12" s="486">
        <v>3145</v>
      </c>
      <c r="ET12" s="485">
        <v>0</v>
      </c>
      <c r="EU12" s="485">
        <v>1186</v>
      </c>
      <c r="EV12" s="486">
        <v>19069.2</v>
      </c>
      <c r="EW12" s="485">
        <v>308</v>
      </c>
      <c r="EX12" s="486">
        <v>2093.8000000000002</v>
      </c>
      <c r="EY12" s="485">
        <v>888</v>
      </c>
      <c r="EZ12" s="486">
        <v>10593.9</v>
      </c>
      <c r="FA12" s="485">
        <v>224</v>
      </c>
      <c r="FB12" s="486">
        <v>2390.6999999999998</v>
      </c>
      <c r="FC12" s="485">
        <v>1612</v>
      </c>
      <c r="FD12" s="486">
        <v>20004.8</v>
      </c>
      <c r="FE12" s="485">
        <v>1530</v>
      </c>
      <c r="FF12" s="486">
        <v>12452</v>
      </c>
      <c r="FG12" s="485">
        <v>812</v>
      </c>
      <c r="FH12" s="486">
        <v>9627.5</v>
      </c>
      <c r="FI12" s="485">
        <v>929</v>
      </c>
      <c r="FJ12" s="486">
        <v>6208.5</v>
      </c>
      <c r="FK12" s="485">
        <v>1092</v>
      </c>
      <c r="FL12" s="486">
        <v>3679.8</v>
      </c>
      <c r="FM12" s="485">
        <v>132</v>
      </c>
      <c r="FN12" s="486">
        <v>307.2</v>
      </c>
      <c r="FO12" s="485">
        <v>1280</v>
      </c>
      <c r="FP12" s="486">
        <v>9237.9</v>
      </c>
      <c r="FQ12" s="485">
        <v>1549</v>
      </c>
      <c r="FR12" s="486">
        <v>6627.1</v>
      </c>
      <c r="FS12" s="485">
        <v>102</v>
      </c>
      <c r="FT12" s="486">
        <v>889</v>
      </c>
      <c r="FU12" s="485">
        <v>1</v>
      </c>
      <c r="FV12" s="486">
        <v>20</v>
      </c>
      <c r="FW12" s="485">
        <v>0</v>
      </c>
      <c r="FX12" s="486">
        <v>0</v>
      </c>
      <c r="FY12" s="485">
        <v>0</v>
      </c>
      <c r="FZ12" s="486">
        <v>0</v>
      </c>
      <c r="GA12" s="485">
        <v>0</v>
      </c>
      <c r="GB12" s="485">
        <v>0</v>
      </c>
      <c r="GC12" s="487">
        <v>0</v>
      </c>
      <c r="GD12" s="488">
        <v>0</v>
      </c>
      <c r="GE12" s="488">
        <v>102</v>
      </c>
      <c r="GF12" s="488">
        <v>1018</v>
      </c>
      <c r="GG12" s="488">
        <v>1</v>
      </c>
      <c r="GH12" s="488">
        <v>1</v>
      </c>
      <c r="GI12" s="488">
        <v>2</v>
      </c>
      <c r="GJ12" s="488">
        <v>0</v>
      </c>
      <c r="GK12" s="488">
        <v>456</v>
      </c>
      <c r="GL12" s="488">
        <v>660</v>
      </c>
      <c r="GM12" s="488">
        <v>1120</v>
      </c>
      <c r="GN12" s="488">
        <v>44</v>
      </c>
      <c r="GO12" s="488">
        <v>82</v>
      </c>
      <c r="GP12" s="488">
        <v>4</v>
      </c>
      <c r="GQ12" s="488">
        <v>12</v>
      </c>
      <c r="GR12" s="488">
        <v>1</v>
      </c>
      <c r="GS12" s="488">
        <v>17</v>
      </c>
      <c r="GT12" s="489">
        <v>1417</v>
      </c>
      <c r="GU12" s="488">
        <v>5</v>
      </c>
      <c r="GV12" s="490">
        <v>0</v>
      </c>
      <c r="GW12" s="490">
        <v>3</v>
      </c>
      <c r="GX12" s="490">
        <v>8</v>
      </c>
      <c r="GY12" s="491">
        <v>11</v>
      </c>
      <c r="GZ12" s="491">
        <v>11</v>
      </c>
      <c r="HA12" s="491">
        <v>22</v>
      </c>
      <c r="HB12" s="475">
        <v>1</v>
      </c>
      <c r="HC12" s="475">
        <v>2</v>
      </c>
      <c r="HD12" s="475">
        <v>0</v>
      </c>
      <c r="HE12" s="475">
        <v>0</v>
      </c>
      <c r="HF12" s="475">
        <v>0</v>
      </c>
      <c r="HG12" s="475">
        <v>0</v>
      </c>
      <c r="HH12" s="475">
        <v>1</v>
      </c>
      <c r="HI12" s="475">
        <v>0</v>
      </c>
      <c r="HJ12" s="475">
        <v>0</v>
      </c>
      <c r="HK12" s="475">
        <v>0</v>
      </c>
      <c r="HL12" s="475">
        <v>0</v>
      </c>
      <c r="HM12" s="475">
        <v>0</v>
      </c>
      <c r="HN12" s="475">
        <v>0</v>
      </c>
      <c r="HO12" s="475">
        <v>2</v>
      </c>
      <c r="HP12" s="475">
        <v>0</v>
      </c>
      <c r="HQ12" s="475">
        <v>1</v>
      </c>
      <c r="HR12" s="475">
        <v>7</v>
      </c>
      <c r="HS12" s="475">
        <v>0</v>
      </c>
      <c r="HT12" s="475">
        <v>0</v>
      </c>
      <c r="HU12" s="475">
        <v>0</v>
      </c>
      <c r="HV12" s="475">
        <v>0</v>
      </c>
      <c r="HW12" s="475">
        <v>0</v>
      </c>
      <c r="HX12" s="475">
        <v>0</v>
      </c>
      <c r="HY12" s="475">
        <v>0</v>
      </c>
      <c r="HZ12" s="475">
        <v>66</v>
      </c>
      <c r="IA12" s="475" t="s">
        <v>721</v>
      </c>
      <c r="IB12" s="475" t="s">
        <v>721</v>
      </c>
      <c r="IC12" s="475" t="s">
        <v>721</v>
      </c>
      <c r="ID12" s="475" t="s">
        <v>721</v>
      </c>
      <c r="IE12" s="475" t="s">
        <v>721</v>
      </c>
      <c r="IF12" s="475" t="s">
        <v>721</v>
      </c>
      <c r="IG12" s="475" t="s">
        <v>721</v>
      </c>
      <c r="IH12" s="475" t="s">
        <v>721</v>
      </c>
      <c r="II12" s="475" t="s">
        <v>721</v>
      </c>
      <c r="IJ12" s="475" t="s">
        <v>721</v>
      </c>
      <c r="IK12" s="475" t="s">
        <v>721</v>
      </c>
      <c r="IL12" s="475" t="s">
        <v>721</v>
      </c>
      <c r="IM12" s="475" t="s">
        <v>721</v>
      </c>
      <c r="IN12" s="475" t="s">
        <v>721</v>
      </c>
      <c r="IO12" s="475" t="s">
        <v>721</v>
      </c>
      <c r="IP12" s="475" t="s">
        <v>721</v>
      </c>
      <c r="IQ12" s="475" t="s">
        <v>721</v>
      </c>
      <c r="IR12" s="475" t="s">
        <v>721</v>
      </c>
      <c r="IS12" s="475" t="s">
        <v>721</v>
      </c>
      <c r="IT12" s="475" t="s">
        <v>721</v>
      </c>
      <c r="IU12" s="475" t="s">
        <v>721</v>
      </c>
      <c r="IV12" s="475" t="s">
        <v>721</v>
      </c>
      <c r="IW12" s="475" t="s">
        <v>721</v>
      </c>
      <c r="IX12" s="475" t="s">
        <v>721</v>
      </c>
      <c r="IY12" s="475" t="s">
        <v>721</v>
      </c>
      <c r="IZ12" s="475" t="s">
        <v>721</v>
      </c>
      <c r="JA12" s="475" t="s">
        <v>721</v>
      </c>
      <c r="JB12" s="475" t="s">
        <v>721</v>
      </c>
      <c r="JC12" s="475" t="s">
        <v>721</v>
      </c>
      <c r="JD12" s="475" t="s">
        <v>721</v>
      </c>
      <c r="JE12" s="475" t="s">
        <v>721</v>
      </c>
      <c r="JF12" s="475" t="s">
        <v>721</v>
      </c>
      <c r="JG12" s="475" t="s">
        <v>721</v>
      </c>
      <c r="JH12" s="475" t="s">
        <v>721</v>
      </c>
      <c r="JI12" s="475" t="s">
        <v>721</v>
      </c>
      <c r="JJ12" s="475" t="s">
        <v>721</v>
      </c>
      <c r="JK12" s="475" t="s">
        <v>721</v>
      </c>
      <c r="JL12" s="755">
        <v>200114.7</v>
      </c>
      <c r="JM12" s="755">
        <v>18564.900000000001</v>
      </c>
      <c r="JN12" s="755">
        <v>4547.8999999999996</v>
      </c>
      <c r="JO12" s="755">
        <v>4240.7</v>
      </c>
      <c r="JP12" s="755">
        <v>3251.4</v>
      </c>
      <c r="JQ12" s="755">
        <v>2941.8</v>
      </c>
      <c r="JR12" s="755">
        <v>5459.5</v>
      </c>
      <c r="JS12" s="755" t="s">
        <v>721</v>
      </c>
      <c r="JT12" s="755">
        <v>1997.6</v>
      </c>
      <c r="JU12" s="755">
        <v>789.1</v>
      </c>
      <c r="JV12" s="755" t="s">
        <v>721</v>
      </c>
      <c r="JW12" s="755">
        <v>1208.9000000000001</v>
      </c>
      <c r="JX12" s="755" t="s">
        <v>721</v>
      </c>
      <c r="JY12" s="755">
        <v>3857.5</v>
      </c>
      <c r="JZ12" s="755">
        <v>238</v>
      </c>
      <c r="KA12" s="755">
        <v>71.599999999999994</v>
      </c>
      <c r="KB12" s="755">
        <v>1132</v>
      </c>
      <c r="KC12" s="755">
        <v>1988.2</v>
      </c>
      <c r="KD12" s="755">
        <v>14953.1</v>
      </c>
      <c r="KE12" s="475">
        <v>342</v>
      </c>
      <c r="KF12" s="475">
        <v>37</v>
      </c>
      <c r="KG12" s="475" t="s">
        <v>721</v>
      </c>
      <c r="KH12" s="475" t="s">
        <v>721</v>
      </c>
      <c r="KI12" s="475" t="s">
        <v>721</v>
      </c>
      <c r="KJ12" s="475" t="s">
        <v>721</v>
      </c>
      <c r="KK12" s="475">
        <v>12</v>
      </c>
      <c r="KL12" s="475" t="s">
        <v>721</v>
      </c>
      <c r="KM12" s="475" t="s">
        <v>721</v>
      </c>
      <c r="KN12" s="475" t="s">
        <v>721</v>
      </c>
      <c r="KO12" s="475" t="s">
        <v>721</v>
      </c>
      <c r="KP12" s="475" t="s">
        <v>721</v>
      </c>
      <c r="KQ12" s="475" t="s">
        <v>721</v>
      </c>
      <c r="KR12" s="475" t="s">
        <v>721</v>
      </c>
      <c r="KS12" s="475" t="s">
        <v>721</v>
      </c>
      <c r="KT12" s="475" t="s">
        <v>721</v>
      </c>
      <c r="KU12" s="475" t="s">
        <v>721</v>
      </c>
      <c r="KV12" s="475" t="s">
        <v>721</v>
      </c>
      <c r="KW12" s="475">
        <v>29</v>
      </c>
      <c r="KX12" s="475">
        <v>214</v>
      </c>
      <c r="KY12" s="475">
        <v>34</v>
      </c>
      <c r="KZ12" s="475" t="s">
        <v>721</v>
      </c>
      <c r="LA12" s="475" t="s">
        <v>721</v>
      </c>
      <c r="LB12" s="475" t="s">
        <v>721</v>
      </c>
      <c r="LC12" s="475" t="s">
        <v>721</v>
      </c>
      <c r="LD12" s="475" t="s">
        <v>721</v>
      </c>
      <c r="LE12" s="475" t="s">
        <v>721</v>
      </c>
      <c r="LF12" s="475" t="s">
        <v>721</v>
      </c>
      <c r="LG12" s="475" t="s">
        <v>721</v>
      </c>
      <c r="LH12" s="475" t="s">
        <v>721</v>
      </c>
      <c r="LI12" s="475" t="s">
        <v>721</v>
      </c>
      <c r="LJ12" s="475" t="s">
        <v>721</v>
      </c>
      <c r="LK12" s="475" t="s">
        <v>721</v>
      </c>
      <c r="LL12" s="475" t="s">
        <v>721</v>
      </c>
      <c r="LM12" s="475" t="s">
        <v>721</v>
      </c>
      <c r="LN12" s="475" t="s">
        <v>721</v>
      </c>
      <c r="LO12" s="475" t="s">
        <v>721</v>
      </c>
      <c r="LP12" s="475">
        <v>15</v>
      </c>
      <c r="LQ12" s="475">
        <v>856</v>
      </c>
      <c r="LR12" s="475">
        <v>62</v>
      </c>
      <c r="LS12" s="475">
        <v>21</v>
      </c>
      <c r="LT12" s="475">
        <v>19</v>
      </c>
      <c r="LU12" s="475">
        <v>19</v>
      </c>
      <c r="LV12" s="475" t="s">
        <v>721</v>
      </c>
      <c r="LW12" s="475">
        <v>25</v>
      </c>
      <c r="LX12" s="475" t="s">
        <v>721</v>
      </c>
      <c r="LY12" s="475" t="s">
        <v>721</v>
      </c>
      <c r="LZ12" s="475" t="s">
        <v>721</v>
      </c>
      <c r="MA12" s="475" t="s">
        <v>721</v>
      </c>
      <c r="MB12" s="475" t="s">
        <v>721</v>
      </c>
      <c r="MC12" s="475" t="s">
        <v>721</v>
      </c>
      <c r="MD12" s="475" t="s">
        <v>721</v>
      </c>
      <c r="ME12" s="475" t="s">
        <v>721</v>
      </c>
      <c r="MF12" s="475" t="s">
        <v>721</v>
      </c>
      <c r="MG12" s="475" t="s">
        <v>721</v>
      </c>
      <c r="MH12" s="475" t="s">
        <v>721</v>
      </c>
      <c r="MI12" s="475">
        <v>66</v>
      </c>
      <c r="MJ12" s="475">
        <v>508</v>
      </c>
      <c r="MK12" s="475">
        <v>56</v>
      </c>
      <c r="ML12" s="475" t="s">
        <v>721</v>
      </c>
      <c r="MM12" s="475" t="s">
        <v>721</v>
      </c>
      <c r="MN12" s="475" t="s">
        <v>721</v>
      </c>
      <c r="MO12" s="475">
        <v>11</v>
      </c>
      <c r="MP12" s="475">
        <v>11</v>
      </c>
      <c r="MQ12" s="475" t="s">
        <v>721</v>
      </c>
      <c r="MR12" s="475" t="s">
        <v>721</v>
      </c>
      <c r="MS12" s="475" t="s">
        <v>721</v>
      </c>
      <c r="MT12" s="475" t="s">
        <v>721</v>
      </c>
      <c r="MU12" s="475" t="s">
        <v>721</v>
      </c>
      <c r="MV12" s="475" t="s">
        <v>721</v>
      </c>
      <c r="MW12" s="475">
        <v>13</v>
      </c>
      <c r="MX12" s="475" t="s">
        <v>721</v>
      </c>
      <c r="MY12" s="475" t="s">
        <v>721</v>
      </c>
      <c r="MZ12" s="475" t="s">
        <v>721</v>
      </c>
      <c r="NA12" s="475" t="s">
        <v>721</v>
      </c>
      <c r="NB12" s="475">
        <v>36</v>
      </c>
      <c r="NC12" s="476">
        <v>0.52</v>
      </c>
      <c r="ND12" s="476">
        <v>0.48</v>
      </c>
      <c r="NE12" s="476">
        <v>0.76400000000000001</v>
      </c>
      <c r="NF12" s="476">
        <v>6.5000000000000002E-2</v>
      </c>
      <c r="NG12" s="476">
        <v>1.7000000000000001E-2</v>
      </c>
      <c r="NH12" s="476">
        <v>1.6E-2</v>
      </c>
      <c r="NI12" s="476">
        <v>1.6E-2</v>
      </c>
      <c r="NJ12" s="476">
        <v>1.0999999999999999E-2</v>
      </c>
      <c r="NK12" s="476">
        <v>0.02</v>
      </c>
      <c r="NL12" s="476" t="s">
        <v>721</v>
      </c>
      <c r="NM12" s="476">
        <v>7.0000000000000001E-3</v>
      </c>
      <c r="NN12" s="476" t="s">
        <v>721</v>
      </c>
      <c r="NO12" s="476" t="s">
        <v>721</v>
      </c>
      <c r="NP12" s="476" t="s">
        <v>721</v>
      </c>
      <c r="NQ12" s="476" t="s">
        <v>721</v>
      </c>
      <c r="NR12" s="476">
        <v>1.2E-2</v>
      </c>
      <c r="NS12" s="476" t="s">
        <v>721</v>
      </c>
      <c r="NT12" s="476" t="s">
        <v>721</v>
      </c>
      <c r="NU12" s="476" t="s">
        <v>721</v>
      </c>
      <c r="NV12" s="476">
        <v>6.0000000000000001E-3</v>
      </c>
      <c r="NW12" s="476">
        <v>5.6000000000000001E-2</v>
      </c>
      <c r="NX12" s="476" t="s">
        <v>721</v>
      </c>
      <c r="NY12" s="476">
        <v>1.7999999999999999E-2</v>
      </c>
      <c r="NZ12" s="476" t="s">
        <v>721</v>
      </c>
      <c r="OA12" s="476" t="s">
        <v>721</v>
      </c>
      <c r="OB12" s="476" t="s">
        <v>721</v>
      </c>
      <c r="OC12" s="476" t="s">
        <v>721</v>
      </c>
      <c r="OD12" s="476">
        <v>1.6E-2</v>
      </c>
      <c r="OE12" s="476">
        <v>0.91900000000000004</v>
      </c>
      <c r="OF12" s="476" t="s">
        <v>721</v>
      </c>
      <c r="OG12" s="476" t="s">
        <v>721</v>
      </c>
      <c r="OH12" s="476" t="s">
        <v>721</v>
      </c>
      <c r="OI12" s="476" t="s">
        <v>721</v>
      </c>
      <c r="OJ12" s="476" t="s">
        <v>721</v>
      </c>
      <c r="OK12" s="476" t="s">
        <v>721</v>
      </c>
      <c r="OL12" s="476" t="s">
        <v>721</v>
      </c>
      <c r="OM12" s="476" t="s">
        <v>721</v>
      </c>
      <c r="ON12" s="476" t="s">
        <v>721</v>
      </c>
      <c r="OO12" s="476" t="s">
        <v>721</v>
      </c>
      <c r="OP12" s="476" t="s">
        <v>721</v>
      </c>
      <c r="OQ12" s="476" t="s">
        <v>721</v>
      </c>
      <c r="OR12" s="476" t="s">
        <v>721</v>
      </c>
      <c r="OS12" s="476" t="s">
        <v>721</v>
      </c>
      <c r="OT12" s="476">
        <v>1.0999999999999999E-2</v>
      </c>
      <c r="OU12" s="476" t="s">
        <v>721</v>
      </c>
      <c r="OV12" s="476" t="s">
        <v>721</v>
      </c>
      <c r="OW12" s="476" t="s">
        <v>721</v>
      </c>
      <c r="OX12" s="476" t="s">
        <v>721</v>
      </c>
      <c r="OY12" s="476" t="s">
        <v>721</v>
      </c>
      <c r="OZ12" s="476" t="s">
        <v>721</v>
      </c>
      <c r="PA12" s="476" t="s">
        <v>721</v>
      </c>
      <c r="PB12" s="476" t="s">
        <v>721</v>
      </c>
      <c r="PC12" s="476" t="s">
        <v>721</v>
      </c>
      <c r="PD12" s="476" t="s">
        <v>721</v>
      </c>
      <c r="PE12" s="476" t="s">
        <v>721</v>
      </c>
      <c r="PF12" s="476">
        <v>1.4999999999999999E-2</v>
      </c>
      <c r="PG12" s="476" t="s">
        <v>721</v>
      </c>
      <c r="PH12" s="476" t="s">
        <v>721</v>
      </c>
      <c r="PI12" s="476" t="s">
        <v>721</v>
      </c>
      <c r="PJ12" s="476" t="s">
        <v>721</v>
      </c>
      <c r="PK12" s="476" t="s">
        <v>721</v>
      </c>
      <c r="PL12" s="476">
        <v>0.93700000000000006</v>
      </c>
      <c r="PM12" s="476">
        <v>2.9000000000000001E-2</v>
      </c>
      <c r="PN12" s="476" t="s">
        <v>721</v>
      </c>
      <c r="PO12" s="476" t="s">
        <v>721</v>
      </c>
      <c r="PP12" s="476" t="s">
        <v>721</v>
      </c>
      <c r="PQ12" s="476" t="s">
        <v>721</v>
      </c>
      <c r="PR12" s="476" t="s">
        <v>721</v>
      </c>
      <c r="PS12" s="476" t="s">
        <v>721</v>
      </c>
      <c r="PT12" s="476" t="s">
        <v>721</v>
      </c>
      <c r="PU12" s="476" t="s">
        <v>721</v>
      </c>
      <c r="PV12" s="476" t="s">
        <v>721</v>
      </c>
      <c r="PW12" s="476" t="s">
        <v>721</v>
      </c>
      <c r="PX12" s="476" t="s">
        <v>721</v>
      </c>
      <c r="PY12" s="476" t="s">
        <v>721</v>
      </c>
      <c r="PZ12" s="476" t="s">
        <v>721</v>
      </c>
      <c r="QA12" s="476" t="s">
        <v>721</v>
      </c>
      <c r="QB12" s="476" t="s">
        <v>721</v>
      </c>
      <c r="QC12" s="476" t="s">
        <v>721</v>
      </c>
      <c r="QD12" s="476" t="s">
        <v>721</v>
      </c>
      <c r="QE12" s="476" t="s">
        <v>721</v>
      </c>
      <c r="QF12" s="476" t="s">
        <v>721</v>
      </c>
      <c r="QG12" s="476" t="s">
        <v>721</v>
      </c>
      <c r="QH12" s="476" t="s">
        <v>721</v>
      </c>
      <c r="QI12" s="476" t="s">
        <v>721</v>
      </c>
      <c r="QJ12" s="476" t="s">
        <v>721</v>
      </c>
      <c r="QK12" s="476" t="s">
        <v>721</v>
      </c>
      <c r="QL12" s="476">
        <v>0.80500000000000005</v>
      </c>
      <c r="QM12" s="476" t="s">
        <v>721</v>
      </c>
      <c r="QN12" s="476" t="s">
        <v>721</v>
      </c>
      <c r="QO12" s="476" t="s">
        <v>721</v>
      </c>
      <c r="QP12" s="476" t="s">
        <v>721</v>
      </c>
      <c r="QQ12" s="476" t="s">
        <v>721</v>
      </c>
      <c r="QR12" s="476" t="s">
        <v>721</v>
      </c>
      <c r="QS12" s="476" t="s">
        <v>721</v>
      </c>
      <c r="QT12" s="476" t="s">
        <v>721</v>
      </c>
      <c r="QU12" s="476" t="s">
        <v>721</v>
      </c>
      <c r="QV12" s="476" t="s">
        <v>721</v>
      </c>
      <c r="QW12" s="476" t="s">
        <v>721</v>
      </c>
      <c r="QX12" s="476" t="s">
        <v>721</v>
      </c>
      <c r="QY12" s="476" t="s">
        <v>721</v>
      </c>
      <c r="QZ12" s="476" t="s">
        <v>721</v>
      </c>
      <c r="RA12" s="476" t="s">
        <v>721</v>
      </c>
      <c r="RB12" s="476" t="s">
        <v>721</v>
      </c>
      <c r="RC12" s="476" t="s">
        <v>721</v>
      </c>
      <c r="RD12" s="476" t="s">
        <v>721</v>
      </c>
      <c r="RE12" s="476" t="s">
        <v>721</v>
      </c>
      <c r="RF12" s="476" t="s">
        <v>721</v>
      </c>
      <c r="RG12" s="476" t="s">
        <v>721</v>
      </c>
      <c r="RH12" s="476" t="s">
        <v>721</v>
      </c>
      <c r="RI12" s="476" t="s">
        <v>721</v>
      </c>
      <c r="RJ12" s="476" t="s">
        <v>721</v>
      </c>
      <c r="RK12" s="476" t="s">
        <v>721</v>
      </c>
      <c r="RL12" s="476" t="s">
        <v>721</v>
      </c>
      <c r="RM12" s="476" t="s">
        <v>721</v>
      </c>
      <c r="RN12" s="476" t="s">
        <v>721</v>
      </c>
      <c r="RO12" s="476" t="s">
        <v>721</v>
      </c>
      <c r="RP12" s="476" t="s">
        <v>721</v>
      </c>
      <c r="RQ12" s="476" t="s">
        <v>721</v>
      </c>
      <c r="RR12" s="476" t="s">
        <v>721</v>
      </c>
      <c r="RS12" s="476" t="s">
        <v>721</v>
      </c>
      <c r="RT12" s="476" t="s">
        <v>721</v>
      </c>
      <c r="RU12" s="476" t="s">
        <v>721</v>
      </c>
      <c r="RV12" s="476" t="s">
        <v>721</v>
      </c>
      <c r="RW12" s="476" t="s">
        <v>721</v>
      </c>
      <c r="RX12" s="476">
        <v>0.754</v>
      </c>
      <c r="RY12" s="476">
        <v>7.0000000000000007E-2</v>
      </c>
      <c r="RZ12" s="476">
        <v>1.7000000000000001E-2</v>
      </c>
      <c r="SA12" s="476">
        <v>1.6E-2</v>
      </c>
      <c r="SB12" s="476">
        <v>1.2E-2</v>
      </c>
      <c r="SC12" s="476">
        <v>1.0999999999999999E-2</v>
      </c>
      <c r="SD12" s="476">
        <v>2.1000000000000001E-2</v>
      </c>
      <c r="SE12" s="476" t="s">
        <v>721</v>
      </c>
      <c r="SF12" s="476">
        <v>8.0000000000000002E-3</v>
      </c>
      <c r="SG12" s="476">
        <v>3.0000000000000001E-3</v>
      </c>
      <c r="SH12" s="476" t="s">
        <v>721</v>
      </c>
      <c r="SI12" s="476">
        <v>5.0000000000000001E-3</v>
      </c>
      <c r="SJ12" s="476" t="s">
        <v>721</v>
      </c>
      <c r="SK12" s="476">
        <v>1.4999999999999999E-2</v>
      </c>
      <c r="SL12" s="476">
        <v>1E-3</v>
      </c>
      <c r="SM12" s="476">
        <v>0</v>
      </c>
      <c r="SN12" s="476">
        <v>4.0000000000000001E-3</v>
      </c>
      <c r="SO12" s="476">
        <v>7.0000000000000001E-3</v>
      </c>
      <c r="SP12" s="476">
        <v>5.6000000000000001E-2</v>
      </c>
      <c r="SQ12" s="476">
        <v>0.73499999999999999</v>
      </c>
      <c r="SR12" s="476">
        <v>0.08</v>
      </c>
      <c r="SS12" s="476" t="s">
        <v>721</v>
      </c>
      <c r="ST12" s="476" t="s">
        <v>721</v>
      </c>
      <c r="SU12" s="476" t="s">
        <v>721</v>
      </c>
      <c r="SV12" s="476" t="s">
        <v>721</v>
      </c>
      <c r="SW12" s="476">
        <v>2.5999999999999999E-2</v>
      </c>
      <c r="SX12" s="476" t="s">
        <v>721</v>
      </c>
      <c r="SY12" s="476" t="s">
        <v>721</v>
      </c>
      <c r="SZ12" s="476" t="s">
        <v>721</v>
      </c>
      <c r="TA12" s="476" t="s">
        <v>721</v>
      </c>
      <c r="TB12" s="476" t="s">
        <v>721</v>
      </c>
      <c r="TC12" s="476" t="s">
        <v>721</v>
      </c>
      <c r="TD12" s="476" t="s">
        <v>721</v>
      </c>
      <c r="TE12" s="476" t="s">
        <v>721</v>
      </c>
      <c r="TF12" s="476" t="s">
        <v>721</v>
      </c>
      <c r="TG12" s="476" t="s">
        <v>721</v>
      </c>
      <c r="TH12" s="476" t="s">
        <v>721</v>
      </c>
      <c r="TI12" s="476">
        <v>6.2E-2</v>
      </c>
      <c r="TJ12" s="476">
        <v>0.72299999999999998</v>
      </c>
      <c r="TK12" s="476">
        <v>0.115</v>
      </c>
      <c r="TL12" s="476" t="s">
        <v>721</v>
      </c>
      <c r="TM12" s="476" t="s">
        <v>721</v>
      </c>
      <c r="TN12" s="476" t="s">
        <v>721</v>
      </c>
      <c r="TO12" s="476" t="s">
        <v>721</v>
      </c>
      <c r="TP12" s="476" t="s">
        <v>721</v>
      </c>
      <c r="TQ12" s="476" t="s">
        <v>721</v>
      </c>
      <c r="TR12" s="476" t="s">
        <v>721</v>
      </c>
      <c r="TS12" s="476" t="s">
        <v>721</v>
      </c>
      <c r="TT12" s="476" t="s">
        <v>721</v>
      </c>
      <c r="TU12" s="476" t="s">
        <v>721</v>
      </c>
      <c r="TV12" s="476" t="s">
        <v>721</v>
      </c>
      <c r="TW12" s="476" t="s">
        <v>721</v>
      </c>
      <c r="TX12" s="476" t="s">
        <v>721</v>
      </c>
      <c r="TY12" s="476" t="s">
        <v>721</v>
      </c>
      <c r="TZ12" s="476" t="s">
        <v>721</v>
      </c>
      <c r="UA12" s="476" t="s">
        <v>721</v>
      </c>
      <c r="UB12" s="476">
        <v>5.0999999999999997E-2</v>
      </c>
      <c r="UC12" s="476">
        <v>0.77400000000000002</v>
      </c>
      <c r="UD12" s="476">
        <v>5.6000000000000001E-2</v>
      </c>
      <c r="UE12" s="476">
        <v>1.9E-2</v>
      </c>
      <c r="UF12" s="476">
        <v>1.7000000000000001E-2</v>
      </c>
      <c r="UG12" s="476">
        <v>1.7000000000000001E-2</v>
      </c>
      <c r="UH12" s="476" t="s">
        <v>721</v>
      </c>
      <c r="UI12" s="476">
        <v>2.3E-2</v>
      </c>
      <c r="UJ12" s="476" t="s">
        <v>721</v>
      </c>
      <c r="UK12" s="476" t="s">
        <v>721</v>
      </c>
      <c r="UL12" s="476" t="s">
        <v>721</v>
      </c>
      <c r="UM12" s="476" t="s">
        <v>721</v>
      </c>
      <c r="UN12" s="476" t="s">
        <v>721</v>
      </c>
      <c r="UO12" s="476" t="s">
        <v>721</v>
      </c>
      <c r="UP12" s="476" t="s">
        <v>721</v>
      </c>
      <c r="UQ12" s="476" t="s">
        <v>721</v>
      </c>
      <c r="UR12" s="476" t="s">
        <v>721</v>
      </c>
      <c r="US12" s="476" t="s">
        <v>721</v>
      </c>
      <c r="UT12" s="476" t="s">
        <v>721</v>
      </c>
      <c r="UU12" s="476">
        <v>0.06</v>
      </c>
      <c r="UV12" s="476">
        <v>0.74399999999999999</v>
      </c>
      <c r="UW12" s="476">
        <v>8.2000000000000003E-2</v>
      </c>
      <c r="UX12" s="476" t="s">
        <v>721</v>
      </c>
      <c r="UY12" s="476" t="s">
        <v>721</v>
      </c>
      <c r="UZ12" s="476" t="s">
        <v>721</v>
      </c>
      <c r="VA12" s="476">
        <v>1.6E-2</v>
      </c>
      <c r="VB12" s="476">
        <v>1.6E-2</v>
      </c>
      <c r="VC12" s="476" t="s">
        <v>721</v>
      </c>
      <c r="VD12" s="476" t="s">
        <v>721</v>
      </c>
      <c r="VE12" s="476" t="s">
        <v>721</v>
      </c>
      <c r="VF12" s="476" t="s">
        <v>721</v>
      </c>
      <c r="VG12" s="476" t="s">
        <v>721</v>
      </c>
      <c r="VH12" s="476" t="s">
        <v>721</v>
      </c>
      <c r="VI12" s="476">
        <v>1.9E-2</v>
      </c>
      <c r="VJ12" s="476" t="s">
        <v>721</v>
      </c>
      <c r="VK12" s="476" t="s">
        <v>721</v>
      </c>
      <c r="VL12" s="476" t="s">
        <v>721</v>
      </c>
      <c r="VM12" s="476" t="s">
        <v>721</v>
      </c>
      <c r="VN12" s="476">
        <v>5.2999999999999999E-2</v>
      </c>
      <c r="VO12" s="28"/>
      <c r="VP12" s="28"/>
      <c r="VQ12" s="28"/>
      <c r="VR12" s="28"/>
      <c r="VS12" s="28"/>
      <c r="VT12" s="28"/>
      <c r="VU12" s="28"/>
      <c r="VV12" s="28"/>
      <c r="VW12" s="28"/>
      <c r="VX12" s="28"/>
      <c r="VY12" s="28"/>
      <c r="VZ12" s="28"/>
      <c r="WA12" s="28"/>
      <c r="WB12" s="28"/>
      <c r="WC12" s="28"/>
      <c r="WD12" s="28"/>
      <c r="WE12" s="28"/>
      <c r="WF12" s="28"/>
      <c r="WG12" s="28"/>
      <c r="WH12" s="28"/>
      <c r="WI12" s="28"/>
      <c r="WJ12" s="28"/>
      <c r="WK12" s="28"/>
      <c r="WL12" s="28"/>
      <c r="WM12" s="28"/>
      <c r="WN12" s="28"/>
      <c r="WO12" s="28"/>
      <c r="WP12" s="28"/>
      <c r="WQ12" s="28"/>
      <c r="WR12" s="28"/>
      <c r="WS12" s="28"/>
      <c r="WT12" s="28"/>
      <c r="WU12" s="28"/>
      <c r="WV12" s="28"/>
      <c r="WW12" s="28"/>
    </row>
    <row r="13" spans="1:621" s="151" customFormat="1" ht="15.75" customHeight="1" x14ac:dyDescent="0.35">
      <c r="A13" s="477" t="s">
        <v>23</v>
      </c>
      <c r="B13" s="492" t="s">
        <v>12</v>
      </c>
      <c r="C13" s="493">
        <v>16.100000000000001</v>
      </c>
      <c r="D13" s="494">
        <v>25144</v>
      </c>
      <c r="E13" s="473">
        <v>3088050.4</v>
      </c>
      <c r="F13" s="473">
        <v>122.8</v>
      </c>
      <c r="G13" s="474">
        <v>24182</v>
      </c>
      <c r="H13" s="474">
        <v>22830</v>
      </c>
      <c r="I13" s="474">
        <v>18136</v>
      </c>
      <c r="J13" s="474">
        <v>14324</v>
      </c>
      <c r="K13" s="474">
        <v>9177</v>
      </c>
      <c r="L13" s="473">
        <v>1545062.5</v>
      </c>
      <c r="M13" s="474">
        <v>15856</v>
      </c>
      <c r="N13" s="473">
        <v>1542987.9</v>
      </c>
      <c r="O13" s="494">
        <v>3253</v>
      </c>
      <c r="P13" s="495">
        <v>577643.80000000005</v>
      </c>
      <c r="Q13" s="494">
        <v>4856</v>
      </c>
      <c r="R13" s="495">
        <v>148447.9</v>
      </c>
      <c r="S13" s="494">
        <v>7643</v>
      </c>
      <c r="T13" s="495">
        <v>855442.5</v>
      </c>
      <c r="U13" s="494">
        <v>346</v>
      </c>
      <c r="V13" s="495">
        <v>45245.4</v>
      </c>
      <c r="W13" s="494">
        <v>17155</v>
      </c>
      <c r="X13" s="495">
        <v>2187362.5</v>
      </c>
      <c r="Y13" s="494">
        <v>22855</v>
      </c>
      <c r="Z13" s="494">
        <v>12870</v>
      </c>
      <c r="AA13" s="494">
        <v>16093</v>
      </c>
      <c r="AB13" s="494">
        <v>10759</v>
      </c>
      <c r="AC13" s="494">
        <v>1126</v>
      </c>
      <c r="AD13" s="494">
        <v>4507</v>
      </c>
      <c r="AE13" s="480">
        <v>10357</v>
      </c>
      <c r="AF13" s="481">
        <v>765833.9</v>
      </c>
      <c r="AG13" s="480">
        <v>13556</v>
      </c>
      <c r="AH13" s="481">
        <v>2232146</v>
      </c>
      <c r="AI13" s="480">
        <v>586</v>
      </c>
      <c r="AJ13" s="481">
        <v>28512.799999999999</v>
      </c>
      <c r="AK13" s="480">
        <v>534</v>
      </c>
      <c r="AL13" s="481">
        <v>61557.7</v>
      </c>
      <c r="AM13" s="496">
        <v>14027</v>
      </c>
      <c r="AN13" s="496">
        <v>11117</v>
      </c>
      <c r="AO13" s="496">
        <v>4861</v>
      </c>
      <c r="AP13" s="496">
        <v>11345</v>
      </c>
      <c r="AQ13" s="496">
        <v>3112</v>
      </c>
      <c r="AR13" s="496">
        <v>1401</v>
      </c>
      <c r="AS13" s="496">
        <v>196</v>
      </c>
      <c r="AT13" s="496">
        <v>195</v>
      </c>
      <c r="AU13" s="496">
        <v>482</v>
      </c>
      <c r="AV13" s="496">
        <v>14</v>
      </c>
      <c r="AW13" s="496">
        <v>132</v>
      </c>
      <c r="AX13" s="496">
        <v>366</v>
      </c>
      <c r="AY13" s="496">
        <v>15</v>
      </c>
      <c r="AZ13" s="496">
        <v>18</v>
      </c>
      <c r="BA13" s="496" t="s">
        <v>721</v>
      </c>
      <c r="BB13" s="496">
        <v>701</v>
      </c>
      <c r="BC13" s="496" t="s">
        <v>721</v>
      </c>
      <c r="BD13" s="496" t="s">
        <v>721</v>
      </c>
      <c r="BE13" s="496">
        <v>1213</v>
      </c>
      <c r="BF13" s="496">
        <v>120</v>
      </c>
      <c r="BG13" s="496">
        <v>956</v>
      </c>
      <c r="BH13" s="496">
        <v>31</v>
      </c>
      <c r="BI13" s="496">
        <v>4658</v>
      </c>
      <c r="BJ13" s="496">
        <v>71</v>
      </c>
      <c r="BK13" s="496" t="s">
        <v>721</v>
      </c>
      <c r="BL13" s="496" t="s">
        <v>721</v>
      </c>
      <c r="BM13" s="496">
        <v>42</v>
      </c>
      <c r="BN13" s="496">
        <v>720</v>
      </c>
      <c r="BO13" s="496">
        <v>16521</v>
      </c>
      <c r="BP13" s="496" t="s">
        <v>721</v>
      </c>
      <c r="BQ13" s="496" t="s">
        <v>721</v>
      </c>
      <c r="BR13" s="496">
        <v>33</v>
      </c>
      <c r="BS13" s="496" t="s">
        <v>721</v>
      </c>
      <c r="BT13" s="496">
        <v>296</v>
      </c>
      <c r="BU13" s="496">
        <v>278</v>
      </c>
      <c r="BV13" s="496" t="s">
        <v>721</v>
      </c>
      <c r="BW13" s="496">
        <v>15</v>
      </c>
      <c r="BX13" s="496">
        <v>1213</v>
      </c>
      <c r="BY13" s="496">
        <v>766</v>
      </c>
      <c r="BZ13" s="496" t="s">
        <v>721</v>
      </c>
      <c r="CA13" s="496" t="s">
        <v>721</v>
      </c>
      <c r="CB13" s="496" t="s">
        <v>721</v>
      </c>
      <c r="CC13" s="496" t="s">
        <v>721</v>
      </c>
      <c r="CD13" s="496">
        <v>88</v>
      </c>
      <c r="CE13" s="496" t="s">
        <v>721</v>
      </c>
      <c r="CF13" s="496" t="s">
        <v>721</v>
      </c>
      <c r="CG13" s="496">
        <v>82</v>
      </c>
      <c r="CH13" s="496" t="s">
        <v>721</v>
      </c>
      <c r="CI13" s="496" t="s">
        <v>721</v>
      </c>
      <c r="CJ13" s="496">
        <v>32</v>
      </c>
      <c r="CK13" s="496">
        <v>95</v>
      </c>
      <c r="CL13" s="496" t="s">
        <v>721</v>
      </c>
      <c r="CM13" s="496">
        <v>154</v>
      </c>
      <c r="CN13" s="496" t="s">
        <v>721</v>
      </c>
      <c r="CO13" s="496">
        <v>13</v>
      </c>
      <c r="CP13" s="496">
        <v>2472</v>
      </c>
      <c r="CQ13" s="496">
        <v>42</v>
      </c>
      <c r="CR13" s="496" t="s">
        <v>721</v>
      </c>
      <c r="CS13" s="496" t="s">
        <v>721</v>
      </c>
      <c r="CT13" s="496">
        <v>31</v>
      </c>
      <c r="CU13" s="496">
        <v>313</v>
      </c>
      <c r="CV13" s="496">
        <v>18621</v>
      </c>
      <c r="CW13" s="496">
        <v>262</v>
      </c>
      <c r="CX13" s="496" t="s">
        <v>721</v>
      </c>
      <c r="CY13" s="496">
        <v>16</v>
      </c>
      <c r="CZ13" s="496">
        <v>14</v>
      </c>
      <c r="DA13" s="496">
        <v>72</v>
      </c>
      <c r="DB13" s="496">
        <v>136</v>
      </c>
      <c r="DC13" s="496" t="s">
        <v>721</v>
      </c>
      <c r="DD13" s="496" t="s">
        <v>721</v>
      </c>
      <c r="DE13" s="496">
        <v>472</v>
      </c>
      <c r="DF13" s="496">
        <v>197</v>
      </c>
      <c r="DG13" s="496" t="s">
        <v>721</v>
      </c>
      <c r="DH13" s="496" t="s">
        <v>721</v>
      </c>
      <c r="DI13" s="496" t="s">
        <v>721</v>
      </c>
      <c r="DJ13" s="496" t="s">
        <v>721</v>
      </c>
      <c r="DK13" s="496">
        <v>34</v>
      </c>
      <c r="DL13" s="496" t="s">
        <v>721</v>
      </c>
      <c r="DM13" s="496" t="s">
        <v>721</v>
      </c>
      <c r="DN13" s="496">
        <v>54</v>
      </c>
      <c r="DO13" s="496" t="s">
        <v>721</v>
      </c>
      <c r="DP13" s="496" t="s">
        <v>721</v>
      </c>
      <c r="DQ13" s="496">
        <v>23</v>
      </c>
      <c r="DR13" s="496">
        <v>55</v>
      </c>
      <c r="DS13" s="483" t="s">
        <v>721</v>
      </c>
      <c r="DT13" s="483" t="s">
        <v>721</v>
      </c>
      <c r="DU13" s="483" t="s">
        <v>721</v>
      </c>
      <c r="DV13" s="496">
        <v>2804</v>
      </c>
      <c r="DW13" s="497">
        <v>461918.3</v>
      </c>
      <c r="DX13" s="496">
        <v>4088</v>
      </c>
      <c r="DY13" s="497">
        <v>591451.9</v>
      </c>
      <c r="DZ13" s="496">
        <v>6456</v>
      </c>
      <c r="EA13" s="497">
        <v>707878.2</v>
      </c>
      <c r="EB13" s="496">
        <v>5234</v>
      </c>
      <c r="EC13" s="497">
        <v>548073.4</v>
      </c>
      <c r="ED13" s="496">
        <v>4179</v>
      </c>
      <c r="EE13" s="497">
        <v>462594.6</v>
      </c>
      <c r="EF13" s="496">
        <v>2383</v>
      </c>
      <c r="EG13" s="497">
        <v>316134</v>
      </c>
      <c r="EH13" s="485">
        <v>20394</v>
      </c>
      <c r="EI13" s="486">
        <v>64818.8</v>
      </c>
      <c r="EJ13" s="485">
        <v>20527</v>
      </c>
      <c r="EK13" s="486">
        <v>473443.6</v>
      </c>
      <c r="EL13" s="485">
        <v>20264</v>
      </c>
      <c r="EM13" s="486">
        <v>187007.4</v>
      </c>
      <c r="EN13" s="485">
        <v>20897</v>
      </c>
      <c r="EO13" s="486">
        <v>105190.7</v>
      </c>
      <c r="EP13" s="485">
        <v>20283</v>
      </c>
      <c r="EQ13" s="486">
        <v>57113</v>
      </c>
      <c r="ER13" s="485">
        <v>20392</v>
      </c>
      <c r="ES13" s="486">
        <v>36717.1</v>
      </c>
      <c r="ET13" s="485">
        <v>4</v>
      </c>
      <c r="EU13" s="485">
        <v>18137</v>
      </c>
      <c r="EV13" s="486">
        <v>287071.5</v>
      </c>
      <c r="EW13" s="485">
        <v>3736</v>
      </c>
      <c r="EX13" s="486">
        <v>20409.7</v>
      </c>
      <c r="EY13" s="485">
        <v>7541</v>
      </c>
      <c r="EZ13" s="486">
        <v>94292.4</v>
      </c>
      <c r="FA13" s="485">
        <v>3148</v>
      </c>
      <c r="FB13" s="486">
        <v>33184.300000000003</v>
      </c>
      <c r="FC13" s="485">
        <v>21838</v>
      </c>
      <c r="FD13" s="486">
        <v>274815.59999999998</v>
      </c>
      <c r="FE13" s="485">
        <v>22131</v>
      </c>
      <c r="FF13" s="486">
        <v>183945.5</v>
      </c>
      <c r="FG13" s="485">
        <v>9480</v>
      </c>
      <c r="FH13" s="486">
        <v>93334.3</v>
      </c>
      <c r="FI13" s="485">
        <v>17468</v>
      </c>
      <c r="FJ13" s="486">
        <v>113747.7</v>
      </c>
      <c r="FK13" s="485">
        <v>18467</v>
      </c>
      <c r="FL13" s="486">
        <v>63578</v>
      </c>
      <c r="FM13" s="485">
        <v>1320</v>
      </c>
      <c r="FN13" s="486">
        <v>3469</v>
      </c>
      <c r="FO13" s="485">
        <v>20470</v>
      </c>
      <c r="FP13" s="486">
        <v>173048.2</v>
      </c>
      <c r="FQ13" s="485">
        <v>20661</v>
      </c>
      <c r="FR13" s="486">
        <v>94375.2</v>
      </c>
      <c r="FS13" s="485">
        <v>268</v>
      </c>
      <c r="FT13" s="486">
        <v>3108.8</v>
      </c>
      <c r="FU13" s="485">
        <v>1</v>
      </c>
      <c r="FV13" s="486">
        <v>5</v>
      </c>
      <c r="FW13" s="485">
        <v>0</v>
      </c>
      <c r="FX13" s="486">
        <v>0</v>
      </c>
      <c r="FY13" s="485">
        <v>1</v>
      </c>
      <c r="FZ13" s="486">
        <v>2</v>
      </c>
      <c r="GA13" s="485">
        <v>0</v>
      </c>
      <c r="GB13" s="485">
        <v>0</v>
      </c>
      <c r="GC13" s="487">
        <v>0</v>
      </c>
      <c r="GD13" s="488">
        <v>27</v>
      </c>
      <c r="GE13" s="488">
        <v>1493</v>
      </c>
      <c r="GF13" s="488">
        <v>7931</v>
      </c>
      <c r="GG13" s="488">
        <v>36</v>
      </c>
      <c r="GH13" s="488">
        <v>12</v>
      </c>
      <c r="GI13" s="488">
        <v>14</v>
      </c>
      <c r="GJ13" s="488">
        <v>7</v>
      </c>
      <c r="GK13" s="488">
        <v>4492</v>
      </c>
      <c r="GL13" s="488">
        <v>4890</v>
      </c>
      <c r="GM13" s="488">
        <v>9451</v>
      </c>
      <c r="GN13" s="488">
        <v>3965</v>
      </c>
      <c r="GO13" s="488">
        <v>734</v>
      </c>
      <c r="GP13" s="488">
        <v>20</v>
      </c>
      <c r="GQ13" s="488">
        <v>327</v>
      </c>
      <c r="GR13" s="488">
        <v>60</v>
      </c>
      <c r="GS13" s="488">
        <v>407</v>
      </c>
      <c r="GT13" s="489">
        <v>17569</v>
      </c>
      <c r="GU13" s="488">
        <v>8</v>
      </c>
      <c r="GV13" s="490">
        <v>0</v>
      </c>
      <c r="GW13" s="490">
        <v>12</v>
      </c>
      <c r="GX13" s="490">
        <v>20</v>
      </c>
      <c r="GY13" s="491">
        <v>36</v>
      </c>
      <c r="GZ13" s="491">
        <v>24</v>
      </c>
      <c r="HA13" s="491">
        <v>60</v>
      </c>
      <c r="HB13" s="475">
        <v>4</v>
      </c>
      <c r="HC13" s="475">
        <v>9</v>
      </c>
      <c r="HD13" s="475">
        <v>0</v>
      </c>
      <c r="HE13" s="475">
        <v>0</v>
      </c>
      <c r="HF13" s="475">
        <v>0</v>
      </c>
      <c r="HG13" s="475">
        <v>5</v>
      </c>
      <c r="HH13" s="475">
        <v>3</v>
      </c>
      <c r="HI13" s="475">
        <v>0</v>
      </c>
      <c r="HJ13" s="475">
        <v>1</v>
      </c>
      <c r="HK13" s="475">
        <v>0</v>
      </c>
      <c r="HL13" s="475">
        <v>16</v>
      </c>
      <c r="HM13" s="475">
        <v>2</v>
      </c>
      <c r="HN13" s="475">
        <v>0</v>
      </c>
      <c r="HO13" s="475">
        <v>3</v>
      </c>
      <c r="HP13" s="475">
        <v>0</v>
      </c>
      <c r="HQ13" s="475">
        <v>4</v>
      </c>
      <c r="HR13" s="475">
        <v>103</v>
      </c>
      <c r="HS13" s="475">
        <v>0</v>
      </c>
      <c r="HT13" s="475">
        <v>0</v>
      </c>
      <c r="HU13" s="475">
        <v>0</v>
      </c>
      <c r="HV13" s="475">
        <v>0</v>
      </c>
      <c r="HW13" s="475">
        <v>0</v>
      </c>
      <c r="HX13" s="475">
        <v>0</v>
      </c>
      <c r="HY13" s="475">
        <v>0</v>
      </c>
      <c r="HZ13" s="475">
        <v>142</v>
      </c>
      <c r="IA13" s="475">
        <v>354</v>
      </c>
      <c r="IB13" s="475">
        <v>86</v>
      </c>
      <c r="IC13" s="475">
        <v>34</v>
      </c>
      <c r="ID13" s="475" t="s">
        <v>721</v>
      </c>
      <c r="IE13" s="475" t="s">
        <v>721</v>
      </c>
      <c r="IF13" s="475">
        <v>26</v>
      </c>
      <c r="IG13" s="475" t="s">
        <v>721</v>
      </c>
      <c r="IH13" s="475" t="s">
        <v>721</v>
      </c>
      <c r="II13" s="475" t="s">
        <v>721</v>
      </c>
      <c r="IJ13" s="475" t="s">
        <v>721</v>
      </c>
      <c r="IK13" s="475" t="s">
        <v>721</v>
      </c>
      <c r="IL13" s="475" t="s">
        <v>721</v>
      </c>
      <c r="IM13" s="475">
        <v>14</v>
      </c>
      <c r="IN13" s="475" t="s">
        <v>721</v>
      </c>
      <c r="IO13" s="475" t="s">
        <v>721</v>
      </c>
      <c r="IP13" s="475">
        <v>18</v>
      </c>
      <c r="IQ13" s="475" t="s">
        <v>721</v>
      </c>
      <c r="IR13" s="475">
        <v>31</v>
      </c>
      <c r="IS13" s="475">
        <v>91</v>
      </c>
      <c r="IT13" s="475">
        <v>192</v>
      </c>
      <c r="IU13" s="475">
        <v>48</v>
      </c>
      <c r="IV13" s="475">
        <v>23</v>
      </c>
      <c r="IW13" s="475" t="s">
        <v>721</v>
      </c>
      <c r="IX13" s="475" t="s">
        <v>721</v>
      </c>
      <c r="IY13" s="475">
        <v>16</v>
      </c>
      <c r="IZ13" s="475" t="s">
        <v>721</v>
      </c>
      <c r="JA13" s="475" t="s">
        <v>721</v>
      </c>
      <c r="JB13" s="475" t="s">
        <v>721</v>
      </c>
      <c r="JC13" s="475" t="s">
        <v>721</v>
      </c>
      <c r="JD13" s="475" t="s">
        <v>721</v>
      </c>
      <c r="JE13" s="475" t="s">
        <v>721</v>
      </c>
      <c r="JF13" s="475" t="s">
        <v>721</v>
      </c>
      <c r="JG13" s="475" t="s">
        <v>721</v>
      </c>
      <c r="JH13" s="475" t="s">
        <v>721</v>
      </c>
      <c r="JI13" s="475" t="s">
        <v>721</v>
      </c>
      <c r="JJ13" s="475" t="s">
        <v>721</v>
      </c>
      <c r="JK13" s="475">
        <v>11</v>
      </c>
      <c r="JL13" s="755">
        <v>623743.5</v>
      </c>
      <c r="JM13" s="755">
        <v>1389525</v>
      </c>
      <c r="JN13" s="755">
        <v>380374.7</v>
      </c>
      <c r="JO13" s="755">
        <v>165065.1</v>
      </c>
      <c r="JP13" s="755">
        <v>21385.7</v>
      </c>
      <c r="JQ13" s="755">
        <v>25447.4</v>
      </c>
      <c r="JR13" s="755">
        <v>57835.7</v>
      </c>
      <c r="JS13" s="755">
        <v>1848.9</v>
      </c>
      <c r="JT13" s="755">
        <v>16218</v>
      </c>
      <c r="JU13" s="755">
        <v>46725.2</v>
      </c>
      <c r="JV13" s="755">
        <v>2163.5</v>
      </c>
      <c r="JW13" s="755">
        <v>1761.8</v>
      </c>
      <c r="JX13" s="755">
        <v>626.1</v>
      </c>
      <c r="JY13" s="755">
        <v>82104.399999999994</v>
      </c>
      <c r="JZ13" s="755">
        <v>1447.6</v>
      </c>
      <c r="KA13" s="755">
        <v>97.6</v>
      </c>
      <c r="KB13" s="755">
        <v>145728.5</v>
      </c>
      <c r="KC13" s="755">
        <v>14889.5</v>
      </c>
      <c r="KD13" s="755">
        <v>111062.2</v>
      </c>
      <c r="KE13" s="475">
        <v>688</v>
      </c>
      <c r="KF13" s="475">
        <v>1593</v>
      </c>
      <c r="KG13" s="475">
        <v>279</v>
      </c>
      <c r="KH13" s="475">
        <v>183</v>
      </c>
      <c r="KI13" s="475">
        <v>13</v>
      </c>
      <c r="KJ13" s="475">
        <v>28</v>
      </c>
      <c r="KK13" s="475">
        <v>75</v>
      </c>
      <c r="KL13" s="475" t="s">
        <v>721</v>
      </c>
      <c r="KM13" s="475">
        <v>18</v>
      </c>
      <c r="KN13" s="475">
        <v>44</v>
      </c>
      <c r="KO13" s="475" t="s">
        <v>721</v>
      </c>
      <c r="KP13" s="475" t="s">
        <v>721</v>
      </c>
      <c r="KQ13" s="475" t="s">
        <v>721</v>
      </c>
      <c r="KR13" s="475">
        <v>56</v>
      </c>
      <c r="KS13" s="475" t="s">
        <v>721</v>
      </c>
      <c r="KT13" s="475" t="s">
        <v>721</v>
      </c>
      <c r="KU13" s="475">
        <v>98</v>
      </c>
      <c r="KV13" s="475">
        <v>16</v>
      </c>
      <c r="KW13" s="475">
        <v>154</v>
      </c>
      <c r="KX13" s="475">
        <v>877</v>
      </c>
      <c r="KY13" s="475">
        <v>2283</v>
      </c>
      <c r="KZ13" s="475">
        <v>489</v>
      </c>
      <c r="LA13" s="475">
        <v>317</v>
      </c>
      <c r="LB13" s="475">
        <v>40</v>
      </c>
      <c r="LC13" s="475">
        <v>48</v>
      </c>
      <c r="LD13" s="475">
        <v>65</v>
      </c>
      <c r="LE13" s="475" t="s">
        <v>721</v>
      </c>
      <c r="LF13" s="475">
        <v>21</v>
      </c>
      <c r="LG13" s="475">
        <v>98</v>
      </c>
      <c r="LH13" s="475" t="s">
        <v>721</v>
      </c>
      <c r="LI13" s="475" t="s">
        <v>721</v>
      </c>
      <c r="LJ13" s="475" t="s">
        <v>721</v>
      </c>
      <c r="LK13" s="475">
        <v>201</v>
      </c>
      <c r="LL13" s="475" t="s">
        <v>721</v>
      </c>
      <c r="LM13" s="475" t="s">
        <v>721</v>
      </c>
      <c r="LN13" s="475">
        <v>229</v>
      </c>
      <c r="LO13" s="475">
        <v>20</v>
      </c>
      <c r="LP13" s="475">
        <v>158</v>
      </c>
      <c r="LQ13" s="475">
        <v>3043</v>
      </c>
      <c r="LR13" s="475">
        <v>7287</v>
      </c>
      <c r="LS13" s="475">
        <v>1893</v>
      </c>
      <c r="LT13" s="475">
        <v>891</v>
      </c>
      <c r="LU13" s="475">
        <v>137</v>
      </c>
      <c r="LV13" s="475">
        <v>113</v>
      </c>
      <c r="LW13" s="475">
        <v>346</v>
      </c>
      <c r="LX13" s="475" t="s">
        <v>721</v>
      </c>
      <c r="LY13" s="475">
        <v>83</v>
      </c>
      <c r="LZ13" s="475">
        <v>193</v>
      </c>
      <c r="MA13" s="475" t="s">
        <v>721</v>
      </c>
      <c r="MB13" s="475">
        <v>11</v>
      </c>
      <c r="MC13" s="475" t="s">
        <v>721</v>
      </c>
      <c r="MD13" s="475">
        <v>378</v>
      </c>
      <c r="ME13" s="475" t="s">
        <v>721</v>
      </c>
      <c r="MF13" s="475" t="s">
        <v>721</v>
      </c>
      <c r="MG13" s="475">
        <v>702</v>
      </c>
      <c r="MH13" s="475">
        <v>74</v>
      </c>
      <c r="MI13" s="475">
        <v>675</v>
      </c>
      <c r="MJ13" s="475">
        <v>1785</v>
      </c>
      <c r="MK13" s="475">
        <v>4003</v>
      </c>
      <c r="ML13" s="475">
        <v>1207</v>
      </c>
      <c r="MM13" s="475">
        <v>508</v>
      </c>
      <c r="MN13" s="475">
        <v>59</v>
      </c>
      <c r="MO13" s="475">
        <v>82</v>
      </c>
      <c r="MP13" s="475">
        <v>134</v>
      </c>
      <c r="MQ13" s="475" t="s">
        <v>721</v>
      </c>
      <c r="MR13" s="475">
        <v>49</v>
      </c>
      <c r="MS13" s="475">
        <v>172</v>
      </c>
      <c r="MT13" s="475" t="s">
        <v>721</v>
      </c>
      <c r="MU13" s="475" t="s">
        <v>721</v>
      </c>
      <c r="MV13" s="475" t="s">
        <v>721</v>
      </c>
      <c r="MW13" s="475">
        <v>323</v>
      </c>
      <c r="MX13" s="475" t="s">
        <v>721</v>
      </c>
      <c r="MY13" s="475" t="s">
        <v>721</v>
      </c>
      <c r="MZ13" s="475">
        <v>510</v>
      </c>
      <c r="NA13" s="475">
        <v>46</v>
      </c>
      <c r="NB13" s="475">
        <v>277</v>
      </c>
      <c r="NC13" s="476">
        <v>0.55800000000000005</v>
      </c>
      <c r="ND13" s="476">
        <v>0.442</v>
      </c>
      <c r="NE13" s="476">
        <v>0.193</v>
      </c>
      <c r="NF13" s="476">
        <v>0.45100000000000001</v>
      </c>
      <c r="NG13" s="476">
        <v>0.124</v>
      </c>
      <c r="NH13" s="476">
        <v>5.6000000000000001E-2</v>
      </c>
      <c r="NI13" s="476">
        <v>8.0000000000000002E-3</v>
      </c>
      <c r="NJ13" s="476">
        <v>8.0000000000000002E-3</v>
      </c>
      <c r="NK13" s="476">
        <v>1.9E-2</v>
      </c>
      <c r="NL13" s="476">
        <v>1E-3</v>
      </c>
      <c r="NM13" s="476">
        <v>5.0000000000000001E-3</v>
      </c>
      <c r="NN13" s="476">
        <v>1.4999999999999999E-2</v>
      </c>
      <c r="NO13" s="476">
        <v>1E-3</v>
      </c>
      <c r="NP13" s="476">
        <v>1E-3</v>
      </c>
      <c r="NQ13" s="476" t="s">
        <v>721</v>
      </c>
      <c r="NR13" s="476">
        <v>2.8000000000000001E-2</v>
      </c>
      <c r="NS13" s="476" t="s">
        <v>721</v>
      </c>
      <c r="NT13" s="476" t="s">
        <v>721</v>
      </c>
      <c r="NU13" s="476">
        <v>4.8000000000000001E-2</v>
      </c>
      <c r="NV13" s="476">
        <v>5.0000000000000001E-3</v>
      </c>
      <c r="NW13" s="476">
        <v>3.7999999999999999E-2</v>
      </c>
      <c r="NX13" s="476">
        <v>1E-3</v>
      </c>
      <c r="NY13" s="476">
        <v>0.185</v>
      </c>
      <c r="NZ13" s="476">
        <v>3.0000000000000001E-3</v>
      </c>
      <c r="OA13" s="476" t="s">
        <v>721</v>
      </c>
      <c r="OB13" s="476" t="s">
        <v>721</v>
      </c>
      <c r="OC13" s="476">
        <v>2E-3</v>
      </c>
      <c r="OD13" s="476">
        <v>2.9000000000000001E-2</v>
      </c>
      <c r="OE13" s="476">
        <v>0.65700000000000003</v>
      </c>
      <c r="OF13" s="476" t="s">
        <v>721</v>
      </c>
      <c r="OG13" s="476" t="s">
        <v>721</v>
      </c>
      <c r="OH13" s="476">
        <v>1E-3</v>
      </c>
      <c r="OI13" s="476" t="s">
        <v>721</v>
      </c>
      <c r="OJ13" s="476">
        <v>1.2E-2</v>
      </c>
      <c r="OK13" s="476">
        <v>1.0999999999999999E-2</v>
      </c>
      <c r="OL13" s="476" t="s">
        <v>721</v>
      </c>
      <c r="OM13" s="476">
        <v>1E-3</v>
      </c>
      <c r="ON13" s="476">
        <v>4.8000000000000001E-2</v>
      </c>
      <c r="OO13" s="476">
        <v>0.03</v>
      </c>
      <c r="OP13" s="476" t="s">
        <v>721</v>
      </c>
      <c r="OQ13" s="476" t="s">
        <v>721</v>
      </c>
      <c r="OR13" s="476" t="s">
        <v>721</v>
      </c>
      <c r="OS13" s="476" t="s">
        <v>721</v>
      </c>
      <c r="OT13" s="476">
        <v>3.0000000000000001E-3</v>
      </c>
      <c r="OU13" s="476" t="s">
        <v>721</v>
      </c>
      <c r="OV13" s="476" t="s">
        <v>721</v>
      </c>
      <c r="OW13" s="476">
        <v>3.0000000000000001E-3</v>
      </c>
      <c r="OX13" s="476" t="s">
        <v>721</v>
      </c>
      <c r="OY13" s="476" t="s">
        <v>721</v>
      </c>
      <c r="OZ13" s="476">
        <v>1E-3</v>
      </c>
      <c r="PA13" s="476">
        <v>4.0000000000000001E-3</v>
      </c>
      <c r="PB13" s="476" t="s">
        <v>721</v>
      </c>
      <c r="PC13" s="476">
        <v>6.0000000000000001E-3</v>
      </c>
      <c r="PD13" s="476" t="s">
        <v>721</v>
      </c>
      <c r="PE13" s="476">
        <v>1E-3</v>
      </c>
      <c r="PF13" s="476">
        <v>0.108</v>
      </c>
      <c r="PG13" s="476">
        <v>2E-3</v>
      </c>
      <c r="PH13" s="476" t="s">
        <v>721</v>
      </c>
      <c r="PI13" s="476" t="s">
        <v>721</v>
      </c>
      <c r="PJ13" s="476">
        <v>1E-3</v>
      </c>
      <c r="PK13" s="476">
        <v>1.4E-2</v>
      </c>
      <c r="PL13" s="476">
        <v>0.81499999999999995</v>
      </c>
      <c r="PM13" s="476">
        <v>1.0999999999999999E-2</v>
      </c>
      <c r="PN13" s="476" t="s">
        <v>721</v>
      </c>
      <c r="PO13" s="476">
        <v>1E-3</v>
      </c>
      <c r="PP13" s="476">
        <v>1E-3</v>
      </c>
      <c r="PQ13" s="476">
        <v>3.0000000000000001E-3</v>
      </c>
      <c r="PR13" s="476">
        <v>6.0000000000000001E-3</v>
      </c>
      <c r="PS13" s="476" t="s">
        <v>721</v>
      </c>
      <c r="PT13" s="476" t="s">
        <v>721</v>
      </c>
      <c r="PU13" s="476">
        <v>2.1000000000000001E-2</v>
      </c>
      <c r="PV13" s="476">
        <v>8.9999999999999993E-3</v>
      </c>
      <c r="PW13" s="476" t="s">
        <v>721</v>
      </c>
      <c r="PX13" s="476" t="s">
        <v>721</v>
      </c>
      <c r="PY13" s="476" t="s">
        <v>721</v>
      </c>
      <c r="PZ13" s="476" t="s">
        <v>721</v>
      </c>
      <c r="QA13" s="476">
        <v>1E-3</v>
      </c>
      <c r="QB13" s="476" t="s">
        <v>721</v>
      </c>
      <c r="QC13" s="476" t="s">
        <v>721</v>
      </c>
      <c r="QD13" s="476">
        <v>2E-3</v>
      </c>
      <c r="QE13" s="476" t="s">
        <v>721</v>
      </c>
      <c r="QF13" s="476" t="s">
        <v>721</v>
      </c>
      <c r="QG13" s="476">
        <v>1E-3</v>
      </c>
      <c r="QH13" s="476">
        <v>2E-3</v>
      </c>
      <c r="QI13" s="476" t="s">
        <v>721</v>
      </c>
      <c r="QJ13" s="476" t="s">
        <v>721</v>
      </c>
      <c r="QK13" s="476" t="s">
        <v>721</v>
      </c>
      <c r="QL13" s="476">
        <v>0.193</v>
      </c>
      <c r="QM13" s="476">
        <v>0.48199999999999998</v>
      </c>
      <c r="QN13" s="476">
        <v>0.11700000000000001</v>
      </c>
      <c r="QO13" s="476">
        <v>4.5999999999999999E-2</v>
      </c>
      <c r="QP13" s="476" t="s">
        <v>721</v>
      </c>
      <c r="QQ13" s="476" t="s">
        <v>721</v>
      </c>
      <c r="QR13" s="476">
        <v>3.5000000000000003E-2</v>
      </c>
      <c r="QS13" s="476" t="s">
        <v>721</v>
      </c>
      <c r="QT13" s="476" t="s">
        <v>721</v>
      </c>
      <c r="QU13" s="476" t="s">
        <v>721</v>
      </c>
      <c r="QV13" s="476" t="s">
        <v>721</v>
      </c>
      <c r="QW13" s="476" t="s">
        <v>721</v>
      </c>
      <c r="QX13" s="476" t="s">
        <v>721</v>
      </c>
      <c r="QY13" s="476">
        <v>1.9E-2</v>
      </c>
      <c r="QZ13" s="476" t="s">
        <v>721</v>
      </c>
      <c r="RA13" s="476" t="s">
        <v>721</v>
      </c>
      <c r="RB13" s="476">
        <v>2.5000000000000001E-2</v>
      </c>
      <c r="RC13" s="476" t="s">
        <v>721</v>
      </c>
      <c r="RD13" s="476">
        <v>4.2000000000000003E-2</v>
      </c>
      <c r="RE13" s="476">
        <v>0.224</v>
      </c>
      <c r="RF13" s="476">
        <v>0.47199999999999998</v>
      </c>
      <c r="RG13" s="476">
        <v>0.11799999999999999</v>
      </c>
      <c r="RH13" s="476">
        <v>5.7000000000000002E-2</v>
      </c>
      <c r="RI13" s="476" t="s">
        <v>721</v>
      </c>
      <c r="RJ13" s="476" t="s">
        <v>721</v>
      </c>
      <c r="RK13" s="476">
        <v>3.9E-2</v>
      </c>
      <c r="RL13" s="476" t="s">
        <v>721</v>
      </c>
      <c r="RM13" s="476" t="s">
        <v>721</v>
      </c>
      <c r="RN13" s="476" t="s">
        <v>721</v>
      </c>
      <c r="RO13" s="476" t="s">
        <v>721</v>
      </c>
      <c r="RP13" s="476" t="s">
        <v>721</v>
      </c>
      <c r="RQ13" s="476" t="s">
        <v>721</v>
      </c>
      <c r="RR13" s="476" t="s">
        <v>721</v>
      </c>
      <c r="RS13" s="476" t="s">
        <v>721</v>
      </c>
      <c r="RT13" s="476" t="s">
        <v>721</v>
      </c>
      <c r="RU13" s="476" t="s">
        <v>721</v>
      </c>
      <c r="RV13" s="476" t="s">
        <v>721</v>
      </c>
      <c r="RW13" s="476">
        <v>2.7E-2</v>
      </c>
      <c r="RX13" s="476">
        <v>0.20200000000000001</v>
      </c>
      <c r="RY13" s="476">
        <v>0.45</v>
      </c>
      <c r="RZ13" s="476">
        <v>0.123</v>
      </c>
      <c r="SA13" s="476">
        <v>5.2999999999999999E-2</v>
      </c>
      <c r="SB13" s="476">
        <v>7.0000000000000001E-3</v>
      </c>
      <c r="SC13" s="476">
        <v>8.0000000000000002E-3</v>
      </c>
      <c r="SD13" s="476">
        <v>1.9E-2</v>
      </c>
      <c r="SE13" s="476">
        <v>1E-3</v>
      </c>
      <c r="SF13" s="476">
        <v>5.0000000000000001E-3</v>
      </c>
      <c r="SG13" s="476">
        <v>1.4999999999999999E-2</v>
      </c>
      <c r="SH13" s="476">
        <v>1E-3</v>
      </c>
      <c r="SI13" s="476">
        <v>1E-3</v>
      </c>
      <c r="SJ13" s="476">
        <v>0</v>
      </c>
      <c r="SK13" s="476">
        <v>2.7E-2</v>
      </c>
      <c r="SL13" s="476">
        <v>0</v>
      </c>
      <c r="SM13" s="476">
        <v>0</v>
      </c>
      <c r="SN13" s="476">
        <v>4.7E-2</v>
      </c>
      <c r="SO13" s="476">
        <v>5.0000000000000001E-3</v>
      </c>
      <c r="SP13" s="476">
        <v>3.5999999999999997E-2</v>
      </c>
      <c r="SQ13" s="476">
        <v>0.21099999999999999</v>
      </c>
      <c r="SR13" s="476">
        <v>0.49</v>
      </c>
      <c r="SS13" s="476">
        <v>8.5999999999999993E-2</v>
      </c>
      <c r="ST13" s="476">
        <v>5.6000000000000001E-2</v>
      </c>
      <c r="SU13" s="476">
        <v>4.0000000000000001E-3</v>
      </c>
      <c r="SV13" s="476">
        <v>8.9999999999999993E-3</v>
      </c>
      <c r="SW13" s="476">
        <v>2.3E-2</v>
      </c>
      <c r="SX13" s="476" t="s">
        <v>721</v>
      </c>
      <c r="SY13" s="476">
        <v>6.0000000000000001E-3</v>
      </c>
      <c r="SZ13" s="476">
        <v>1.4E-2</v>
      </c>
      <c r="TA13" s="476" t="s">
        <v>721</v>
      </c>
      <c r="TB13" s="476" t="s">
        <v>721</v>
      </c>
      <c r="TC13" s="476" t="s">
        <v>721</v>
      </c>
      <c r="TD13" s="476">
        <v>1.7000000000000001E-2</v>
      </c>
      <c r="TE13" s="476" t="s">
        <v>721</v>
      </c>
      <c r="TF13" s="476" t="s">
        <v>721</v>
      </c>
      <c r="TG13" s="476">
        <v>0.03</v>
      </c>
      <c r="TH13" s="476">
        <v>5.0000000000000001E-3</v>
      </c>
      <c r="TI13" s="476">
        <v>4.7E-2</v>
      </c>
      <c r="TJ13" s="476">
        <v>0.18099999999999999</v>
      </c>
      <c r="TK13" s="476">
        <v>0.47</v>
      </c>
      <c r="TL13" s="476">
        <v>0.10100000000000001</v>
      </c>
      <c r="TM13" s="476">
        <v>6.5000000000000002E-2</v>
      </c>
      <c r="TN13" s="476">
        <v>8.0000000000000002E-3</v>
      </c>
      <c r="TO13" s="476">
        <v>0.01</v>
      </c>
      <c r="TP13" s="476">
        <v>1.2999999999999999E-2</v>
      </c>
      <c r="TQ13" s="476" t="s">
        <v>721</v>
      </c>
      <c r="TR13" s="476">
        <v>4.0000000000000001E-3</v>
      </c>
      <c r="TS13" s="476">
        <v>0.02</v>
      </c>
      <c r="TT13" s="476" t="s">
        <v>721</v>
      </c>
      <c r="TU13" s="476" t="s">
        <v>721</v>
      </c>
      <c r="TV13" s="476" t="s">
        <v>721</v>
      </c>
      <c r="TW13" s="476">
        <v>4.1000000000000002E-2</v>
      </c>
      <c r="TX13" s="476" t="s">
        <v>721</v>
      </c>
      <c r="TY13" s="476" t="s">
        <v>721</v>
      </c>
      <c r="TZ13" s="476">
        <v>4.7E-2</v>
      </c>
      <c r="UA13" s="476">
        <v>4.0000000000000001E-3</v>
      </c>
      <c r="UB13" s="476">
        <v>3.3000000000000002E-2</v>
      </c>
      <c r="UC13" s="476">
        <v>0.192</v>
      </c>
      <c r="UD13" s="476">
        <v>0.46</v>
      </c>
      <c r="UE13" s="476">
        <v>0.11899999999999999</v>
      </c>
      <c r="UF13" s="476">
        <v>5.6000000000000001E-2</v>
      </c>
      <c r="UG13" s="476">
        <v>8.9999999999999993E-3</v>
      </c>
      <c r="UH13" s="476">
        <v>7.0000000000000001E-3</v>
      </c>
      <c r="UI13" s="476">
        <v>2.1999999999999999E-2</v>
      </c>
      <c r="UJ13" s="476" t="s">
        <v>721</v>
      </c>
      <c r="UK13" s="476">
        <v>5.0000000000000001E-3</v>
      </c>
      <c r="UL13" s="476">
        <v>1.2E-2</v>
      </c>
      <c r="UM13" s="476" t="s">
        <v>721</v>
      </c>
      <c r="UN13" s="476">
        <v>1E-3</v>
      </c>
      <c r="UO13" s="476" t="s">
        <v>721</v>
      </c>
      <c r="UP13" s="476">
        <v>2.4E-2</v>
      </c>
      <c r="UQ13" s="476" t="s">
        <v>721</v>
      </c>
      <c r="UR13" s="476" t="s">
        <v>721</v>
      </c>
      <c r="US13" s="476">
        <v>4.3999999999999997E-2</v>
      </c>
      <c r="UT13" s="476">
        <v>5.0000000000000001E-3</v>
      </c>
      <c r="UU13" s="476">
        <v>4.2999999999999997E-2</v>
      </c>
      <c r="UV13" s="476">
        <v>0.19500000000000001</v>
      </c>
      <c r="UW13" s="476">
        <v>0.436</v>
      </c>
      <c r="UX13" s="476">
        <v>0.13200000000000001</v>
      </c>
      <c r="UY13" s="476">
        <v>5.5E-2</v>
      </c>
      <c r="UZ13" s="476">
        <v>6.0000000000000001E-3</v>
      </c>
      <c r="VA13" s="476">
        <v>8.9999999999999993E-3</v>
      </c>
      <c r="VB13" s="476">
        <v>1.4999999999999999E-2</v>
      </c>
      <c r="VC13" s="476" t="s">
        <v>721</v>
      </c>
      <c r="VD13" s="476">
        <v>5.0000000000000001E-3</v>
      </c>
      <c r="VE13" s="476">
        <v>1.9E-2</v>
      </c>
      <c r="VF13" s="476" t="s">
        <v>721</v>
      </c>
      <c r="VG13" s="476" t="s">
        <v>721</v>
      </c>
      <c r="VH13" s="476" t="s">
        <v>721</v>
      </c>
      <c r="VI13" s="476">
        <v>3.5000000000000003E-2</v>
      </c>
      <c r="VJ13" s="476" t="s">
        <v>721</v>
      </c>
      <c r="VK13" s="476" t="s">
        <v>721</v>
      </c>
      <c r="VL13" s="476">
        <v>5.6000000000000001E-2</v>
      </c>
      <c r="VM13" s="476">
        <v>5.0000000000000001E-3</v>
      </c>
      <c r="VN13" s="476">
        <v>0.03</v>
      </c>
      <c r="VO13" s="28"/>
      <c r="VP13" s="28"/>
      <c r="VQ13" s="28"/>
      <c r="VR13" s="28"/>
      <c r="VS13" s="28"/>
      <c r="VT13" s="28"/>
      <c r="VU13" s="28"/>
      <c r="VV13" s="28"/>
      <c r="VW13" s="28"/>
      <c r="VX13" s="28"/>
      <c r="VY13" s="28"/>
      <c r="VZ13" s="28"/>
      <c r="WA13" s="28"/>
      <c r="WB13" s="28"/>
      <c r="WC13" s="28"/>
      <c r="WD13" s="28"/>
      <c r="WE13" s="28"/>
      <c r="WF13" s="28"/>
      <c r="WG13" s="28"/>
      <c r="WH13" s="28"/>
      <c r="WI13" s="28"/>
      <c r="WJ13" s="28"/>
      <c r="WK13" s="28"/>
      <c r="WL13" s="28"/>
      <c r="WM13" s="28"/>
      <c r="WN13" s="28"/>
      <c r="WO13" s="28"/>
      <c r="WP13" s="28"/>
      <c r="WQ13" s="28"/>
      <c r="WR13" s="28"/>
      <c r="WS13" s="28"/>
      <c r="WT13" s="28"/>
      <c r="WU13" s="28"/>
      <c r="WV13" s="28"/>
      <c r="WW13" s="28"/>
    </row>
    <row r="14" spans="1:621" s="151" customFormat="1" ht="15.75" customHeight="1" x14ac:dyDescent="0.35">
      <c r="A14" s="477" t="s">
        <v>24</v>
      </c>
      <c r="B14" s="492" t="s">
        <v>15</v>
      </c>
      <c r="C14" s="493">
        <v>16.25</v>
      </c>
      <c r="D14" s="494">
        <v>578</v>
      </c>
      <c r="E14" s="473">
        <v>68670.100000000006</v>
      </c>
      <c r="F14" s="473">
        <v>118.8</v>
      </c>
      <c r="G14" s="474">
        <v>556</v>
      </c>
      <c r="H14" s="474">
        <v>557</v>
      </c>
      <c r="I14" s="474">
        <v>512</v>
      </c>
      <c r="J14" s="474">
        <v>387</v>
      </c>
      <c r="K14" s="474">
        <v>190</v>
      </c>
      <c r="L14" s="473">
        <v>33794.9</v>
      </c>
      <c r="M14" s="474">
        <v>384</v>
      </c>
      <c r="N14" s="473">
        <v>34875.199999999997</v>
      </c>
      <c r="O14" s="494">
        <v>66</v>
      </c>
      <c r="P14" s="495">
        <v>11895.5</v>
      </c>
      <c r="Q14" s="494">
        <v>73</v>
      </c>
      <c r="R14" s="495">
        <v>3387.4</v>
      </c>
      <c r="S14" s="494">
        <v>94</v>
      </c>
      <c r="T14" s="495">
        <v>11254.2</v>
      </c>
      <c r="U14" s="494">
        <v>4</v>
      </c>
      <c r="V14" s="495">
        <v>696.9</v>
      </c>
      <c r="W14" s="494">
        <v>480</v>
      </c>
      <c r="X14" s="495">
        <v>56719</v>
      </c>
      <c r="Y14" s="494">
        <v>575</v>
      </c>
      <c r="Z14" s="494">
        <v>243</v>
      </c>
      <c r="AA14" s="494">
        <v>354</v>
      </c>
      <c r="AB14" s="494">
        <v>207</v>
      </c>
      <c r="AC14" s="494">
        <v>30</v>
      </c>
      <c r="AD14" s="494">
        <v>90</v>
      </c>
      <c r="AE14" s="494">
        <v>297</v>
      </c>
      <c r="AF14" s="495">
        <v>20550.599999999999</v>
      </c>
      <c r="AG14" s="494">
        <v>247</v>
      </c>
      <c r="AH14" s="495">
        <v>45295.7</v>
      </c>
      <c r="AI14" s="494">
        <v>13</v>
      </c>
      <c r="AJ14" s="495">
        <v>491.5</v>
      </c>
      <c r="AK14" s="494">
        <v>17</v>
      </c>
      <c r="AL14" s="495">
        <v>2332.3000000000002</v>
      </c>
      <c r="AM14" s="496">
        <v>344</v>
      </c>
      <c r="AN14" s="496">
        <v>234</v>
      </c>
      <c r="AO14" s="496">
        <v>294</v>
      </c>
      <c r="AP14" s="496">
        <v>191</v>
      </c>
      <c r="AQ14" s="496" t="s">
        <v>721</v>
      </c>
      <c r="AR14" s="496" t="s">
        <v>721</v>
      </c>
      <c r="AS14" s="496">
        <v>12</v>
      </c>
      <c r="AT14" s="496" t="s">
        <v>721</v>
      </c>
      <c r="AU14" s="496">
        <v>35</v>
      </c>
      <c r="AV14" s="496" t="s">
        <v>721</v>
      </c>
      <c r="AW14" s="496" t="s">
        <v>721</v>
      </c>
      <c r="AX14" s="496" t="s">
        <v>721</v>
      </c>
      <c r="AY14" s="496" t="s">
        <v>721</v>
      </c>
      <c r="AZ14" s="496" t="s">
        <v>721</v>
      </c>
      <c r="BA14" s="496" t="s">
        <v>721</v>
      </c>
      <c r="BB14" s="496" t="s">
        <v>721</v>
      </c>
      <c r="BC14" s="496" t="s">
        <v>721</v>
      </c>
      <c r="BD14" s="496" t="s">
        <v>721</v>
      </c>
      <c r="BE14" s="496">
        <v>27</v>
      </c>
      <c r="BF14" s="496" t="s">
        <v>721</v>
      </c>
      <c r="BG14" s="496" t="s">
        <v>721</v>
      </c>
      <c r="BH14" s="496" t="s">
        <v>721</v>
      </c>
      <c r="BI14" s="496">
        <v>128</v>
      </c>
      <c r="BJ14" s="496" t="s">
        <v>721</v>
      </c>
      <c r="BK14" s="496" t="s">
        <v>721</v>
      </c>
      <c r="BL14" s="496" t="s">
        <v>721</v>
      </c>
      <c r="BM14" s="496" t="s">
        <v>721</v>
      </c>
      <c r="BN14" s="496" t="s">
        <v>721</v>
      </c>
      <c r="BO14" s="496">
        <v>414</v>
      </c>
      <c r="BP14" s="496" t="s">
        <v>721</v>
      </c>
      <c r="BQ14" s="496" t="s">
        <v>721</v>
      </c>
      <c r="BR14" s="496" t="s">
        <v>721</v>
      </c>
      <c r="BS14" s="496" t="s">
        <v>721</v>
      </c>
      <c r="BT14" s="496" t="s">
        <v>721</v>
      </c>
      <c r="BU14" s="496" t="s">
        <v>721</v>
      </c>
      <c r="BV14" s="496" t="s">
        <v>721</v>
      </c>
      <c r="BW14" s="496" t="s">
        <v>721</v>
      </c>
      <c r="BX14" s="496" t="s">
        <v>721</v>
      </c>
      <c r="BY14" s="496">
        <v>18</v>
      </c>
      <c r="BZ14" s="496" t="s">
        <v>721</v>
      </c>
      <c r="CA14" s="496" t="s">
        <v>721</v>
      </c>
      <c r="CB14" s="496" t="s">
        <v>721</v>
      </c>
      <c r="CC14" s="496" t="s">
        <v>721</v>
      </c>
      <c r="CD14" s="496" t="s">
        <v>721</v>
      </c>
      <c r="CE14" s="496" t="s">
        <v>721</v>
      </c>
      <c r="CF14" s="496" t="s">
        <v>721</v>
      </c>
      <c r="CG14" s="496" t="s">
        <v>721</v>
      </c>
      <c r="CH14" s="496" t="s">
        <v>721</v>
      </c>
      <c r="CI14" s="496" t="s">
        <v>721</v>
      </c>
      <c r="CJ14" s="496" t="s">
        <v>721</v>
      </c>
      <c r="CK14" s="496" t="s">
        <v>721</v>
      </c>
      <c r="CL14" s="496" t="s">
        <v>721</v>
      </c>
      <c r="CM14" s="496" t="s">
        <v>721</v>
      </c>
      <c r="CN14" s="496" t="s">
        <v>721</v>
      </c>
      <c r="CO14" s="496" t="s">
        <v>721</v>
      </c>
      <c r="CP14" s="496">
        <v>97</v>
      </c>
      <c r="CQ14" s="496" t="s">
        <v>721</v>
      </c>
      <c r="CR14" s="496" t="s">
        <v>721</v>
      </c>
      <c r="CS14" s="496" t="s">
        <v>721</v>
      </c>
      <c r="CT14" s="496" t="s">
        <v>721</v>
      </c>
      <c r="CU14" s="496" t="s">
        <v>721</v>
      </c>
      <c r="CV14" s="496">
        <v>458</v>
      </c>
      <c r="CW14" s="496">
        <v>11</v>
      </c>
      <c r="CX14" s="496" t="s">
        <v>721</v>
      </c>
      <c r="CY14" s="496" t="s">
        <v>721</v>
      </c>
      <c r="CZ14" s="496" t="s">
        <v>721</v>
      </c>
      <c r="DA14" s="496" t="s">
        <v>721</v>
      </c>
      <c r="DB14" s="496" t="s">
        <v>721</v>
      </c>
      <c r="DC14" s="496" t="s">
        <v>721</v>
      </c>
      <c r="DD14" s="496" t="s">
        <v>721</v>
      </c>
      <c r="DE14" s="496" t="s">
        <v>721</v>
      </c>
      <c r="DF14" s="496" t="s">
        <v>721</v>
      </c>
      <c r="DG14" s="496" t="s">
        <v>721</v>
      </c>
      <c r="DH14" s="496" t="s">
        <v>721</v>
      </c>
      <c r="DI14" s="496" t="s">
        <v>721</v>
      </c>
      <c r="DJ14" s="496" t="s">
        <v>721</v>
      </c>
      <c r="DK14" s="496" t="s">
        <v>721</v>
      </c>
      <c r="DL14" s="496" t="s">
        <v>721</v>
      </c>
      <c r="DM14" s="496" t="s">
        <v>721</v>
      </c>
      <c r="DN14" s="496" t="s">
        <v>721</v>
      </c>
      <c r="DO14" s="496" t="s">
        <v>721</v>
      </c>
      <c r="DP14" s="496" t="s">
        <v>721</v>
      </c>
      <c r="DQ14" s="496" t="s">
        <v>721</v>
      </c>
      <c r="DR14" s="496" t="s">
        <v>721</v>
      </c>
      <c r="DS14" s="483" t="s">
        <v>721</v>
      </c>
      <c r="DT14" s="483" t="s">
        <v>721</v>
      </c>
      <c r="DU14" s="483" t="s">
        <v>721</v>
      </c>
      <c r="DV14" s="496">
        <v>49</v>
      </c>
      <c r="DW14" s="497">
        <v>9112.9</v>
      </c>
      <c r="DX14" s="496">
        <v>65</v>
      </c>
      <c r="DY14" s="497">
        <v>10021.299999999999</v>
      </c>
      <c r="DZ14" s="496">
        <v>160</v>
      </c>
      <c r="EA14" s="497">
        <v>16866.900000000001</v>
      </c>
      <c r="EB14" s="496">
        <v>129</v>
      </c>
      <c r="EC14" s="497">
        <v>12876</v>
      </c>
      <c r="ED14" s="496">
        <v>115</v>
      </c>
      <c r="EE14" s="497">
        <v>11916.6</v>
      </c>
      <c r="EF14" s="496">
        <v>60</v>
      </c>
      <c r="EG14" s="497">
        <v>7876.4</v>
      </c>
      <c r="EH14" s="485">
        <v>473</v>
      </c>
      <c r="EI14" s="486">
        <v>1870.3</v>
      </c>
      <c r="EJ14" s="485">
        <v>458</v>
      </c>
      <c r="EK14" s="486">
        <v>9622.7999999999993</v>
      </c>
      <c r="EL14" s="485">
        <v>462</v>
      </c>
      <c r="EM14" s="486">
        <v>4601.1000000000004</v>
      </c>
      <c r="EN14" s="485">
        <v>472</v>
      </c>
      <c r="EO14" s="486">
        <v>2375.4</v>
      </c>
      <c r="EP14" s="485">
        <v>471</v>
      </c>
      <c r="EQ14" s="486">
        <v>1626</v>
      </c>
      <c r="ER14" s="485">
        <v>448</v>
      </c>
      <c r="ES14" s="486">
        <v>895.9</v>
      </c>
      <c r="ET14" s="485">
        <v>0</v>
      </c>
      <c r="EU14" s="485">
        <v>328</v>
      </c>
      <c r="EV14" s="486">
        <v>5574.5</v>
      </c>
      <c r="EW14" s="485">
        <v>89</v>
      </c>
      <c r="EX14" s="486">
        <v>968.5</v>
      </c>
      <c r="EY14" s="485">
        <v>141</v>
      </c>
      <c r="EZ14" s="486">
        <v>1888.9</v>
      </c>
      <c r="FA14" s="485">
        <v>55</v>
      </c>
      <c r="FB14" s="486">
        <v>574.70000000000005</v>
      </c>
      <c r="FC14" s="485">
        <v>480</v>
      </c>
      <c r="FD14" s="486">
        <v>6528.9</v>
      </c>
      <c r="FE14" s="485">
        <v>422</v>
      </c>
      <c r="FF14" s="486">
        <v>3771.1</v>
      </c>
      <c r="FG14" s="485">
        <v>244</v>
      </c>
      <c r="FH14" s="486">
        <v>3345.2</v>
      </c>
      <c r="FI14" s="485">
        <v>353</v>
      </c>
      <c r="FJ14" s="486">
        <v>2588.8000000000002</v>
      </c>
      <c r="FK14" s="485">
        <v>395</v>
      </c>
      <c r="FL14" s="486">
        <v>1581.6</v>
      </c>
      <c r="FM14" s="485">
        <v>14</v>
      </c>
      <c r="FN14" s="486">
        <v>40</v>
      </c>
      <c r="FO14" s="485">
        <v>466</v>
      </c>
      <c r="FP14" s="486">
        <v>3891.8</v>
      </c>
      <c r="FQ14" s="485">
        <v>424</v>
      </c>
      <c r="FR14" s="486">
        <v>1580.3</v>
      </c>
      <c r="FS14" s="485">
        <v>6</v>
      </c>
      <c r="FT14" s="486">
        <v>61.8</v>
      </c>
      <c r="FU14" s="485">
        <v>0</v>
      </c>
      <c r="FV14" s="486">
        <v>0</v>
      </c>
      <c r="FW14" s="485">
        <v>0</v>
      </c>
      <c r="FX14" s="486">
        <v>0</v>
      </c>
      <c r="FY14" s="485">
        <v>0</v>
      </c>
      <c r="FZ14" s="486">
        <v>0</v>
      </c>
      <c r="GA14" s="485">
        <v>0</v>
      </c>
      <c r="GB14" s="485">
        <v>0</v>
      </c>
      <c r="GC14" s="487">
        <v>0</v>
      </c>
      <c r="GD14" s="488">
        <v>3</v>
      </c>
      <c r="GE14" s="488">
        <v>12</v>
      </c>
      <c r="GF14" s="488">
        <v>60</v>
      </c>
      <c r="GG14" s="488">
        <v>0</v>
      </c>
      <c r="GH14" s="488">
        <v>0</v>
      </c>
      <c r="GI14" s="488">
        <v>0</v>
      </c>
      <c r="GJ14" s="488">
        <v>0</v>
      </c>
      <c r="GK14" s="488">
        <v>46</v>
      </c>
      <c r="GL14" s="488">
        <v>29</v>
      </c>
      <c r="GM14" s="488">
        <v>75</v>
      </c>
      <c r="GN14" s="488">
        <v>53</v>
      </c>
      <c r="GO14" s="488">
        <v>18</v>
      </c>
      <c r="GP14" s="488">
        <v>2</v>
      </c>
      <c r="GQ14" s="488">
        <v>11</v>
      </c>
      <c r="GR14" s="488">
        <v>1</v>
      </c>
      <c r="GS14" s="488">
        <v>14</v>
      </c>
      <c r="GT14" s="489">
        <v>360</v>
      </c>
      <c r="GU14" s="488">
        <v>1</v>
      </c>
      <c r="GV14" s="490">
        <v>0</v>
      </c>
      <c r="GW14" s="490">
        <v>0</v>
      </c>
      <c r="GX14" s="490">
        <v>1</v>
      </c>
      <c r="GY14" s="491">
        <v>0</v>
      </c>
      <c r="GZ14" s="491">
        <v>0</v>
      </c>
      <c r="HA14" s="491">
        <v>0</v>
      </c>
      <c r="HB14" s="475">
        <v>0</v>
      </c>
      <c r="HC14" s="475">
        <v>0</v>
      </c>
      <c r="HD14" s="475">
        <v>0</v>
      </c>
      <c r="HE14" s="475">
        <v>0</v>
      </c>
      <c r="HF14" s="475">
        <v>0</v>
      </c>
      <c r="HG14" s="475">
        <v>0</v>
      </c>
      <c r="HH14" s="475">
        <v>0</v>
      </c>
      <c r="HI14" s="475">
        <v>0</v>
      </c>
      <c r="HJ14" s="475">
        <v>0</v>
      </c>
      <c r="HK14" s="475">
        <v>0</v>
      </c>
      <c r="HL14" s="475">
        <v>0</v>
      </c>
      <c r="HM14" s="475">
        <v>0</v>
      </c>
      <c r="HN14" s="475">
        <v>0</v>
      </c>
      <c r="HO14" s="475">
        <v>2</v>
      </c>
      <c r="HP14" s="475">
        <v>0</v>
      </c>
      <c r="HQ14" s="475">
        <v>0</v>
      </c>
      <c r="HR14" s="475">
        <v>0</v>
      </c>
      <c r="HS14" s="475">
        <v>0</v>
      </c>
      <c r="HT14" s="475">
        <v>0</v>
      </c>
      <c r="HU14" s="475">
        <v>0</v>
      </c>
      <c r="HV14" s="475">
        <v>0</v>
      </c>
      <c r="HW14" s="475">
        <v>0</v>
      </c>
      <c r="HX14" s="475">
        <v>0</v>
      </c>
      <c r="HY14" s="475">
        <v>0</v>
      </c>
      <c r="HZ14" s="475">
        <v>11</v>
      </c>
      <c r="IA14" s="475" t="s">
        <v>721</v>
      </c>
      <c r="IB14" s="475" t="s">
        <v>721</v>
      </c>
      <c r="IC14" s="475" t="s">
        <v>721</v>
      </c>
      <c r="ID14" s="475" t="s">
        <v>721</v>
      </c>
      <c r="IE14" s="475" t="s">
        <v>721</v>
      </c>
      <c r="IF14" s="475" t="s">
        <v>721</v>
      </c>
      <c r="IG14" s="475" t="s">
        <v>721</v>
      </c>
      <c r="IH14" s="475" t="s">
        <v>721</v>
      </c>
      <c r="II14" s="475" t="s">
        <v>721</v>
      </c>
      <c r="IJ14" s="475" t="s">
        <v>721</v>
      </c>
      <c r="IK14" s="475" t="s">
        <v>721</v>
      </c>
      <c r="IL14" s="475" t="s">
        <v>721</v>
      </c>
      <c r="IM14" s="475" t="s">
        <v>721</v>
      </c>
      <c r="IN14" s="475" t="s">
        <v>721</v>
      </c>
      <c r="IO14" s="475" t="s">
        <v>721</v>
      </c>
      <c r="IP14" s="475" t="s">
        <v>721</v>
      </c>
      <c r="IQ14" s="475" t="s">
        <v>721</v>
      </c>
      <c r="IR14" s="475" t="s">
        <v>721</v>
      </c>
      <c r="IS14" s="475" t="s">
        <v>721</v>
      </c>
      <c r="IT14" s="475" t="s">
        <v>721</v>
      </c>
      <c r="IU14" s="475" t="s">
        <v>721</v>
      </c>
      <c r="IV14" s="475" t="s">
        <v>721</v>
      </c>
      <c r="IW14" s="475" t="s">
        <v>721</v>
      </c>
      <c r="IX14" s="475" t="s">
        <v>721</v>
      </c>
      <c r="IY14" s="475" t="s">
        <v>721</v>
      </c>
      <c r="IZ14" s="475" t="s">
        <v>721</v>
      </c>
      <c r="JA14" s="475" t="s">
        <v>721</v>
      </c>
      <c r="JB14" s="475" t="s">
        <v>721</v>
      </c>
      <c r="JC14" s="475" t="s">
        <v>721</v>
      </c>
      <c r="JD14" s="475" t="s">
        <v>721</v>
      </c>
      <c r="JE14" s="475" t="s">
        <v>721</v>
      </c>
      <c r="JF14" s="475" t="s">
        <v>721</v>
      </c>
      <c r="JG14" s="475" t="s">
        <v>721</v>
      </c>
      <c r="JH14" s="475" t="s">
        <v>721</v>
      </c>
      <c r="JI14" s="475" t="s">
        <v>721</v>
      </c>
      <c r="JJ14" s="475" t="s">
        <v>721</v>
      </c>
      <c r="JK14" s="475" t="s">
        <v>721</v>
      </c>
      <c r="JL14" s="755">
        <v>32060.799999999999</v>
      </c>
      <c r="JM14" s="755">
        <v>28090.400000000001</v>
      </c>
      <c r="JN14" s="755">
        <v>543.1</v>
      </c>
      <c r="JO14" s="755">
        <v>469.9</v>
      </c>
      <c r="JP14" s="755">
        <v>1372.1</v>
      </c>
      <c r="JQ14" s="755">
        <v>246.8</v>
      </c>
      <c r="JR14" s="755">
        <v>3008.7</v>
      </c>
      <c r="JS14" s="755" t="s">
        <v>721</v>
      </c>
      <c r="JT14" s="755" t="s">
        <v>721</v>
      </c>
      <c r="JU14" s="755">
        <v>93.7</v>
      </c>
      <c r="JV14" s="755">
        <v>111.1</v>
      </c>
      <c r="JW14" s="755" t="s">
        <v>721</v>
      </c>
      <c r="JX14" s="755">
        <v>111.6</v>
      </c>
      <c r="JY14" s="755" t="s">
        <v>721</v>
      </c>
      <c r="JZ14" s="755" t="s">
        <v>721</v>
      </c>
      <c r="KA14" s="755" t="s">
        <v>721</v>
      </c>
      <c r="KB14" s="755">
        <v>2142.9</v>
      </c>
      <c r="KC14" s="755" t="s">
        <v>721</v>
      </c>
      <c r="KD14" s="755">
        <v>419</v>
      </c>
      <c r="KE14" s="475">
        <v>29</v>
      </c>
      <c r="KF14" s="475">
        <v>32</v>
      </c>
      <c r="KG14" s="475" t="s">
        <v>721</v>
      </c>
      <c r="KH14" s="475" t="s">
        <v>721</v>
      </c>
      <c r="KI14" s="475" t="s">
        <v>721</v>
      </c>
      <c r="KJ14" s="475" t="s">
        <v>721</v>
      </c>
      <c r="KK14" s="475" t="s">
        <v>721</v>
      </c>
      <c r="KL14" s="475" t="s">
        <v>721</v>
      </c>
      <c r="KM14" s="475" t="s">
        <v>721</v>
      </c>
      <c r="KN14" s="475" t="s">
        <v>721</v>
      </c>
      <c r="KO14" s="475" t="s">
        <v>721</v>
      </c>
      <c r="KP14" s="475" t="s">
        <v>721</v>
      </c>
      <c r="KQ14" s="475" t="s">
        <v>721</v>
      </c>
      <c r="KR14" s="475" t="s">
        <v>721</v>
      </c>
      <c r="KS14" s="475" t="s">
        <v>721</v>
      </c>
      <c r="KT14" s="475" t="s">
        <v>721</v>
      </c>
      <c r="KU14" s="475" t="s">
        <v>721</v>
      </c>
      <c r="KV14" s="475" t="s">
        <v>721</v>
      </c>
      <c r="KW14" s="475" t="s">
        <v>721</v>
      </c>
      <c r="KX14" s="475">
        <v>27</v>
      </c>
      <c r="KY14" s="475">
        <v>37</v>
      </c>
      <c r="KZ14" s="475" t="s">
        <v>721</v>
      </c>
      <c r="LA14" s="475" t="s">
        <v>721</v>
      </c>
      <c r="LB14" s="475" t="s">
        <v>721</v>
      </c>
      <c r="LC14" s="475" t="s">
        <v>721</v>
      </c>
      <c r="LD14" s="475" t="s">
        <v>721</v>
      </c>
      <c r="LE14" s="475" t="s">
        <v>721</v>
      </c>
      <c r="LF14" s="475" t="s">
        <v>721</v>
      </c>
      <c r="LG14" s="475" t="s">
        <v>721</v>
      </c>
      <c r="LH14" s="475" t="s">
        <v>721</v>
      </c>
      <c r="LI14" s="475" t="s">
        <v>721</v>
      </c>
      <c r="LJ14" s="475" t="s">
        <v>721</v>
      </c>
      <c r="LK14" s="475" t="s">
        <v>721</v>
      </c>
      <c r="LL14" s="475" t="s">
        <v>721</v>
      </c>
      <c r="LM14" s="475" t="s">
        <v>721</v>
      </c>
      <c r="LN14" s="475" t="s">
        <v>721</v>
      </c>
      <c r="LO14" s="475" t="s">
        <v>721</v>
      </c>
      <c r="LP14" s="475" t="s">
        <v>721</v>
      </c>
      <c r="LQ14" s="475">
        <v>218</v>
      </c>
      <c r="LR14" s="475">
        <v>101</v>
      </c>
      <c r="LS14" s="475" t="s">
        <v>721</v>
      </c>
      <c r="LT14" s="475" t="s">
        <v>721</v>
      </c>
      <c r="LU14" s="475" t="s">
        <v>721</v>
      </c>
      <c r="LV14" s="475" t="s">
        <v>721</v>
      </c>
      <c r="LW14" s="475">
        <v>23</v>
      </c>
      <c r="LX14" s="475" t="s">
        <v>721</v>
      </c>
      <c r="LY14" s="475" t="s">
        <v>721</v>
      </c>
      <c r="LZ14" s="475" t="s">
        <v>721</v>
      </c>
      <c r="MA14" s="475" t="s">
        <v>721</v>
      </c>
      <c r="MB14" s="475" t="s">
        <v>721</v>
      </c>
      <c r="MC14" s="475" t="s">
        <v>721</v>
      </c>
      <c r="MD14" s="475" t="s">
        <v>721</v>
      </c>
      <c r="ME14" s="475" t="s">
        <v>721</v>
      </c>
      <c r="MF14" s="475" t="s">
        <v>721</v>
      </c>
      <c r="MG14" s="475">
        <v>21</v>
      </c>
      <c r="MH14" s="475" t="s">
        <v>721</v>
      </c>
      <c r="MI14" s="475" t="s">
        <v>721</v>
      </c>
      <c r="MJ14" s="475">
        <v>75</v>
      </c>
      <c r="MK14" s="475">
        <v>90</v>
      </c>
      <c r="ML14" s="475" t="s">
        <v>721</v>
      </c>
      <c r="MM14" s="475" t="s">
        <v>721</v>
      </c>
      <c r="MN14" s="475" t="s">
        <v>721</v>
      </c>
      <c r="MO14" s="475" t="s">
        <v>721</v>
      </c>
      <c r="MP14" s="475" t="s">
        <v>721</v>
      </c>
      <c r="MQ14" s="475" t="s">
        <v>721</v>
      </c>
      <c r="MR14" s="475" t="s">
        <v>721</v>
      </c>
      <c r="MS14" s="475" t="s">
        <v>721</v>
      </c>
      <c r="MT14" s="475" t="s">
        <v>721</v>
      </c>
      <c r="MU14" s="475" t="s">
        <v>721</v>
      </c>
      <c r="MV14" s="475" t="s">
        <v>721</v>
      </c>
      <c r="MW14" s="475" t="s">
        <v>721</v>
      </c>
      <c r="MX14" s="475" t="s">
        <v>721</v>
      </c>
      <c r="MY14" s="475" t="s">
        <v>721</v>
      </c>
      <c r="MZ14" s="475" t="s">
        <v>721</v>
      </c>
      <c r="NA14" s="475" t="s">
        <v>721</v>
      </c>
      <c r="NB14" s="475" t="s">
        <v>721</v>
      </c>
      <c r="NC14" s="476">
        <v>0.59499999999999997</v>
      </c>
      <c r="ND14" s="476">
        <v>0.40500000000000003</v>
      </c>
      <c r="NE14" s="476">
        <v>0.50900000000000001</v>
      </c>
      <c r="NF14" s="476">
        <v>0.33</v>
      </c>
      <c r="NG14" s="476" t="s">
        <v>721</v>
      </c>
      <c r="NH14" s="476" t="s">
        <v>721</v>
      </c>
      <c r="NI14" s="476">
        <v>2.1000000000000001E-2</v>
      </c>
      <c r="NJ14" s="476" t="s">
        <v>721</v>
      </c>
      <c r="NK14" s="476">
        <v>6.0999999999999999E-2</v>
      </c>
      <c r="NL14" s="476" t="s">
        <v>721</v>
      </c>
      <c r="NM14" s="476" t="s">
        <v>721</v>
      </c>
      <c r="NN14" s="476" t="s">
        <v>721</v>
      </c>
      <c r="NO14" s="476" t="s">
        <v>721</v>
      </c>
      <c r="NP14" s="476" t="s">
        <v>721</v>
      </c>
      <c r="NQ14" s="476" t="s">
        <v>721</v>
      </c>
      <c r="NR14" s="476" t="s">
        <v>721</v>
      </c>
      <c r="NS14" s="476" t="s">
        <v>721</v>
      </c>
      <c r="NT14" s="476" t="s">
        <v>721</v>
      </c>
      <c r="NU14" s="476">
        <v>4.7E-2</v>
      </c>
      <c r="NV14" s="476" t="s">
        <v>721</v>
      </c>
      <c r="NW14" s="476" t="s">
        <v>721</v>
      </c>
      <c r="NX14" s="476" t="s">
        <v>721</v>
      </c>
      <c r="NY14" s="476">
        <v>0.221</v>
      </c>
      <c r="NZ14" s="476" t="s">
        <v>721</v>
      </c>
      <c r="OA14" s="476" t="s">
        <v>721</v>
      </c>
      <c r="OB14" s="476" t="s">
        <v>721</v>
      </c>
      <c r="OC14" s="476" t="s">
        <v>721</v>
      </c>
      <c r="OD14" s="476" t="s">
        <v>721</v>
      </c>
      <c r="OE14" s="476">
        <v>0.71599999999999997</v>
      </c>
      <c r="OF14" s="476" t="s">
        <v>721</v>
      </c>
      <c r="OG14" s="476" t="s">
        <v>721</v>
      </c>
      <c r="OH14" s="476" t="s">
        <v>721</v>
      </c>
      <c r="OI14" s="476" t="s">
        <v>721</v>
      </c>
      <c r="OJ14" s="476" t="s">
        <v>721</v>
      </c>
      <c r="OK14" s="476" t="s">
        <v>721</v>
      </c>
      <c r="OL14" s="476" t="s">
        <v>721</v>
      </c>
      <c r="OM14" s="476" t="s">
        <v>721</v>
      </c>
      <c r="ON14" s="476" t="s">
        <v>721</v>
      </c>
      <c r="OO14" s="476">
        <v>3.1E-2</v>
      </c>
      <c r="OP14" s="476" t="s">
        <v>721</v>
      </c>
      <c r="OQ14" s="476" t="s">
        <v>721</v>
      </c>
      <c r="OR14" s="476" t="s">
        <v>721</v>
      </c>
      <c r="OS14" s="476" t="s">
        <v>721</v>
      </c>
      <c r="OT14" s="476" t="s">
        <v>721</v>
      </c>
      <c r="OU14" s="476" t="s">
        <v>721</v>
      </c>
      <c r="OV14" s="476" t="s">
        <v>721</v>
      </c>
      <c r="OW14" s="476" t="s">
        <v>721</v>
      </c>
      <c r="OX14" s="476" t="s">
        <v>721</v>
      </c>
      <c r="OY14" s="476" t="s">
        <v>721</v>
      </c>
      <c r="OZ14" s="476" t="s">
        <v>721</v>
      </c>
      <c r="PA14" s="476" t="s">
        <v>721</v>
      </c>
      <c r="PB14" s="476" t="s">
        <v>721</v>
      </c>
      <c r="PC14" s="476" t="s">
        <v>721</v>
      </c>
      <c r="PD14" s="476" t="s">
        <v>721</v>
      </c>
      <c r="PE14" s="476" t="s">
        <v>721</v>
      </c>
      <c r="PF14" s="476">
        <v>0.16900000000000001</v>
      </c>
      <c r="PG14" s="476" t="s">
        <v>721</v>
      </c>
      <c r="PH14" s="476" t="s">
        <v>721</v>
      </c>
      <c r="PI14" s="476" t="s">
        <v>721</v>
      </c>
      <c r="PJ14" s="476" t="s">
        <v>721</v>
      </c>
      <c r="PK14" s="476" t="s">
        <v>721</v>
      </c>
      <c r="PL14" s="476">
        <v>0.79700000000000004</v>
      </c>
      <c r="PM14" s="476">
        <v>1.9E-2</v>
      </c>
      <c r="PN14" s="476" t="s">
        <v>721</v>
      </c>
      <c r="PO14" s="476" t="s">
        <v>721</v>
      </c>
      <c r="PP14" s="476" t="s">
        <v>721</v>
      </c>
      <c r="PQ14" s="476" t="s">
        <v>721</v>
      </c>
      <c r="PR14" s="476" t="s">
        <v>721</v>
      </c>
      <c r="PS14" s="476" t="s">
        <v>721</v>
      </c>
      <c r="PT14" s="476" t="s">
        <v>721</v>
      </c>
      <c r="PU14" s="476" t="s">
        <v>721</v>
      </c>
      <c r="PV14" s="476" t="s">
        <v>721</v>
      </c>
      <c r="PW14" s="476" t="s">
        <v>721</v>
      </c>
      <c r="PX14" s="476" t="s">
        <v>721</v>
      </c>
      <c r="PY14" s="476" t="s">
        <v>721</v>
      </c>
      <c r="PZ14" s="476" t="s">
        <v>721</v>
      </c>
      <c r="QA14" s="476" t="s">
        <v>721</v>
      </c>
      <c r="QB14" s="476" t="s">
        <v>721</v>
      </c>
      <c r="QC14" s="476" t="s">
        <v>721</v>
      </c>
      <c r="QD14" s="476" t="s">
        <v>721</v>
      </c>
      <c r="QE14" s="476" t="s">
        <v>721</v>
      </c>
      <c r="QF14" s="476" t="s">
        <v>721</v>
      </c>
      <c r="QG14" s="476" t="s">
        <v>721</v>
      </c>
      <c r="QH14" s="476" t="s">
        <v>721</v>
      </c>
      <c r="QI14" s="476" t="s">
        <v>721</v>
      </c>
      <c r="QJ14" s="476" t="s">
        <v>721</v>
      </c>
      <c r="QK14" s="476" t="s">
        <v>721</v>
      </c>
      <c r="QL14" s="476">
        <v>0.61099999999999999</v>
      </c>
      <c r="QM14" s="476" t="s">
        <v>721</v>
      </c>
      <c r="QN14" s="476" t="s">
        <v>721</v>
      </c>
      <c r="QO14" s="476" t="s">
        <v>721</v>
      </c>
      <c r="QP14" s="476" t="s">
        <v>721</v>
      </c>
      <c r="QQ14" s="476" t="s">
        <v>721</v>
      </c>
      <c r="QR14" s="476" t="s">
        <v>721</v>
      </c>
      <c r="QS14" s="476" t="s">
        <v>721</v>
      </c>
      <c r="QT14" s="476" t="s">
        <v>721</v>
      </c>
      <c r="QU14" s="476" t="s">
        <v>721</v>
      </c>
      <c r="QV14" s="476" t="s">
        <v>721</v>
      </c>
      <c r="QW14" s="476" t="s">
        <v>721</v>
      </c>
      <c r="QX14" s="476" t="s">
        <v>721</v>
      </c>
      <c r="QY14" s="476" t="s">
        <v>721</v>
      </c>
      <c r="QZ14" s="476" t="s">
        <v>721</v>
      </c>
      <c r="RA14" s="476" t="s">
        <v>721</v>
      </c>
      <c r="RB14" s="476" t="s">
        <v>721</v>
      </c>
      <c r="RC14" s="476" t="s">
        <v>721</v>
      </c>
      <c r="RD14" s="476" t="s">
        <v>721</v>
      </c>
      <c r="RE14" s="476" t="s">
        <v>721</v>
      </c>
      <c r="RF14" s="476" t="s">
        <v>721</v>
      </c>
      <c r="RG14" s="476" t="s">
        <v>721</v>
      </c>
      <c r="RH14" s="476" t="s">
        <v>721</v>
      </c>
      <c r="RI14" s="476" t="s">
        <v>721</v>
      </c>
      <c r="RJ14" s="476" t="s">
        <v>721</v>
      </c>
      <c r="RK14" s="476" t="s">
        <v>721</v>
      </c>
      <c r="RL14" s="476" t="s">
        <v>721</v>
      </c>
      <c r="RM14" s="476" t="s">
        <v>721</v>
      </c>
      <c r="RN14" s="476" t="s">
        <v>721</v>
      </c>
      <c r="RO14" s="476" t="s">
        <v>721</v>
      </c>
      <c r="RP14" s="476" t="s">
        <v>721</v>
      </c>
      <c r="RQ14" s="476" t="s">
        <v>721</v>
      </c>
      <c r="RR14" s="476" t="s">
        <v>721</v>
      </c>
      <c r="RS14" s="476" t="s">
        <v>721</v>
      </c>
      <c r="RT14" s="476" t="s">
        <v>721</v>
      </c>
      <c r="RU14" s="476" t="s">
        <v>721</v>
      </c>
      <c r="RV14" s="476" t="s">
        <v>721</v>
      </c>
      <c r="RW14" s="476" t="s">
        <v>721</v>
      </c>
      <c r="RX14" s="476">
        <v>0.46700000000000003</v>
      </c>
      <c r="RY14" s="476">
        <v>0.40899999999999997</v>
      </c>
      <c r="RZ14" s="476">
        <v>8.0000000000000002E-3</v>
      </c>
      <c r="SA14" s="476">
        <v>7.0000000000000001E-3</v>
      </c>
      <c r="SB14" s="476">
        <v>0.02</v>
      </c>
      <c r="SC14" s="476">
        <v>4.0000000000000001E-3</v>
      </c>
      <c r="SD14" s="476">
        <v>4.3999999999999997E-2</v>
      </c>
      <c r="SE14" s="476" t="s">
        <v>721</v>
      </c>
      <c r="SF14" s="476" t="s">
        <v>721</v>
      </c>
      <c r="SG14" s="476">
        <v>1E-3</v>
      </c>
      <c r="SH14" s="476">
        <v>2E-3</v>
      </c>
      <c r="SI14" s="476" t="s">
        <v>721</v>
      </c>
      <c r="SJ14" s="476">
        <v>2E-3</v>
      </c>
      <c r="SK14" s="476" t="s">
        <v>721</v>
      </c>
      <c r="SL14" s="476" t="s">
        <v>721</v>
      </c>
      <c r="SM14" s="476" t="s">
        <v>721</v>
      </c>
      <c r="SN14" s="476">
        <v>3.1E-2</v>
      </c>
      <c r="SO14" s="476" t="s">
        <v>721</v>
      </c>
      <c r="SP14" s="476">
        <v>6.0000000000000001E-3</v>
      </c>
      <c r="SQ14" s="476">
        <v>0.439</v>
      </c>
      <c r="SR14" s="476">
        <v>0.48499999999999999</v>
      </c>
      <c r="SS14" s="476" t="s">
        <v>721</v>
      </c>
      <c r="ST14" s="476" t="s">
        <v>721</v>
      </c>
      <c r="SU14" s="476" t="s">
        <v>721</v>
      </c>
      <c r="SV14" s="476" t="s">
        <v>721</v>
      </c>
      <c r="SW14" s="476" t="s">
        <v>721</v>
      </c>
      <c r="SX14" s="476" t="s">
        <v>721</v>
      </c>
      <c r="SY14" s="476" t="s">
        <v>721</v>
      </c>
      <c r="SZ14" s="476" t="s">
        <v>721</v>
      </c>
      <c r="TA14" s="476" t="s">
        <v>721</v>
      </c>
      <c r="TB14" s="476" t="s">
        <v>721</v>
      </c>
      <c r="TC14" s="476" t="s">
        <v>721</v>
      </c>
      <c r="TD14" s="476" t="s">
        <v>721</v>
      </c>
      <c r="TE14" s="476" t="s">
        <v>721</v>
      </c>
      <c r="TF14" s="476" t="s">
        <v>721</v>
      </c>
      <c r="TG14" s="476" t="s">
        <v>721</v>
      </c>
      <c r="TH14" s="476" t="s">
        <v>721</v>
      </c>
      <c r="TI14" s="476" t="s">
        <v>721</v>
      </c>
      <c r="TJ14" s="476">
        <v>0.37</v>
      </c>
      <c r="TK14" s="476">
        <v>0.50700000000000001</v>
      </c>
      <c r="TL14" s="476" t="s">
        <v>721</v>
      </c>
      <c r="TM14" s="476" t="s">
        <v>721</v>
      </c>
      <c r="TN14" s="476" t="s">
        <v>721</v>
      </c>
      <c r="TO14" s="476" t="s">
        <v>721</v>
      </c>
      <c r="TP14" s="476" t="s">
        <v>721</v>
      </c>
      <c r="TQ14" s="476" t="s">
        <v>721</v>
      </c>
      <c r="TR14" s="476" t="s">
        <v>721</v>
      </c>
      <c r="TS14" s="476" t="s">
        <v>721</v>
      </c>
      <c r="TT14" s="476" t="s">
        <v>721</v>
      </c>
      <c r="TU14" s="476" t="s">
        <v>721</v>
      </c>
      <c r="TV14" s="476" t="s">
        <v>721</v>
      </c>
      <c r="TW14" s="476" t="s">
        <v>721</v>
      </c>
      <c r="TX14" s="476" t="s">
        <v>721</v>
      </c>
      <c r="TY14" s="476" t="s">
        <v>721</v>
      </c>
      <c r="TZ14" s="476" t="s">
        <v>721</v>
      </c>
      <c r="UA14" s="476" t="s">
        <v>721</v>
      </c>
      <c r="UB14" s="476" t="s">
        <v>721</v>
      </c>
      <c r="UC14" s="476">
        <v>0.56799999999999995</v>
      </c>
      <c r="UD14" s="476">
        <v>0.26300000000000001</v>
      </c>
      <c r="UE14" s="476" t="s">
        <v>721</v>
      </c>
      <c r="UF14" s="476" t="s">
        <v>721</v>
      </c>
      <c r="UG14" s="476" t="s">
        <v>721</v>
      </c>
      <c r="UH14" s="476" t="s">
        <v>721</v>
      </c>
      <c r="UI14" s="476">
        <v>0.06</v>
      </c>
      <c r="UJ14" s="476" t="s">
        <v>721</v>
      </c>
      <c r="UK14" s="476" t="s">
        <v>721</v>
      </c>
      <c r="UL14" s="476" t="s">
        <v>721</v>
      </c>
      <c r="UM14" s="476" t="s">
        <v>721</v>
      </c>
      <c r="UN14" s="476" t="s">
        <v>721</v>
      </c>
      <c r="UO14" s="476" t="s">
        <v>721</v>
      </c>
      <c r="UP14" s="476" t="s">
        <v>721</v>
      </c>
      <c r="UQ14" s="476" t="s">
        <v>721</v>
      </c>
      <c r="UR14" s="476" t="s">
        <v>721</v>
      </c>
      <c r="US14" s="476">
        <v>5.5E-2</v>
      </c>
      <c r="UT14" s="476" t="s">
        <v>721</v>
      </c>
      <c r="UU14" s="476" t="s">
        <v>721</v>
      </c>
      <c r="UV14" s="476">
        <v>0.39500000000000002</v>
      </c>
      <c r="UW14" s="476">
        <v>0.47399999999999998</v>
      </c>
      <c r="UX14" s="476" t="s">
        <v>721</v>
      </c>
      <c r="UY14" s="476" t="s">
        <v>721</v>
      </c>
      <c r="UZ14" s="476" t="s">
        <v>721</v>
      </c>
      <c r="VA14" s="476" t="s">
        <v>721</v>
      </c>
      <c r="VB14" s="476" t="s">
        <v>721</v>
      </c>
      <c r="VC14" s="476" t="s">
        <v>721</v>
      </c>
      <c r="VD14" s="476" t="s">
        <v>721</v>
      </c>
      <c r="VE14" s="476" t="s">
        <v>721</v>
      </c>
      <c r="VF14" s="476" t="s">
        <v>721</v>
      </c>
      <c r="VG14" s="476" t="s">
        <v>721</v>
      </c>
      <c r="VH14" s="476" t="s">
        <v>721</v>
      </c>
      <c r="VI14" s="476" t="s">
        <v>721</v>
      </c>
      <c r="VJ14" s="476" t="s">
        <v>721</v>
      </c>
      <c r="VK14" s="476" t="s">
        <v>721</v>
      </c>
      <c r="VL14" s="476" t="s">
        <v>721</v>
      </c>
      <c r="VM14" s="476" t="s">
        <v>721</v>
      </c>
      <c r="VN14" s="476" t="s">
        <v>721</v>
      </c>
      <c r="VO14" s="28"/>
      <c r="VP14" s="28"/>
      <c r="VQ14" s="28"/>
      <c r="VR14" s="28"/>
      <c r="VS14" s="28"/>
      <c r="VT14" s="28"/>
      <c r="VU14" s="28"/>
      <c r="VV14" s="28"/>
      <c r="VW14" s="28"/>
      <c r="VX14" s="28"/>
      <c r="VY14" s="28"/>
      <c r="VZ14" s="28"/>
      <c r="WA14" s="28"/>
      <c r="WB14" s="28"/>
      <c r="WC14" s="28"/>
      <c r="WD14" s="28"/>
      <c r="WE14" s="28"/>
      <c r="WF14" s="28"/>
      <c r="WG14" s="28"/>
      <c r="WH14" s="28"/>
      <c r="WI14" s="28"/>
      <c r="WJ14" s="28"/>
      <c r="WK14" s="28"/>
      <c r="WL14" s="28"/>
      <c r="WM14" s="28"/>
      <c r="WN14" s="28"/>
      <c r="WO14" s="28"/>
      <c r="WP14" s="28"/>
      <c r="WQ14" s="28"/>
      <c r="WR14" s="28"/>
      <c r="WS14" s="28"/>
      <c r="WT14" s="28"/>
      <c r="WU14" s="28"/>
      <c r="WV14" s="28"/>
      <c r="WW14" s="28"/>
    </row>
    <row r="15" spans="1:621" s="151" customFormat="1" ht="15.75" customHeight="1" x14ac:dyDescent="0.35">
      <c r="A15" s="477" t="s">
        <v>25</v>
      </c>
      <c r="B15" s="492" t="s">
        <v>17</v>
      </c>
      <c r="C15" s="493">
        <v>16</v>
      </c>
      <c r="D15" s="494">
        <v>2445</v>
      </c>
      <c r="E15" s="473">
        <v>291788.2</v>
      </c>
      <c r="F15" s="473">
        <v>119.3</v>
      </c>
      <c r="G15" s="474">
        <v>2438</v>
      </c>
      <c r="H15" s="474">
        <v>2101</v>
      </c>
      <c r="I15" s="474">
        <v>1810</v>
      </c>
      <c r="J15" s="474">
        <v>1422</v>
      </c>
      <c r="K15" s="474">
        <v>780</v>
      </c>
      <c r="L15" s="473">
        <v>145628</v>
      </c>
      <c r="M15" s="474">
        <v>1628</v>
      </c>
      <c r="N15" s="473">
        <v>146160.20000000001</v>
      </c>
      <c r="O15" s="494">
        <v>337</v>
      </c>
      <c r="P15" s="495">
        <v>57511.199999999997</v>
      </c>
      <c r="Q15" s="494">
        <v>228</v>
      </c>
      <c r="R15" s="495">
        <v>6986.2</v>
      </c>
      <c r="S15" s="480">
        <v>426</v>
      </c>
      <c r="T15" s="481">
        <v>41675.9</v>
      </c>
      <c r="U15" s="480">
        <v>25</v>
      </c>
      <c r="V15" s="481">
        <v>3030.6</v>
      </c>
      <c r="W15" s="480">
        <v>1994</v>
      </c>
      <c r="X15" s="481">
        <v>247081.7</v>
      </c>
      <c r="Y15" s="494">
        <v>2103</v>
      </c>
      <c r="Z15" s="494">
        <v>926</v>
      </c>
      <c r="AA15" s="494">
        <v>1217</v>
      </c>
      <c r="AB15" s="494">
        <v>744</v>
      </c>
      <c r="AC15" s="494">
        <v>117</v>
      </c>
      <c r="AD15" s="494">
        <v>456</v>
      </c>
      <c r="AE15" s="494">
        <v>1196</v>
      </c>
      <c r="AF15" s="495">
        <v>80527.100000000006</v>
      </c>
      <c r="AG15" s="494">
        <v>1093</v>
      </c>
      <c r="AH15" s="495">
        <v>201755</v>
      </c>
      <c r="AI15" s="494">
        <v>65</v>
      </c>
      <c r="AJ15" s="495">
        <v>3397.3</v>
      </c>
      <c r="AK15" s="494">
        <v>54</v>
      </c>
      <c r="AL15" s="495">
        <v>6108.8</v>
      </c>
      <c r="AM15" s="496">
        <v>1369</v>
      </c>
      <c r="AN15" s="496">
        <v>1076</v>
      </c>
      <c r="AO15" s="496">
        <v>1791</v>
      </c>
      <c r="AP15" s="496">
        <v>118</v>
      </c>
      <c r="AQ15" s="496">
        <v>41</v>
      </c>
      <c r="AR15" s="496">
        <v>41</v>
      </c>
      <c r="AS15" s="496">
        <v>175</v>
      </c>
      <c r="AT15" s="496" t="s">
        <v>721</v>
      </c>
      <c r="AU15" s="496">
        <v>184</v>
      </c>
      <c r="AV15" s="496" t="s">
        <v>721</v>
      </c>
      <c r="AW15" s="496" t="s">
        <v>721</v>
      </c>
      <c r="AX15" s="496" t="s">
        <v>721</v>
      </c>
      <c r="AY15" s="496" t="s">
        <v>721</v>
      </c>
      <c r="AZ15" s="496" t="s">
        <v>721</v>
      </c>
      <c r="BA15" s="496" t="s">
        <v>721</v>
      </c>
      <c r="BB15" s="496" t="s">
        <v>721</v>
      </c>
      <c r="BC15" s="496" t="s">
        <v>721</v>
      </c>
      <c r="BD15" s="496" t="s">
        <v>721</v>
      </c>
      <c r="BE15" s="496">
        <v>18</v>
      </c>
      <c r="BF15" s="496" t="s">
        <v>721</v>
      </c>
      <c r="BG15" s="496">
        <v>55</v>
      </c>
      <c r="BH15" s="496" t="s">
        <v>721</v>
      </c>
      <c r="BI15" s="496">
        <v>38</v>
      </c>
      <c r="BJ15" s="496" t="s">
        <v>721</v>
      </c>
      <c r="BK15" s="496" t="s">
        <v>721</v>
      </c>
      <c r="BL15" s="496" t="s">
        <v>721</v>
      </c>
      <c r="BM15" s="496" t="s">
        <v>721</v>
      </c>
      <c r="BN15" s="496" t="s">
        <v>721</v>
      </c>
      <c r="BO15" s="496">
        <v>2315</v>
      </c>
      <c r="BP15" s="496">
        <v>24</v>
      </c>
      <c r="BQ15" s="496" t="s">
        <v>721</v>
      </c>
      <c r="BR15" s="496" t="s">
        <v>721</v>
      </c>
      <c r="BS15" s="496" t="s">
        <v>721</v>
      </c>
      <c r="BT15" s="496" t="s">
        <v>721</v>
      </c>
      <c r="BU15" s="496" t="s">
        <v>721</v>
      </c>
      <c r="BV15" s="496" t="s">
        <v>721</v>
      </c>
      <c r="BW15" s="496" t="s">
        <v>721</v>
      </c>
      <c r="BX15" s="496">
        <v>34</v>
      </c>
      <c r="BY15" s="496" t="s">
        <v>721</v>
      </c>
      <c r="BZ15" s="496" t="s">
        <v>721</v>
      </c>
      <c r="CA15" s="496" t="s">
        <v>721</v>
      </c>
      <c r="CB15" s="496" t="s">
        <v>721</v>
      </c>
      <c r="CC15" s="496" t="s">
        <v>721</v>
      </c>
      <c r="CD15" s="496" t="s">
        <v>721</v>
      </c>
      <c r="CE15" s="496" t="s">
        <v>721</v>
      </c>
      <c r="CF15" s="496" t="s">
        <v>721</v>
      </c>
      <c r="CG15" s="496" t="s">
        <v>721</v>
      </c>
      <c r="CH15" s="496" t="s">
        <v>721</v>
      </c>
      <c r="CI15" s="496" t="s">
        <v>721</v>
      </c>
      <c r="CJ15" s="496" t="s">
        <v>721</v>
      </c>
      <c r="CK15" s="496" t="s">
        <v>721</v>
      </c>
      <c r="CL15" s="496" t="s">
        <v>721</v>
      </c>
      <c r="CM15" s="496" t="s">
        <v>721</v>
      </c>
      <c r="CN15" s="496" t="s">
        <v>721</v>
      </c>
      <c r="CO15" s="496" t="s">
        <v>721</v>
      </c>
      <c r="CP15" s="496">
        <v>29</v>
      </c>
      <c r="CQ15" s="496" t="s">
        <v>721</v>
      </c>
      <c r="CR15" s="496" t="s">
        <v>721</v>
      </c>
      <c r="CS15" s="496" t="s">
        <v>721</v>
      </c>
      <c r="CT15" s="496" t="s">
        <v>721</v>
      </c>
      <c r="CU15" s="496" t="s">
        <v>721</v>
      </c>
      <c r="CV15" s="496">
        <v>1949</v>
      </c>
      <c r="CW15" s="496">
        <v>103</v>
      </c>
      <c r="CX15" s="496" t="s">
        <v>721</v>
      </c>
      <c r="CY15" s="496" t="s">
        <v>721</v>
      </c>
      <c r="CZ15" s="496" t="s">
        <v>721</v>
      </c>
      <c r="DA15" s="496" t="s">
        <v>721</v>
      </c>
      <c r="DB15" s="496" t="s">
        <v>721</v>
      </c>
      <c r="DC15" s="496" t="s">
        <v>721</v>
      </c>
      <c r="DD15" s="496" t="s">
        <v>721</v>
      </c>
      <c r="DE15" s="496" t="s">
        <v>721</v>
      </c>
      <c r="DF15" s="496" t="s">
        <v>721</v>
      </c>
      <c r="DG15" s="496" t="s">
        <v>721</v>
      </c>
      <c r="DH15" s="496" t="s">
        <v>721</v>
      </c>
      <c r="DI15" s="496" t="s">
        <v>721</v>
      </c>
      <c r="DJ15" s="496" t="s">
        <v>721</v>
      </c>
      <c r="DK15" s="496" t="s">
        <v>721</v>
      </c>
      <c r="DL15" s="496" t="s">
        <v>721</v>
      </c>
      <c r="DM15" s="496" t="s">
        <v>721</v>
      </c>
      <c r="DN15" s="496" t="s">
        <v>721</v>
      </c>
      <c r="DO15" s="496" t="s">
        <v>721</v>
      </c>
      <c r="DP15" s="496" t="s">
        <v>721</v>
      </c>
      <c r="DQ15" s="496" t="s">
        <v>721</v>
      </c>
      <c r="DR15" s="496" t="s">
        <v>721</v>
      </c>
      <c r="DS15" s="483" t="s">
        <v>721</v>
      </c>
      <c r="DT15" s="483" t="s">
        <v>721</v>
      </c>
      <c r="DU15" s="483" t="s">
        <v>721</v>
      </c>
      <c r="DV15" s="496">
        <v>195</v>
      </c>
      <c r="DW15" s="497">
        <v>36343.800000000003</v>
      </c>
      <c r="DX15" s="496">
        <v>500</v>
      </c>
      <c r="DY15" s="497">
        <v>75075.399999999994</v>
      </c>
      <c r="DZ15" s="496">
        <v>772</v>
      </c>
      <c r="EA15" s="497">
        <v>80763.8</v>
      </c>
      <c r="EB15" s="496">
        <v>589</v>
      </c>
      <c r="EC15" s="497">
        <v>57497</v>
      </c>
      <c r="ED15" s="496">
        <v>297</v>
      </c>
      <c r="EE15" s="497">
        <v>30157.200000000001</v>
      </c>
      <c r="EF15" s="496">
        <v>92</v>
      </c>
      <c r="EG15" s="497">
        <v>11951</v>
      </c>
      <c r="EH15" s="485">
        <v>2072</v>
      </c>
      <c r="EI15" s="486">
        <v>11170</v>
      </c>
      <c r="EJ15" s="485">
        <v>2000</v>
      </c>
      <c r="EK15" s="486">
        <v>48902.7</v>
      </c>
      <c r="EL15" s="485">
        <v>2019</v>
      </c>
      <c r="EM15" s="486">
        <v>22751</v>
      </c>
      <c r="EN15" s="485">
        <v>2114</v>
      </c>
      <c r="EO15" s="486">
        <v>14009.6</v>
      </c>
      <c r="EP15" s="485">
        <v>2045</v>
      </c>
      <c r="EQ15" s="486">
        <v>8398</v>
      </c>
      <c r="ER15" s="485">
        <v>2048</v>
      </c>
      <c r="ES15" s="486">
        <v>4493.6000000000004</v>
      </c>
      <c r="ET15" s="485">
        <v>1</v>
      </c>
      <c r="EU15" s="485">
        <v>1368</v>
      </c>
      <c r="EV15" s="486">
        <v>21226.5</v>
      </c>
      <c r="EW15" s="485">
        <v>379</v>
      </c>
      <c r="EX15" s="486">
        <v>1944.5</v>
      </c>
      <c r="EY15" s="485">
        <v>949</v>
      </c>
      <c r="EZ15" s="486">
        <v>8909.1</v>
      </c>
      <c r="FA15" s="485">
        <v>315</v>
      </c>
      <c r="FB15" s="486">
        <v>2941.8</v>
      </c>
      <c r="FC15" s="485">
        <v>1941</v>
      </c>
      <c r="FD15" s="486">
        <v>22625.8</v>
      </c>
      <c r="FE15" s="485">
        <v>1840</v>
      </c>
      <c r="FF15" s="486">
        <v>13865.7</v>
      </c>
      <c r="FG15" s="485">
        <v>1114</v>
      </c>
      <c r="FH15" s="486">
        <v>11623.7</v>
      </c>
      <c r="FI15" s="485">
        <v>1277</v>
      </c>
      <c r="FJ15" s="486">
        <v>7596.8</v>
      </c>
      <c r="FK15" s="485">
        <v>1620</v>
      </c>
      <c r="FL15" s="486">
        <v>6742.8</v>
      </c>
      <c r="FM15" s="485">
        <v>119</v>
      </c>
      <c r="FN15" s="486">
        <v>303.89999999999998</v>
      </c>
      <c r="FO15" s="485">
        <v>1665</v>
      </c>
      <c r="FP15" s="486">
        <v>11028</v>
      </c>
      <c r="FQ15" s="485">
        <v>1905</v>
      </c>
      <c r="FR15" s="486">
        <v>8142.1</v>
      </c>
      <c r="FS15" s="485">
        <v>110</v>
      </c>
      <c r="FT15" s="486">
        <v>673.4</v>
      </c>
      <c r="FU15" s="485">
        <v>1</v>
      </c>
      <c r="FV15" s="486">
        <v>20</v>
      </c>
      <c r="FW15" s="485">
        <v>0</v>
      </c>
      <c r="FX15" s="486">
        <v>0</v>
      </c>
      <c r="FY15" s="485">
        <v>1</v>
      </c>
      <c r="FZ15" s="486">
        <v>0.6</v>
      </c>
      <c r="GA15" s="485">
        <v>0</v>
      </c>
      <c r="GB15" s="485">
        <v>0</v>
      </c>
      <c r="GC15" s="487">
        <v>0</v>
      </c>
      <c r="GD15" s="488">
        <v>5</v>
      </c>
      <c r="GE15" s="488">
        <v>72</v>
      </c>
      <c r="GF15" s="488">
        <v>1255</v>
      </c>
      <c r="GG15" s="488">
        <v>4</v>
      </c>
      <c r="GH15" s="488">
        <v>0</v>
      </c>
      <c r="GI15" s="488">
        <v>5</v>
      </c>
      <c r="GJ15" s="488">
        <v>1</v>
      </c>
      <c r="GK15" s="488">
        <v>584</v>
      </c>
      <c r="GL15" s="488">
        <v>738</v>
      </c>
      <c r="GM15" s="488">
        <v>1332</v>
      </c>
      <c r="GN15" s="488">
        <v>704</v>
      </c>
      <c r="GO15" s="488">
        <v>67</v>
      </c>
      <c r="GP15" s="488">
        <v>2</v>
      </c>
      <c r="GQ15" s="488">
        <v>39</v>
      </c>
      <c r="GR15" s="488">
        <v>11</v>
      </c>
      <c r="GS15" s="488">
        <v>52</v>
      </c>
      <c r="GT15" s="489">
        <v>1532</v>
      </c>
      <c r="GU15" s="488">
        <v>5</v>
      </c>
      <c r="GV15" s="490">
        <v>0</v>
      </c>
      <c r="GW15" s="490">
        <v>0</v>
      </c>
      <c r="GX15" s="490">
        <v>5</v>
      </c>
      <c r="GY15" s="491">
        <v>8</v>
      </c>
      <c r="GZ15" s="491">
        <v>17</v>
      </c>
      <c r="HA15" s="491">
        <v>25</v>
      </c>
      <c r="HB15" s="475">
        <v>0</v>
      </c>
      <c r="HC15" s="475">
        <v>0</v>
      </c>
      <c r="HD15" s="475">
        <v>0</v>
      </c>
      <c r="HE15" s="475">
        <v>0</v>
      </c>
      <c r="HF15" s="475">
        <v>0</v>
      </c>
      <c r="HG15" s="475">
        <v>0</v>
      </c>
      <c r="HH15" s="475">
        <v>1</v>
      </c>
      <c r="HI15" s="475">
        <v>0</v>
      </c>
      <c r="HJ15" s="475">
        <v>0</v>
      </c>
      <c r="HK15" s="475">
        <v>0</v>
      </c>
      <c r="HL15" s="475">
        <v>0</v>
      </c>
      <c r="HM15" s="475">
        <v>0</v>
      </c>
      <c r="HN15" s="475">
        <v>0</v>
      </c>
      <c r="HO15" s="475">
        <v>0</v>
      </c>
      <c r="HP15" s="475">
        <v>0</v>
      </c>
      <c r="HQ15" s="475">
        <v>0</v>
      </c>
      <c r="HR15" s="475">
        <v>17</v>
      </c>
      <c r="HS15" s="475">
        <v>0</v>
      </c>
      <c r="HT15" s="475">
        <v>0</v>
      </c>
      <c r="HU15" s="475">
        <v>0</v>
      </c>
      <c r="HV15" s="475">
        <v>0</v>
      </c>
      <c r="HW15" s="475">
        <v>0</v>
      </c>
      <c r="HX15" s="475">
        <v>0</v>
      </c>
      <c r="HY15" s="475">
        <v>0</v>
      </c>
      <c r="HZ15" s="475">
        <v>39</v>
      </c>
      <c r="IA15" s="475" t="s">
        <v>721</v>
      </c>
      <c r="IB15" s="475" t="s">
        <v>721</v>
      </c>
      <c r="IC15" s="475" t="s">
        <v>721</v>
      </c>
      <c r="ID15" s="475" t="s">
        <v>721</v>
      </c>
      <c r="IE15" s="475" t="s">
        <v>721</v>
      </c>
      <c r="IF15" s="475">
        <v>15</v>
      </c>
      <c r="IG15" s="475" t="s">
        <v>721</v>
      </c>
      <c r="IH15" s="475" t="s">
        <v>721</v>
      </c>
      <c r="II15" s="475" t="s">
        <v>721</v>
      </c>
      <c r="IJ15" s="475" t="s">
        <v>721</v>
      </c>
      <c r="IK15" s="475" t="s">
        <v>721</v>
      </c>
      <c r="IL15" s="475" t="s">
        <v>721</v>
      </c>
      <c r="IM15" s="475" t="s">
        <v>721</v>
      </c>
      <c r="IN15" s="475" t="s">
        <v>721</v>
      </c>
      <c r="IO15" s="475" t="s">
        <v>721</v>
      </c>
      <c r="IP15" s="475" t="s">
        <v>721</v>
      </c>
      <c r="IQ15" s="475" t="s">
        <v>721</v>
      </c>
      <c r="IR15" s="475" t="s">
        <v>721</v>
      </c>
      <c r="IS15" s="475">
        <v>30</v>
      </c>
      <c r="IT15" s="475" t="s">
        <v>721</v>
      </c>
      <c r="IU15" s="475" t="s">
        <v>721</v>
      </c>
      <c r="IV15" s="475" t="s">
        <v>721</v>
      </c>
      <c r="IW15" s="475" t="s">
        <v>721</v>
      </c>
      <c r="IX15" s="475" t="s">
        <v>721</v>
      </c>
      <c r="IY15" s="475">
        <v>12</v>
      </c>
      <c r="IZ15" s="475" t="s">
        <v>721</v>
      </c>
      <c r="JA15" s="475" t="s">
        <v>721</v>
      </c>
      <c r="JB15" s="475" t="s">
        <v>721</v>
      </c>
      <c r="JC15" s="475" t="s">
        <v>721</v>
      </c>
      <c r="JD15" s="475" t="s">
        <v>721</v>
      </c>
      <c r="JE15" s="475" t="s">
        <v>721</v>
      </c>
      <c r="JF15" s="475" t="s">
        <v>721</v>
      </c>
      <c r="JG15" s="475" t="s">
        <v>721</v>
      </c>
      <c r="JH15" s="475" t="s">
        <v>721</v>
      </c>
      <c r="JI15" s="475" t="s">
        <v>721</v>
      </c>
      <c r="JJ15" s="475" t="s">
        <v>721</v>
      </c>
      <c r="JK15" s="475" t="s">
        <v>721</v>
      </c>
      <c r="JL15" s="755">
        <v>211474.4</v>
      </c>
      <c r="JM15" s="755">
        <v>15582.4</v>
      </c>
      <c r="JN15" s="755">
        <v>5358.1</v>
      </c>
      <c r="JO15" s="755">
        <v>5096</v>
      </c>
      <c r="JP15" s="755">
        <v>19815.599999999999</v>
      </c>
      <c r="JQ15" s="755">
        <v>1403.7</v>
      </c>
      <c r="JR15" s="755">
        <v>21425.200000000001</v>
      </c>
      <c r="JS15" s="755" t="s">
        <v>721</v>
      </c>
      <c r="JT15" s="755">
        <v>609.6</v>
      </c>
      <c r="JU15" s="755">
        <v>123.4</v>
      </c>
      <c r="JV15" s="755">
        <v>12.9</v>
      </c>
      <c r="JW15" s="755" t="s">
        <v>721</v>
      </c>
      <c r="JX15" s="755" t="s">
        <v>721</v>
      </c>
      <c r="JY15" s="755">
        <v>371.1</v>
      </c>
      <c r="JZ15" s="755">
        <v>572.20000000000005</v>
      </c>
      <c r="KA15" s="755" t="s">
        <v>721</v>
      </c>
      <c r="KB15" s="755">
        <v>3391.5</v>
      </c>
      <c r="KC15" s="755">
        <v>50.3</v>
      </c>
      <c r="KD15" s="755">
        <v>6501.8</v>
      </c>
      <c r="KE15" s="475">
        <v>246</v>
      </c>
      <c r="KF15" s="475">
        <v>20</v>
      </c>
      <c r="KG15" s="475" t="s">
        <v>721</v>
      </c>
      <c r="KH15" s="475" t="s">
        <v>721</v>
      </c>
      <c r="KI15" s="475">
        <v>14</v>
      </c>
      <c r="KJ15" s="475" t="s">
        <v>721</v>
      </c>
      <c r="KK15" s="475">
        <v>25</v>
      </c>
      <c r="KL15" s="475" t="s">
        <v>721</v>
      </c>
      <c r="KM15" s="475" t="s">
        <v>721</v>
      </c>
      <c r="KN15" s="475" t="s">
        <v>721</v>
      </c>
      <c r="KO15" s="475" t="s">
        <v>721</v>
      </c>
      <c r="KP15" s="475" t="s">
        <v>721</v>
      </c>
      <c r="KQ15" s="475" t="s">
        <v>721</v>
      </c>
      <c r="KR15" s="475" t="s">
        <v>721</v>
      </c>
      <c r="KS15" s="475" t="s">
        <v>721</v>
      </c>
      <c r="KT15" s="475" t="s">
        <v>721</v>
      </c>
      <c r="KU15" s="475" t="s">
        <v>721</v>
      </c>
      <c r="KV15" s="475" t="s">
        <v>721</v>
      </c>
      <c r="KW15" s="475" t="s">
        <v>721</v>
      </c>
      <c r="KX15" s="475">
        <v>159</v>
      </c>
      <c r="KY15" s="475">
        <v>14</v>
      </c>
      <c r="KZ15" s="475" t="s">
        <v>721</v>
      </c>
      <c r="LA15" s="475" t="s">
        <v>721</v>
      </c>
      <c r="LB15" s="475">
        <v>16</v>
      </c>
      <c r="LC15" s="475" t="s">
        <v>721</v>
      </c>
      <c r="LD15" s="475" t="s">
        <v>721</v>
      </c>
      <c r="LE15" s="475" t="s">
        <v>721</v>
      </c>
      <c r="LF15" s="475" t="s">
        <v>721</v>
      </c>
      <c r="LG15" s="475" t="s">
        <v>721</v>
      </c>
      <c r="LH15" s="475" t="s">
        <v>721</v>
      </c>
      <c r="LI15" s="475" t="s">
        <v>721</v>
      </c>
      <c r="LJ15" s="475" t="s">
        <v>721</v>
      </c>
      <c r="LK15" s="475" t="s">
        <v>721</v>
      </c>
      <c r="LL15" s="475" t="s">
        <v>721</v>
      </c>
      <c r="LM15" s="475" t="s">
        <v>721</v>
      </c>
      <c r="LN15" s="475" t="s">
        <v>721</v>
      </c>
      <c r="LO15" s="475" t="s">
        <v>721</v>
      </c>
      <c r="LP15" s="475" t="s">
        <v>721</v>
      </c>
      <c r="LQ15" s="475">
        <v>1200</v>
      </c>
      <c r="LR15" s="475">
        <v>74</v>
      </c>
      <c r="LS15" s="475">
        <v>27</v>
      </c>
      <c r="LT15" s="475">
        <v>24</v>
      </c>
      <c r="LU15" s="475">
        <v>113</v>
      </c>
      <c r="LV15" s="475" t="s">
        <v>721</v>
      </c>
      <c r="LW15" s="475">
        <v>128</v>
      </c>
      <c r="LX15" s="475" t="s">
        <v>721</v>
      </c>
      <c r="LY15" s="475" t="s">
        <v>721</v>
      </c>
      <c r="LZ15" s="475" t="s">
        <v>721</v>
      </c>
      <c r="MA15" s="475" t="s">
        <v>721</v>
      </c>
      <c r="MB15" s="475" t="s">
        <v>721</v>
      </c>
      <c r="MC15" s="475" t="s">
        <v>721</v>
      </c>
      <c r="MD15" s="475" t="s">
        <v>721</v>
      </c>
      <c r="ME15" s="475" t="s">
        <v>721</v>
      </c>
      <c r="MF15" s="475" t="s">
        <v>721</v>
      </c>
      <c r="MG15" s="475" t="s">
        <v>721</v>
      </c>
      <c r="MH15" s="475" t="s">
        <v>721</v>
      </c>
      <c r="MI15" s="475">
        <v>41</v>
      </c>
      <c r="MJ15" s="475">
        <v>559</v>
      </c>
      <c r="MK15" s="475">
        <v>43</v>
      </c>
      <c r="ML15" s="475">
        <v>14</v>
      </c>
      <c r="MM15" s="475">
        <v>17</v>
      </c>
      <c r="MN15" s="475">
        <v>59</v>
      </c>
      <c r="MO15" s="475" t="s">
        <v>721</v>
      </c>
      <c r="MP15" s="475">
        <v>56</v>
      </c>
      <c r="MQ15" s="475" t="s">
        <v>721</v>
      </c>
      <c r="MR15" s="475" t="s">
        <v>721</v>
      </c>
      <c r="MS15" s="475" t="s">
        <v>721</v>
      </c>
      <c r="MT15" s="475" t="s">
        <v>721</v>
      </c>
      <c r="MU15" s="475" t="s">
        <v>721</v>
      </c>
      <c r="MV15" s="475" t="s">
        <v>721</v>
      </c>
      <c r="MW15" s="475" t="s">
        <v>721</v>
      </c>
      <c r="MX15" s="475" t="s">
        <v>721</v>
      </c>
      <c r="MY15" s="475" t="s">
        <v>721</v>
      </c>
      <c r="MZ15" s="475" t="s">
        <v>721</v>
      </c>
      <c r="NA15" s="475" t="s">
        <v>721</v>
      </c>
      <c r="NB15" s="475">
        <v>13</v>
      </c>
      <c r="NC15" s="476">
        <v>0.56000000000000005</v>
      </c>
      <c r="ND15" s="476">
        <v>0.44</v>
      </c>
      <c r="NE15" s="476">
        <v>0.73299999999999998</v>
      </c>
      <c r="NF15" s="476">
        <v>4.8000000000000001E-2</v>
      </c>
      <c r="NG15" s="476">
        <v>1.7000000000000001E-2</v>
      </c>
      <c r="NH15" s="476">
        <v>1.7000000000000001E-2</v>
      </c>
      <c r="NI15" s="476">
        <v>7.1999999999999995E-2</v>
      </c>
      <c r="NJ15" s="476" t="s">
        <v>721</v>
      </c>
      <c r="NK15" s="476">
        <v>7.4999999999999997E-2</v>
      </c>
      <c r="NL15" s="476" t="s">
        <v>721</v>
      </c>
      <c r="NM15" s="476" t="s">
        <v>721</v>
      </c>
      <c r="NN15" s="476" t="s">
        <v>721</v>
      </c>
      <c r="NO15" s="476" t="s">
        <v>721</v>
      </c>
      <c r="NP15" s="476" t="s">
        <v>721</v>
      </c>
      <c r="NQ15" s="476" t="s">
        <v>721</v>
      </c>
      <c r="NR15" s="476" t="s">
        <v>721</v>
      </c>
      <c r="NS15" s="476" t="s">
        <v>721</v>
      </c>
      <c r="NT15" s="476" t="s">
        <v>721</v>
      </c>
      <c r="NU15" s="476">
        <v>7.0000000000000001E-3</v>
      </c>
      <c r="NV15" s="476" t="s">
        <v>721</v>
      </c>
      <c r="NW15" s="476">
        <v>2.1999999999999999E-2</v>
      </c>
      <c r="NX15" s="476" t="s">
        <v>721</v>
      </c>
      <c r="NY15" s="476">
        <v>1.6E-2</v>
      </c>
      <c r="NZ15" s="476" t="s">
        <v>721</v>
      </c>
      <c r="OA15" s="476" t="s">
        <v>721</v>
      </c>
      <c r="OB15" s="476" t="s">
        <v>721</v>
      </c>
      <c r="OC15" s="476" t="s">
        <v>721</v>
      </c>
      <c r="OD15" s="476" t="s">
        <v>721</v>
      </c>
      <c r="OE15" s="476">
        <v>0.94699999999999995</v>
      </c>
      <c r="OF15" s="476">
        <v>0.01</v>
      </c>
      <c r="OG15" s="476" t="s">
        <v>721</v>
      </c>
      <c r="OH15" s="476" t="s">
        <v>721</v>
      </c>
      <c r="OI15" s="476" t="s">
        <v>721</v>
      </c>
      <c r="OJ15" s="476" t="s">
        <v>721</v>
      </c>
      <c r="OK15" s="476" t="s">
        <v>721</v>
      </c>
      <c r="OL15" s="476" t="s">
        <v>721</v>
      </c>
      <c r="OM15" s="476" t="s">
        <v>721</v>
      </c>
      <c r="ON15" s="476">
        <v>1.4E-2</v>
      </c>
      <c r="OO15" s="476" t="s">
        <v>721</v>
      </c>
      <c r="OP15" s="476" t="s">
        <v>721</v>
      </c>
      <c r="OQ15" s="476" t="s">
        <v>721</v>
      </c>
      <c r="OR15" s="476" t="s">
        <v>721</v>
      </c>
      <c r="OS15" s="476" t="s">
        <v>721</v>
      </c>
      <c r="OT15" s="476" t="s">
        <v>721</v>
      </c>
      <c r="OU15" s="476" t="s">
        <v>721</v>
      </c>
      <c r="OV15" s="476" t="s">
        <v>721</v>
      </c>
      <c r="OW15" s="476" t="s">
        <v>721</v>
      </c>
      <c r="OX15" s="476" t="s">
        <v>721</v>
      </c>
      <c r="OY15" s="476" t="s">
        <v>721</v>
      </c>
      <c r="OZ15" s="476" t="s">
        <v>721</v>
      </c>
      <c r="PA15" s="476" t="s">
        <v>721</v>
      </c>
      <c r="PB15" s="476" t="s">
        <v>721</v>
      </c>
      <c r="PC15" s="476" t="s">
        <v>721</v>
      </c>
      <c r="PD15" s="476" t="s">
        <v>721</v>
      </c>
      <c r="PE15" s="476" t="s">
        <v>721</v>
      </c>
      <c r="PF15" s="476">
        <v>1.4E-2</v>
      </c>
      <c r="PG15" s="476" t="s">
        <v>721</v>
      </c>
      <c r="PH15" s="476" t="s">
        <v>721</v>
      </c>
      <c r="PI15" s="476" t="s">
        <v>721</v>
      </c>
      <c r="PJ15" s="476" t="s">
        <v>721</v>
      </c>
      <c r="PK15" s="476" t="s">
        <v>721</v>
      </c>
      <c r="PL15" s="476">
        <v>0.92700000000000005</v>
      </c>
      <c r="PM15" s="476">
        <v>4.9000000000000002E-2</v>
      </c>
      <c r="PN15" s="476" t="s">
        <v>721</v>
      </c>
      <c r="PO15" s="476" t="s">
        <v>721</v>
      </c>
      <c r="PP15" s="476" t="s">
        <v>721</v>
      </c>
      <c r="PQ15" s="476" t="s">
        <v>721</v>
      </c>
      <c r="PR15" s="476" t="s">
        <v>721</v>
      </c>
      <c r="PS15" s="476" t="s">
        <v>721</v>
      </c>
      <c r="PT15" s="476" t="s">
        <v>721</v>
      </c>
      <c r="PU15" s="476" t="s">
        <v>721</v>
      </c>
      <c r="PV15" s="476" t="s">
        <v>721</v>
      </c>
      <c r="PW15" s="476" t="s">
        <v>721</v>
      </c>
      <c r="PX15" s="476" t="s">
        <v>721</v>
      </c>
      <c r="PY15" s="476" t="s">
        <v>721</v>
      </c>
      <c r="PZ15" s="476" t="s">
        <v>721</v>
      </c>
      <c r="QA15" s="476" t="s">
        <v>721</v>
      </c>
      <c r="QB15" s="476" t="s">
        <v>721</v>
      </c>
      <c r="QC15" s="476" t="s">
        <v>721</v>
      </c>
      <c r="QD15" s="476" t="s">
        <v>721</v>
      </c>
      <c r="QE15" s="476" t="s">
        <v>721</v>
      </c>
      <c r="QF15" s="476" t="s">
        <v>721</v>
      </c>
      <c r="QG15" s="476" t="s">
        <v>721</v>
      </c>
      <c r="QH15" s="476" t="s">
        <v>721</v>
      </c>
      <c r="QI15" s="476" t="s">
        <v>721</v>
      </c>
      <c r="QJ15" s="476" t="s">
        <v>721</v>
      </c>
      <c r="QK15" s="476" t="s">
        <v>721</v>
      </c>
      <c r="QL15" s="476">
        <v>0.58199999999999996</v>
      </c>
      <c r="QM15" s="476" t="s">
        <v>721</v>
      </c>
      <c r="QN15" s="476" t="s">
        <v>721</v>
      </c>
      <c r="QO15" s="476" t="s">
        <v>721</v>
      </c>
      <c r="QP15" s="476" t="s">
        <v>721</v>
      </c>
      <c r="QQ15" s="476" t="s">
        <v>721</v>
      </c>
      <c r="QR15" s="476">
        <v>0.224</v>
      </c>
      <c r="QS15" s="476" t="s">
        <v>721</v>
      </c>
      <c r="QT15" s="476" t="s">
        <v>721</v>
      </c>
      <c r="QU15" s="476" t="s">
        <v>721</v>
      </c>
      <c r="QV15" s="476" t="s">
        <v>721</v>
      </c>
      <c r="QW15" s="476" t="s">
        <v>721</v>
      </c>
      <c r="QX15" s="476" t="s">
        <v>721</v>
      </c>
      <c r="QY15" s="476" t="s">
        <v>721</v>
      </c>
      <c r="QZ15" s="476" t="s">
        <v>721</v>
      </c>
      <c r="RA15" s="476" t="s">
        <v>721</v>
      </c>
      <c r="RB15" s="476" t="s">
        <v>721</v>
      </c>
      <c r="RC15" s="476" t="s">
        <v>721</v>
      </c>
      <c r="RD15" s="476" t="s">
        <v>721</v>
      </c>
      <c r="RE15" s="476">
        <v>0.57699999999999996</v>
      </c>
      <c r="RF15" s="476" t="s">
        <v>721</v>
      </c>
      <c r="RG15" s="476" t="s">
        <v>721</v>
      </c>
      <c r="RH15" s="476" t="s">
        <v>721</v>
      </c>
      <c r="RI15" s="476" t="s">
        <v>721</v>
      </c>
      <c r="RJ15" s="476" t="s">
        <v>721</v>
      </c>
      <c r="RK15" s="476">
        <v>0.23100000000000001</v>
      </c>
      <c r="RL15" s="476" t="s">
        <v>721</v>
      </c>
      <c r="RM15" s="476" t="s">
        <v>721</v>
      </c>
      <c r="RN15" s="476" t="s">
        <v>721</v>
      </c>
      <c r="RO15" s="476" t="s">
        <v>721</v>
      </c>
      <c r="RP15" s="476" t="s">
        <v>721</v>
      </c>
      <c r="RQ15" s="476" t="s">
        <v>721</v>
      </c>
      <c r="RR15" s="476" t="s">
        <v>721</v>
      </c>
      <c r="RS15" s="476" t="s">
        <v>721</v>
      </c>
      <c r="RT15" s="476" t="s">
        <v>721</v>
      </c>
      <c r="RU15" s="476" t="s">
        <v>721</v>
      </c>
      <c r="RV15" s="476" t="s">
        <v>721</v>
      </c>
      <c r="RW15" s="476" t="s">
        <v>721</v>
      </c>
      <c r="RX15" s="476">
        <v>0.72499999999999998</v>
      </c>
      <c r="RY15" s="476">
        <v>5.2999999999999999E-2</v>
      </c>
      <c r="RZ15" s="476">
        <v>1.7999999999999999E-2</v>
      </c>
      <c r="SA15" s="476">
        <v>1.7000000000000001E-2</v>
      </c>
      <c r="SB15" s="476">
        <v>6.8000000000000005E-2</v>
      </c>
      <c r="SC15" s="476">
        <v>5.0000000000000001E-3</v>
      </c>
      <c r="SD15" s="476">
        <v>7.2999999999999995E-2</v>
      </c>
      <c r="SE15" s="476" t="s">
        <v>721</v>
      </c>
      <c r="SF15" s="476">
        <v>2E-3</v>
      </c>
      <c r="SG15" s="476">
        <v>0</v>
      </c>
      <c r="SH15" s="476">
        <v>0</v>
      </c>
      <c r="SI15" s="476" t="s">
        <v>721</v>
      </c>
      <c r="SJ15" s="476" t="s">
        <v>721</v>
      </c>
      <c r="SK15" s="476">
        <v>1E-3</v>
      </c>
      <c r="SL15" s="476">
        <v>2E-3</v>
      </c>
      <c r="SM15" s="476" t="s">
        <v>721</v>
      </c>
      <c r="SN15" s="476">
        <v>1.2E-2</v>
      </c>
      <c r="SO15" s="476">
        <v>0</v>
      </c>
      <c r="SP15" s="476">
        <v>2.1999999999999999E-2</v>
      </c>
      <c r="SQ15" s="476">
        <v>0.73</v>
      </c>
      <c r="SR15" s="476">
        <v>5.8999999999999997E-2</v>
      </c>
      <c r="SS15" s="476" t="s">
        <v>721</v>
      </c>
      <c r="ST15" s="476" t="s">
        <v>721</v>
      </c>
      <c r="SU15" s="476">
        <v>4.2000000000000003E-2</v>
      </c>
      <c r="SV15" s="476" t="s">
        <v>721</v>
      </c>
      <c r="SW15" s="476">
        <v>7.3999999999999996E-2</v>
      </c>
      <c r="SX15" s="476" t="s">
        <v>721</v>
      </c>
      <c r="SY15" s="476" t="s">
        <v>721</v>
      </c>
      <c r="SZ15" s="476" t="s">
        <v>721</v>
      </c>
      <c r="TA15" s="476" t="s">
        <v>721</v>
      </c>
      <c r="TB15" s="476" t="s">
        <v>721</v>
      </c>
      <c r="TC15" s="476" t="s">
        <v>721</v>
      </c>
      <c r="TD15" s="476" t="s">
        <v>721</v>
      </c>
      <c r="TE15" s="476" t="s">
        <v>721</v>
      </c>
      <c r="TF15" s="476" t="s">
        <v>721</v>
      </c>
      <c r="TG15" s="476" t="s">
        <v>721</v>
      </c>
      <c r="TH15" s="476" t="s">
        <v>721</v>
      </c>
      <c r="TI15" s="476" t="s">
        <v>721</v>
      </c>
      <c r="TJ15" s="476">
        <v>0.69699999999999995</v>
      </c>
      <c r="TK15" s="476">
        <v>6.0999999999999999E-2</v>
      </c>
      <c r="TL15" s="476" t="s">
        <v>721</v>
      </c>
      <c r="TM15" s="476" t="s">
        <v>721</v>
      </c>
      <c r="TN15" s="476">
        <v>7.0000000000000007E-2</v>
      </c>
      <c r="TO15" s="476" t="s">
        <v>721</v>
      </c>
      <c r="TP15" s="476" t="s">
        <v>721</v>
      </c>
      <c r="TQ15" s="476" t="s">
        <v>721</v>
      </c>
      <c r="TR15" s="476" t="s">
        <v>721</v>
      </c>
      <c r="TS15" s="476" t="s">
        <v>721</v>
      </c>
      <c r="TT15" s="476" t="s">
        <v>721</v>
      </c>
      <c r="TU15" s="476" t="s">
        <v>721</v>
      </c>
      <c r="TV15" s="476" t="s">
        <v>721</v>
      </c>
      <c r="TW15" s="476" t="s">
        <v>721</v>
      </c>
      <c r="TX15" s="476" t="s">
        <v>721</v>
      </c>
      <c r="TY15" s="476" t="s">
        <v>721</v>
      </c>
      <c r="TZ15" s="476" t="s">
        <v>721</v>
      </c>
      <c r="UA15" s="476" t="s">
        <v>721</v>
      </c>
      <c r="UB15" s="476" t="s">
        <v>721</v>
      </c>
      <c r="UC15" s="476">
        <v>0.73699999999999999</v>
      </c>
      <c r="UD15" s="476">
        <v>4.4999999999999998E-2</v>
      </c>
      <c r="UE15" s="476">
        <v>1.7000000000000001E-2</v>
      </c>
      <c r="UF15" s="476">
        <v>1.4999999999999999E-2</v>
      </c>
      <c r="UG15" s="476">
        <v>6.9000000000000006E-2</v>
      </c>
      <c r="UH15" s="476" t="s">
        <v>721</v>
      </c>
      <c r="UI15" s="476">
        <v>7.9000000000000001E-2</v>
      </c>
      <c r="UJ15" s="476" t="s">
        <v>721</v>
      </c>
      <c r="UK15" s="476" t="s">
        <v>721</v>
      </c>
      <c r="UL15" s="476" t="s">
        <v>721</v>
      </c>
      <c r="UM15" s="476" t="s">
        <v>721</v>
      </c>
      <c r="UN15" s="476" t="s">
        <v>721</v>
      </c>
      <c r="UO15" s="476" t="s">
        <v>721</v>
      </c>
      <c r="UP15" s="476" t="s">
        <v>721</v>
      </c>
      <c r="UQ15" s="476" t="s">
        <v>721</v>
      </c>
      <c r="UR15" s="476" t="s">
        <v>721</v>
      </c>
      <c r="US15" s="476" t="s">
        <v>721</v>
      </c>
      <c r="UT15" s="476" t="s">
        <v>721</v>
      </c>
      <c r="UU15" s="476">
        <v>2.5000000000000001E-2</v>
      </c>
      <c r="UV15" s="476">
        <v>0.71699999999999997</v>
      </c>
      <c r="UW15" s="476">
        <v>5.5E-2</v>
      </c>
      <c r="UX15" s="476">
        <v>1.7999999999999999E-2</v>
      </c>
      <c r="UY15" s="476">
        <v>2.1999999999999999E-2</v>
      </c>
      <c r="UZ15" s="476">
        <v>7.5999999999999998E-2</v>
      </c>
      <c r="VA15" s="476" t="s">
        <v>721</v>
      </c>
      <c r="VB15" s="476">
        <v>7.1999999999999995E-2</v>
      </c>
      <c r="VC15" s="476" t="s">
        <v>721</v>
      </c>
      <c r="VD15" s="476" t="s">
        <v>721</v>
      </c>
      <c r="VE15" s="476" t="s">
        <v>721</v>
      </c>
      <c r="VF15" s="476" t="s">
        <v>721</v>
      </c>
      <c r="VG15" s="476" t="s">
        <v>721</v>
      </c>
      <c r="VH15" s="476" t="s">
        <v>721</v>
      </c>
      <c r="VI15" s="476" t="s">
        <v>721</v>
      </c>
      <c r="VJ15" s="476" t="s">
        <v>721</v>
      </c>
      <c r="VK15" s="476" t="s">
        <v>721</v>
      </c>
      <c r="VL15" s="476" t="s">
        <v>721</v>
      </c>
      <c r="VM15" s="476" t="s">
        <v>721</v>
      </c>
      <c r="VN15" s="476">
        <v>1.7000000000000001E-2</v>
      </c>
      <c r="VO15" s="28"/>
      <c r="VP15" s="28"/>
      <c r="VQ15" s="28"/>
      <c r="VR15" s="28"/>
      <c r="VS15" s="28"/>
      <c r="VT15" s="28"/>
      <c r="VU15" s="28"/>
      <c r="VV15" s="28"/>
      <c r="VW15" s="28"/>
      <c r="VX15" s="28"/>
      <c r="VY15" s="28"/>
      <c r="VZ15" s="28"/>
      <c r="WA15" s="28"/>
      <c r="WB15" s="28"/>
      <c r="WC15" s="28"/>
      <c r="WD15" s="28"/>
      <c r="WE15" s="28"/>
      <c r="WF15" s="28"/>
      <c r="WG15" s="28"/>
      <c r="WH15" s="28"/>
      <c r="WI15" s="28"/>
      <c r="WJ15" s="28"/>
      <c r="WK15" s="28"/>
      <c r="WL15" s="28"/>
      <c r="WM15" s="28"/>
      <c r="WN15" s="28"/>
      <c r="WO15" s="28"/>
      <c r="WP15" s="28"/>
      <c r="WQ15" s="28"/>
      <c r="WR15" s="28"/>
      <c r="WS15" s="28"/>
      <c r="WT15" s="28"/>
      <c r="WU15" s="28"/>
      <c r="WV15" s="28"/>
      <c r="WW15" s="28"/>
    </row>
    <row r="16" spans="1:621" s="151" customFormat="1" ht="15.75" customHeight="1" x14ac:dyDescent="0.35">
      <c r="A16" s="477" t="s">
        <v>26</v>
      </c>
      <c r="B16" s="492" t="s">
        <v>17</v>
      </c>
      <c r="C16" s="493">
        <v>16.399999999999999</v>
      </c>
      <c r="D16" s="494">
        <v>7660</v>
      </c>
      <c r="E16" s="473">
        <v>757400.7</v>
      </c>
      <c r="F16" s="473">
        <v>98.9</v>
      </c>
      <c r="G16" s="474">
        <v>7616</v>
      </c>
      <c r="H16" s="474">
        <v>6271</v>
      </c>
      <c r="I16" s="474">
        <v>5806</v>
      </c>
      <c r="J16" s="474">
        <v>4520</v>
      </c>
      <c r="K16" s="474">
        <v>2037</v>
      </c>
      <c r="L16" s="473">
        <v>316224.8</v>
      </c>
      <c r="M16" s="474">
        <v>5577</v>
      </c>
      <c r="N16" s="473">
        <v>441175.9</v>
      </c>
      <c r="O16" s="494">
        <v>577</v>
      </c>
      <c r="P16" s="495">
        <v>100592.8</v>
      </c>
      <c r="Q16" s="494">
        <v>1487</v>
      </c>
      <c r="R16" s="495">
        <v>25108.9</v>
      </c>
      <c r="S16" s="494">
        <v>3147</v>
      </c>
      <c r="T16" s="495">
        <v>296825.7</v>
      </c>
      <c r="U16" s="494">
        <v>83</v>
      </c>
      <c r="V16" s="495">
        <v>9680</v>
      </c>
      <c r="W16" s="494">
        <v>4430</v>
      </c>
      <c r="X16" s="495">
        <v>450895</v>
      </c>
      <c r="Y16" s="494">
        <v>6358</v>
      </c>
      <c r="Z16" s="494">
        <v>3284</v>
      </c>
      <c r="AA16" s="494">
        <v>4592</v>
      </c>
      <c r="AB16" s="494">
        <v>2966</v>
      </c>
      <c r="AC16" s="494">
        <v>560</v>
      </c>
      <c r="AD16" s="494">
        <v>1237</v>
      </c>
      <c r="AE16" s="494">
        <v>4010</v>
      </c>
      <c r="AF16" s="495">
        <v>280524.90000000002</v>
      </c>
      <c r="AG16" s="494">
        <v>3058</v>
      </c>
      <c r="AH16" s="495">
        <v>450856.5</v>
      </c>
      <c r="AI16" s="494">
        <v>459</v>
      </c>
      <c r="AJ16" s="495">
        <v>17264.5</v>
      </c>
      <c r="AK16" s="494">
        <v>87</v>
      </c>
      <c r="AL16" s="495">
        <v>8754.7999999999993</v>
      </c>
      <c r="AM16" s="496">
        <v>4337</v>
      </c>
      <c r="AN16" s="496">
        <v>3323</v>
      </c>
      <c r="AO16" s="496">
        <v>324</v>
      </c>
      <c r="AP16" s="496">
        <v>6837</v>
      </c>
      <c r="AQ16" s="496">
        <v>87</v>
      </c>
      <c r="AR16" s="496" t="s">
        <v>721</v>
      </c>
      <c r="AS16" s="496">
        <v>17</v>
      </c>
      <c r="AT16" s="496" t="s">
        <v>721</v>
      </c>
      <c r="AU16" s="496">
        <v>270</v>
      </c>
      <c r="AV16" s="496" t="s">
        <v>721</v>
      </c>
      <c r="AW16" s="496">
        <v>16</v>
      </c>
      <c r="AX16" s="496" t="s">
        <v>721</v>
      </c>
      <c r="AY16" s="496" t="s">
        <v>721</v>
      </c>
      <c r="AZ16" s="496" t="s">
        <v>721</v>
      </c>
      <c r="BA16" s="496" t="s">
        <v>721</v>
      </c>
      <c r="BB16" s="496" t="s">
        <v>721</v>
      </c>
      <c r="BC16" s="496" t="s">
        <v>721</v>
      </c>
      <c r="BD16" s="496" t="s">
        <v>721</v>
      </c>
      <c r="BE16" s="496" t="s">
        <v>721</v>
      </c>
      <c r="BF16" s="496" t="s">
        <v>721</v>
      </c>
      <c r="BG16" s="496">
        <v>85</v>
      </c>
      <c r="BH16" s="496" t="s">
        <v>721</v>
      </c>
      <c r="BI16" s="496">
        <v>5698</v>
      </c>
      <c r="BJ16" s="496" t="s">
        <v>721</v>
      </c>
      <c r="BK16" s="496" t="s">
        <v>721</v>
      </c>
      <c r="BL16" s="496" t="s">
        <v>721</v>
      </c>
      <c r="BM16" s="496" t="s">
        <v>721</v>
      </c>
      <c r="BN16" s="496" t="s">
        <v>721</v>
      </c>
      <c r="BO16" s="496">
        <v>1937</v>
      </c>
      <c r="BP16" s="496" t="s">
        <v>721</v>
      </c>
      <c r="BQ16" s="496" t="s">
        <v>721</v>
      </c>
      <c r="BR16" s="496" t="s">
        <v>721</v>
      </c>
      <c r="BS16" s="496" t="s">
        <v>721</v>
      </c>
      <c r="BT16" s="496" t="s">
        <v>721</v>
      </c>
      <c r="BU16" s="496" t="s">
        <v>721</v>
      </c>
      <c r="BV16" s="496" t="s">
        <v>721</v>
      </c>
      <c r="BW16" s="496" t="s">
        <v>721</v>
      </c>
      <c r="BX16" s="496" t="s">
        <v>721</v>
      </c>
      <c r="BY16" s="496" t="s">
        <v>721</v>
      </c>
      <c r="BZ16" s="496" t="s">
        <v>721</v>
      </c>
      <c r="CA16" s="496" t="s">
        <v>721</v>
      </c>
      <c r="CB16" s="496" t="s">
        <v>721</v>
      </c>
      <c r="CC16" s="496" t="s">
        <v>721</v>
      </c>
      <c r="CD16" s="496" t="s">
        <v>721</v>
      </c>
      <c r="CE16" s="496" t="s">
        <v>721</v>
      </c>
      <c r="CF16" s="496" t="s">
        <v>721</v>
      </c>
      <c r="CG16" s="496" t="s">
        <v>721</v>
      </c>
      <c r="CH16" s="496" t="s">
        <v>721</v>
      </c>
      <c r="CI16" s="496" t="s">
        <v>721</v>
      </c>
      <c r="CJ16" s="496" t="s">
        <v>721</v>
      </c>
      <c r="CK16" s="496" t="s">
        <v>721</v>
      </c>
      <c r="CL16" s="496" t="s">
        <v>721</v>
      </c>
      <c r="CM16" s="496" t="s">
        <v>721</v>
      </c>
      <c r="CN16" s="496" t="s">
        <v>721</v>
      </c>
      <c r="CO16" s="496" t="s">
        <v>721</v>
      </c>
      <c r="CP16" s="496">
        <v>3932</v>
      </c>
      <c r="CQ16" s="496" t="s">
        <v>721</v>
      </c>
      <c r="CR16" s="496" t="s">
        <v>721</v>
      </c>
      <c r="CS16" s="496" t="s">
        <v>721</v>
      </c>
      <c r="CT16" s="496" t="s">
        <v>721</v>
      </c>
      <c r="CU16" s="496" t="s">
        <v>721</v>
      </c>
      <c r="CV16" s="496">
        <v>2419</v>
      </c>
      <c r="CW16" s="496" t="s">
        <v>721</v>
      </c>
      <c r="CX16" s="496" t="s">
        <v>721</v>
      </c>
      <c r="CY16" s="496" t="s">
        <v>721</v>
      </c>
      <c r="CZ16" s="496" t="s">
        <v>721</v>
      </c>
      <c r="DA16" s="496" t="s">
        <v>721</v>
      </c>
      <c r="DB16" s="496" t="s">
        <v>721</v>
      </c>
      <c r="DC16" s="496" t="s">
        <v>721</v>
      </c>
      <c r="DD16" s="496" t="s">
        <v>721</v>
      </c>
      <c r="DE16" s="496" t="s">
        <v>721</v>
      </c>
      <c r="DF16" s="496" t="s">
        <v>721</v>
      </c>
      <c r="DG16" s="496" t="s">
        <v>721</v>
      </c>
      <c r="DH16" s="496" t="s">
        <v>721</v>
      </c>
      <c r="DI16" s="496" t="s">
        <v>721</v>
      </c>
      <c r="DJ16" s="496" t="s">
        <v>721</v>
      </c>
      <c r="DK16" s="496" t="s">
        <v>721</v>
      </c>
      <c r="DL16" s="496" t="s">
        <v>721</v>
      </c>
      <c r="DM16" s="496" t="s">
        <v>721</v>
      </c>
      <c r="DN16" s="496" t="s">
        <v>721</v>
      </c>
      <c r="DO16" s="496" t="s">
        <v>721</v>
      </c>
      <c r="DP16" s="496" t="s">
        <v>721</v>
      </c>
      <c r="DQ16" s="496" t="s">
        <v>721</v>
      </c>
      <c r="DR16" s="496" t="s">
        <v>721</v>
      </c>
      <c r="DS16" s="483" t="s">
        <v>721</v>
      </c>
      <c r="DT16" s="483" t="s">
        <v>721</v>
      </c>
      <c r="DU16" s="483" t="s">
        <v>721</v>
      </c>
      <c r="DV16" s="496">
        <v>828</v>
      </c>
      <c r="DW16" s="497">
        <v>91225.4</v>
      </c>
      <c r="DX16" s="496">
        <v>895</v>
      </c>
      <c r="DY16" s="497">
        <v>113752.5</v>
      </c>
      <c r="DZ16" s="496">
        <v>1370</v>
      </c>
      <c r="EA16" s="497">
        <v>123805.4</v>
      </c>
      <c r="EB16" s="496">
        <v>1750</v>
      </c>
      <c r="EC16" s="497">
        <v>148051.4</v>
      </c>
      <c r="ED16" s="496">
        <v>1778</v>
      </c>
      <c r="EE16" s="497">
        <v>162855.29999999999</v>
      </c>
      <c r="EF16" s="496">
        <v>1039</v>
      </c>
      <c r="EG16" s="497">
        <v>117710.7</v>
      </c>
      <c r="EH16" s="485">
        <v>5856</v>
      </c>
      <c r="EI16" s="486">
        <v>16305.5</v>
      </c>
      <c r="EJ16" s="485">
        <v>5896</v>
      </c>
      <c r="EK16" s="486">
        <v>125707.6</v>
      </c>
      <c r="EL16" s="485">
        <v>5837</v>
      </c>
      <c r="EM16" s="486">
        <v>56035.8</v>
      </c>
      <c r="EN16" s="485">
        <v>5975</v>
      </c>
      <c r="EO16" s="486">
        <v>26627.9</v>
      </c>
      <c r="EP16" s="485">
        <v>5832</v>
      </c>
      <c r="EQ16" s="486">
        <v>17382.099999999999</v>
      </c>
      <c r="ER16" s="485">
        <v>5803</v>
      </c>
      <c r="ES16" s="486">
        <v>11958.5</v>
      </c>
      <c r="ET16" s="485">
        <v>0</v>
      </c>
      <c r="EU16" s="485">
        <v>4716</v>
      </c>
      <c r="EV16" s="486">
        <v>69079</v>
      </c>
      <c r="EW16" s="485">
        <v>835</v>
      </c>
      <c r="EX16" s="486">
        <v>3305.7</v>
      </c>
      <c r="EY16" s="485">
        <v>1879</v>
      </c>
      <c r="EZ16" s="486">
        <v>22494.799999999999</v>
      </c>
      <c r="FA16" s="485">
        <v>462</v>
      </c>
      <c r="FB16" s="486">
        <v>4749.1000000000004</v>
      </c>
      <c r="FC16" s="485">
        <v>6633</v>
      </c>
      <c r="FD16" s="486">
        <v>79935</v>
      </c>
      <c r="FE16" s="485">
        <v>6631</v>
      </c>
      <c r="FF16" s="486">
        <v>50987.7</v>
      </c>
      <c r="FG16" s="485">
        <v>4241</v>
      </c>
      <c r="FH16" s="486">
        <v>27598</v>
      </c>
      <c r="FI16" s="485">
        <v>5570</v>
      </c>
      <c r="FJ16" s="486">
        <v>31719.8</v>
      </c>
      <c r="FK16" s="485">
        <v>5620</v>
      </c>
      <c r="FL16" s="486">
        <v>16419.7</v>
      </c>
      <c r="FM16" s="485">
        <v>283</v>
      </c>
      <c r="FN16" s="486">
        <v>734.2</v>
      </c>
      <c r="FO16" s="485">
        <v>5892</v>
      </c>
      <c r="FP16" s="486">
        <v>47896.7</v>
      </c>
      <c r="FQ16" s="485">
        <v>5468</v>
      </c>
      <c r="FR16" s="486">
        <v>22280.6</v>
      </c>
      <c r="FS16" s="485">
        <v>75</v>
      </c>
      <c r="FT16" s="486">
        <v>529.70000000000005</v>
      </c>
      <c r="FU16" s="485">
        <v>0</v>
      </c>
      <c r="FV16" s="486">
        <v>0</v>
      </c>
      <c r="FW16" s="485">
        <v>0</v>
      </c>
      <c r="FX16" s="486">
        <v>0</v>
      </c>
      <c r="FY16" s="485">
        <v>0</v>
      </c>
      <c r="FZ16" s="486">
        <v>0</v>
      </c>
      <c r="GA16" s="485">
        <v>0</v>
      </c>
      <c r="GB16" s="485">
        <v>0</v>
      </c>
      <c r="GC16" s="487">
        <v>0</v>
      </c>
      <c r="GD16" s="488">
        <v>3</v>
      </c>
      <c r="GE16" s="488">
        <v>193</v>
      </c>
      <c r="GF16" s="488">
        <v>1844</v>
      </c>
      <c r="GG16" s="488">
        <v>6</v>
      </c>
      <c r="GH16" s="488">
        <v>0</v>
      </c>
      <c r="GI16" s="488">
        <v>2</v>
      </c>
      <c r="GJ16" s="488">
        <v>0</v>
      </c>
      <c r="GK16" s="488">
        <v>902</v>
      </c>
      <c r="GL16" s="488">
        <v>1130</v>
      </c>
      <c r="GM16" s="488">
        <v>2040</v>
      </c>
      <c r="GN16" s="488">
        <v>2358</v>
      </c>
      <c r="GO16" s="488">
        <v>232</v>
      </c>
      <c r="GP16" s="488">
        <v>4</v>
      </c>
      <c r="GQ16" s="488">
        <v>86</v>
      </c>
      <c r="GR16" s="488">
        <v>9</v>
      </c>
      <c r="GS16" s="488">
        <v>99</v>
      </c>
      <c r="GT16" s="489">
        <v>5468</v>
      </c>
      <c r="GU16" s="488">
        <v>4</v>
      </c>
      <c r="GV16" s="490">
        <v>0</v>
      </c>
      <c r="GW16" s="490">
        <v>1</v>
      </c>
      <c r="GX16" s="490">
        <v>5</v>
      </c>
      <c r="GY16" s="491">
        <v>0</v>
      </c>
      <c r="GZ16" s="491">
        <v>1</v>
      </c>
      <c r="HA16" s="491">
        <v>1</v>
      </c>
      <c r="HB16" s="475">
        <v>0</v>
      </c>
      <c r="HC16" s="475">
        <v>0</v>
      </c>
      <c r="HD16" s="475">
        <v>0</v>
      </c>
      <c r="HE16" s="475">
        <v>0</v>
      </c>
      <c r="HF16" s="475">
        <v>1</v>
      </c>
      <c r="HG16" s="475">
        <v>1</v>
      </c>
      <c r="HH16" s="475">
        <v>1</v>
      </c>
      <c r="HI16" s="475">
        <v>0</v>
      </c>
      <c r="HJ16" s="475">
        <v>0</v>
      </c>
      <c r="HK16" s="475">
        <v>0</v>
      </c>
      <c r="HL16" s="475">
        <v>8</v>
      </c>
      <c r="HM16" s="475">
        <v>1</v>
      </c>
      <c r="HN16" s="475">
        <v>0</v>
      </c>
      <c r="HO16" s="475">
        <v>0</v>
      </c>
      <c r="HP16" s="475">
        <v>0</v>
      </c>
      <c r="HQ16" s="475">
        <v>0</v>
      </c>
      <c r="HR16" s="475">
        <v>22</v>
      </c>
      <c r="HS16" s="475">
        <v>0</v>
      </c>
      <c r="HT16" s="475">
        <v>0</v>
      </c>
      <c r="HU16" s="475">
        <v>0</v>
      </c>
      <c r="HV16" s="475">
        <v>0</v>
      </c>
      <c r="HW16" s="475">
        <v>0</v>
      </c>
      <c r="HX16" s="475">
        <v>0</v>
      </c>
      <c r="HY16" s="475">
        <v>0</v>
      </c>
      <c r="HZ16" s="475">
        <v>14</v>
      </c>
      <c r="IA16" s="475">
        <v>203</v>
      </c>
      <c r="IB16" s="475" t="s">
        <v>721</v>
      </c>
      <c r="IC16" s="475" t="s">
        <v>721</v>
      </c>
      <c r="ID16" s="475" t="s">
        <v>721</v>
      </c>
      <c r="IE16" s="475" t="s">
        <v>721</v>
      </c>
      <c r="IF16" s="475" t="s">
        <v>721</v>
      </c>
      <c r="IG16" s="475" t="s">
        <v>721</v>
      </c>
      <c r="IH16" s="475" t="s">
        <v>721</v>
      </c>
      <c r="II16" s="475" t="s">
        <v>721</v>
      </c>
      <c r="IJ16" s="475" t="s">
        <v>721</v>
      </c>
      <c r="IK16" s="475" t="s">
        <v>721</v>
      </c>
      <c r="IL16" s="475" t="s">
        <v>721</v>
      </c>
      <c r="IM16" s="475" t="s">
        <v>721</v>
      </c>
      <c r="IN16" s="475" t="s">
        <v>721</v>
      </c>
      <c r="IO16" s="475" t="s">
        <v>721</v>
      </c>
      <c r="IP16" s="475" t="s">
        <v>721</v>
      </c>
      <c r="IQ16" s="475" t="s">
        <v>721</v>
      </c>
      <c r="IR16" s="475" t="s">
        <v>721</v>
      </c>
      <c r="IS16" s="475">
        <v>12</v>
      </c>
      <c r="IT16" s="475">
        <v>72</v>
      </c>
      <c r="IU16" s="475" t="s">
        <v>721</v>
      </c>
      <c r="IV16" s="475" t="s">
        <v>721</v>
      </c>
      <c r="IW16" s="475" t="s">
        <v>721</v>
      </c>
      <c r="IX16" s="475" t="s">
        <v>721</v>
      </c>
      <c r="IY16" s="475" t="s">
        <v>721</v>
      </c>
      <c r="IZ16" s="475" t="s">
        <v>721</v>
      </c>
      <c r="JA16" s="475" t="s">
        <v>721</v>
      </c>
      <c r="JB16" s="475" t="s">
        <v>721</v>
      </c>
      <c r="JC16" s="475" t="s">
        <v>721</v>
      </c>
      <c r="JD16" s="475" t="s">
        <v>721</v>
      </c>
      <c r="JE16" s="475" t="s">
        <v>721</v>
      </c>
      <c r="JF16" s="475" t="s">
        <v>721</v>
      </c>
      <c r="JG16" s="475" t="s">
        <v>721</v>
      </c>
      <c r="JH16" s="475" t="s">
        <v>721</v>
      </c>
      <c r="JI16" s="475" t="s">
        <v>721</v>
      </c>
      <c r="JJ16" s="475" t="s">
        <v>721</v>
      </c>
      <c r="JK16" s="475" t="s">
        <v>721</v>
      </c>
      <c r="JL16" s="755">
        <v>31436.2</v>
      </c>
      <c r="JM16" s="755">
        <v>681987.3</v>
      </c>
      <c r="JN16" s="755">
        <v>7857.7</v>
      </c>
      <c r="JO16" s="755">
        <v>654.6</v>
      </c>
      <c r="JP16" s="755">
        <v>1572.4</v>
      </c>
      <c r="JQ16" s="755">
        <v>720.3</v>
      </c>
      <c r="JR16" s="755">
        <v>22156.5</v>
      </c>
      <c r="JS16" s="755" t="s">
        <v>721</v>
      </c>
      <c r="JT16" s="755">
        <v>1913.6</v>
      </c>
      <c r="JU16" s="755" t="s">
        <v>721</v>
      </c>
      <c r="JV16" s="755">
        <v>105.3</v>
      </c>
      <c r="JW16" s="755">
        <v>49.2</v>
      </c>
      <c r="JX16" s="755">
        <v>387.4</v>
      </c>
      <c r="JY16" s="755">
        <v>389.8</v>
      </c>
      <c r="JZ16" s="755" t="s">
        <v>721</v>
      </c>
      <c r="KA16" s="755" t="s">
        <v>721</v>
      </c>
      <c r="KB16" s="755">
        <v>72.099999999999994</v>
      </c>
      <c r="KC16" s="755" t="s">
        <v>721</v>
      </c>
      <c r="KD16" s="755">
        <v>8098.3</v>
      </c>
      <c r="KE16" s="475">
        <v>30</v>
      </c>
      <c r="KF16" s="475">
        <v>508</v>
      </c>
      <c r="KG16" s="475" t="s">
        <v>721</v>
      </c>
      <c r="KH16" s="475" t="s">
        <v>721</v>
      </c>
      <c r="KI16" s="475" t="s">
        <v>721</v>
      </c>
      <c r="KJ16" s="475" t="s">
        <v>721</v>
      </c>
      <c r="KK16" s="475">
        <v>21</v>
      </c>
      <c r="KL16" s="475" t="s">
        <v>721</v>
      </c>
      <c r="KM16" s="475" t="s">
        <v>721</v>
      </c>
      <c r="KN16" s="475" t="s">
        <v>721</v>
      </c>
      <c r="KO16" s="475" t="s">
        <v>721</v>
      </c>
      <c r="KP16" s="475" t="s">
        <v>721</v>
      </c>
      <c r="KQ16" s="475" t="s">
        <v>721</v>
      </c>
      <c r="KR16" s="475" t="s">
        <v>721</v>
      </c>
      <c r="KS16" s="475" t="s">
        <v>721</v>
      </c>
      <c r="KT16" s="475" t="s">
        <v>721</v>
      </c>
      <c r="KU16" s="475" t="s">
        <v>721</v>
      </c>
      <c r="KV16" s="475" t="s">
        <v>721</v>
      </c>
      <c r="KW16" s="475" t="s">
        <v>721</v>
      </c>
      <c r="KX16" s="475">
        <v>46</v>
      </c>
      <c r="KY16" s="475">
        <v>1377</v>
      </c>
      <c r="KZ16" s="475">
        <v>11</v>
      </c>
      <c r="LA16" s="475" t="s">
        <v>721</v>
      </c>
      <c r="LB16" s="475" t="s">
        <v>721</v>
      </c>
      <c r="LC16" s="475" t="s">
        <v>721</v>
      </c>
      <c r="LD16" s="475">
        <v>31</v>
      </c>
      <c r="LE16" s="475" t="s">
        <v>721</v>
      </c>
      <c r="LF16" s="475" t="s">
        <v>721</v>
      </c>
      <c r="LG16" s="475" t="s">
        <v>721</v>
      </c>
      <c r="LH16" s="475" t="s">
        <v>721</v>
      </c>
      <c r="LI16" s="475" t="s">
        <v>721</v>
      </c>
      <c r="LJ16" s="475" t="s">
        <v>721</v>
      </c>
      <c r="LK16" s="475" t="s">
        <v>721</v>
      </c>
      <c r="LL16" s="475" t="s">
        <v>721</v>
      </c>
      <c r="LM16" s="475" t="s">
        <v>721</v>
      </c>
      <c r="LN16" s="475" t="s">
        <v>721</v>
      </c>
      <c r="LO16" s="475" t="s">
        <v>721</v>
      </c>
      <c r="LP16" s="475">
        <v>14</v>
      </c>
      <c r="LQ16" s="475">
        <v>247</v>
      </c>
      <c r="LR16" s="475">
        <v>4929</v>
      </c>
      <c r="LS16" s="475">
        <v>67</v>
      </c>
      <c r="LT16" s="475" t="s">
        <v>721</v>
      </c>
      <c r="LU16" s="475">
        <v>15</v>
      </c>
      <c r="LV16" s="475" t="s">
        <v>721</v>
      </c>
      <c r="LW16" s="475">
        <v>224</v>
      </c>
      <c r="LX16" s="475" t="s">
        <v>721</v>
      </c>
      <c r="LY16" s="475" t="s">
        <v>721</v>
      </c>
      <c r="LZ16" s="475" t="s">
        <v>721</v>
      </c>
      <c r="MA16" s="475" t="s">
        <v>721</v>
      </c>
      <c r="MB16" s="475" t="s">
        <v>721</v>
      </c>
      <c r="MC16" s="475" t="s">
        <v>721</v>
      </c>
      <c r="MD16" s="475" t="s">
        <v>721</v>
      </c>
      <c r="ME16" s="475" t="s">
        <v>721</v>
      </c>
      <c r="MF16" s="475" t="s">
        <v>721</v>
      </c>
      <c r="MG16" s="475" t="s">
        <v>721</v>
      </c>
      <c r="MH16" s="475" t="s">
        <v>721</v>
      </c>
      <c r="MI16" s="475">
        <v>67</v>
      </c>
      <c r="MJ16" s="475">
        <v>70</v>
      </c>
      <c r="MK16" s="475">
        <v>1877</v>
      </c>
      <c r="ML16" s="475">
        <v>20</v>
      </c>
      <c r="MM16" s="475" t="s">
        <v>721</v>
      </c>
      <c r="MN16" s="475" t="s">
        <v>721</v>
      </c>
      <c r="MO16" s="475" t="s">
        <v>721</v>
      </c>
      <c r="MP16" s="475">
        <v>40</v>
      </c>
      <c r="MQ16" s="475" t="s">
        <v>721</v>
      </c>
      <c r="MR16" s="475" t="s">
        <v>721</v>
      </c>
      <c r="MS16" s="475" t="s">
        <v>721</v>
      </c>
      <c r="MT16" s="475" t="s">
        <v>721</v>
      </c>
      <c r="MU16" s="475" t="s">
        <v>721</v>
      </c>
      <c r="MV16" s="475" t="s">
        <v>721</v>
      </c>
      <c r="MW16" s="475" t="s">
        <v>721</v>
      </c>
      <c r="MX16" s="475" t="s">
        <v>721</v>
      </c>
      <c r="MY16" s="475" t="s">
        <v>721</v>
      </c>
      <c r="MZ16" s="475" t="s">
        <v>721</v>
      </c>
      <c r="NA16" s="475" t="s">
        <v>721</v>
      </c>
      <c r="NB16" s="475">
        <v>17</v>
      </c>
      <c r="NC16" s="476">
        <v>0.56599999999999995</v>
      </c>
      <c r="ND16" s="476">
        <v>0.434</v>
      </c>
      <c r="NE16" s="476">
        <v>4.2000000000000003E-2</v>
      </c>
      <c r="NF16" s="476">
        <v>0.89300000000000002</v>
      </c>
      <c r="NG16" s="476">
        <v>1.0999999999999999E-2</v>
      </c>
      <c r="NH16" s="476" t="s">
        <v>721</v>
      </c>
      <c r="NI16" s="476">
        <v>2E-3</v>
      </c>
      <c r="NJ16" s="476" t="s">
        <v>721</v>
      </c>
      <c r="NK16" s="476">
        <v>3.5000000000000003E-2</v>
      </c>
      <c r="NL16" s="476" t="s">
        <v>721</v>
      </c>
      <c r="NM16" s="476">
        <v>2E-3</v>
      </c>
      <c r="NN16" s="476" t="s">
        <v>721</v>
      </c>
      <c r="NO16" s="476" t="s">
        <v>721</v>
      </c>
      <c r="NP16" s="476" t="s">
        <v>721</v>
      </c>
      <c r="NQ16" s="476" t="s">
        <v>721</v>
      </c>
      <c r="NR16" s="476" t="s">
        <v>721</v>
      </c>
      <c r="NS16" s="476" t="s">
        <v>721</v>
      </c>
      <c r="NT16" s="476" t="s">
        <v>721</v>
      </c>
      <c r="NU16" s="476" t="s">
        <v>721</v>
      </c>
      <c r="NV16" s="476" t="s">
        <v>721</v>
      </c>
      <c r="NW16" s="476">
        <v>1.0999999999999999E-2</v>
      </c>
      <c r="NX16" s="476" t="s">
        <v>721</v>
      </c>
      <c r="NY16" s="476">
        <v>0.74399999999999999</v>
      </c>
      <c r="NZ16" s="476" t="s">
        <v>721</v>
      </c>
      <c r="OA16" s="476" t="s">
        <v>721</v>
      </c>
      <c r="OB16" s="476" t="s">
        <v>721</v>
      </c>
      <c r="OC16" s="476" t="s">
        <v>721</v>
      </c>
      <c r="OD16" s="476" t="s">
        <v>721</v>
      </c>
      <c r="OE16" s="476">
        <v>0.253</v>
      </c>
      <c r="OF16" s="476" t="s">
        <v>721</v>
      </c>
      <c r="OG16" s="476" t="s">
        <v>721</v>
      </c>
      <c r="OH16" s="476" t="s">
        <v>721</v>
      </c>
      <c r="OI16" s="476" t="s">
        <v>721</v>
      </c>
      <c r="OJ16" s="476" t="s">
        <v>721</v>
      </c>
      <c r="OK16" s="476" t="s">
        <v>721</v>
      </c>
      <c r="OL16" s="476" t="s">
        <v>721</v>
      </c>
      <c r="OM16" s="476" t="s">
        <v>721</v>
      </c>
      <c r="ON16" s="476" t="s">
        <v>721</v>
      </c>
      <c r="OO16" s="476" t="s">
        <v>721</v>
      </c>
      <c r="OP16" s="476" t="s">
        <v>721</v>
      </c>
      <c r="OQ16" s="476" t="s">
        <v>721</v>
      </c>
      <c r="OR16" s="476" t="s">
        <v>721</v>
      </c>
      <c r="OS16" s="476" t="s">
        <v>721</v>
      </c>
      <c r="OT16" s="476" t="s">
        <v>721</v>
      </c>
      <c r="OU16" s="476" t="s">
        <v>721</v>
      </c>
      <c r="OV16" s="476" t="s">
        <v>721</v>
      </c>
      <c r="OW16" s="476" t="s">
        <v>721</v>
      </c>
      <c r="OX16" s="476" t="s">
        <v>721</v>
      </c>
      <c r="OY16" s="476" t="s">
        <v>721</v>
      </c>
      <c r="OZ16" s="476" t="s">
        <v>721</v>
      </c>
      <c r="PA16" s="476" t="s">
        <v>721</v>
      </c>
      <c r="PB16" s="476" t="s">
        <v>721</v>
      </c>
      <c r="PC16" s="476" t="s">
        <v>721</v>
      </c>
      <c r="PD16" s="476" t="s">
        <v>721</v>
      </c>
      <c r="PE16" s="476" t="s">
        <v>721</v>
      </c>
      <c r="PF16" s="476">
        <v>0.61799999999999999</v>
      </c>
      <c r="PG16" s="476" t="s">
        <v>721</v>
      </c>
      <c r="PH16" s="476" t="s">
        <v>721</v>
      </c>
      <c r="PI16" s="476" t="s">
        <v>721</v>
      </c>
      <c r="PJ16" s="476" t="s">
        <v>721</v>
      </c>
      <c r="PK16" s="476" t="s">
        <v>721</v>
      </c>
      <c r="PL16" s="476">
        <v>0.38</v>
      </c>
      <c r="PM16" s="476" t="s">
        <v>721</v>
      </c>
      <c r="PN16" s="476" t="s">
        <v>721</v>
      </c>
      <c r="PO16" s="476" t="s">
        <v>721</v>
      </c>
      <c r="PP16" s="476" t="s">
        <v>721</v>
      </c>
      <c r="PQ16" s="476" t="s">
        <v>721</v>
      </c>
      <c r="PR16" s="476" t="s">
        <v>721</v>
      </c>
      <c r="PS16" s="476" t="s">
        <v>721</v>
      </c>
      <c r="PT16" s="476" t="s">
        <v>721</v>
      </c>
      <c r="PU16" s="476" t="s">
        <v>721</v>
      </c>
      <c r="PV16" s="476" t="s">
        <v>721</v>
      </c>
      <c r="PW16" s="476" t="s">
        <v>721</v>
      </c>
      <c r="PX16" s="476" t="s">
        <v>721</v>
      </c>
      <c r="PY16" s="476" t="s">
        <v>721</v>
      </c>
      <c r="PZ16" s="476" t="s">
        <v>721</v>
      </c>
      <c r="QA16" s="476" t="s">
        <v>721</v>
      </c>
      <c r="QB16" s="476" t="s">
        <v>721</v>
      </c>
      <c r="QC16" s="476" t="s">
        <v>721</v>
      </c>
      <c r="QD16" s="476" t="s">
        <v>721</v>
      </c>
      <c r="QE16" s="476" t="s">
        <v>721</v>
      </c>
      <c r="QF16" s="476" t="s">
        <v>721</v>
      </c>
      <c r="QG16" s="476" t="s">
        <v>721</v>
      </c>
      <c r="QH16" s="476" t="s">
        <v>721</v>
      </c>
      <c r="QI16" s="476" t="s">
        <v>721</v>
      </c>
      <c r="QJ16" s="476" t="s">
        <v>721</v>
      </c>
      <c r="QK16" s="476" t="s">
        <v>721</v>
      </c>
      <c r="QL16" s="476">
        <v>0.06</v>
      </c>
      <c r="QM16" s="476">
        <v>0.875</v>
      </c>
      <c r="QN16" s="476" t="s">
        <v>721</v>
      </c>
      <c r="QO16" s="476" t="s">
        <v>721</v>
      </c>
      <c r="QP16" s="476" t="s">
        <v>721</v>
      </c>
      <c r="QQ16" s="476" t="s">
        <v>721</v>
      </c>
      <c r="QR16" s="476" t="s">
        <v>721</v>
      </c>
      <c r="QS16" s="476" t="s">
        <v>721</v>
      </c>
      <c r="QT16" s="476" t="s">
        <v>721</v>
      </c>
      <c r="QU16" s="476" t="s">
        <v>721</v>
      </c>
      <c r="QV16" s="476" t="s">
        <v>721</v>
      </c>
      <c r="QW16" s="476" t="s">
        <v>721</v>
      </c>
      <c r="QX16" s="476" t="s">
        <v>721</v>
      </c>
      <c r="QY16" s="476" t="s">
        <v>721</v>
      </c>
      <c r="QZ16" s="476" t="s">
        <v>721</v>
      </c>
      <c r="RA16" s="476" t="s">
        <v>721</v>
      </c>
      <c r="RB16" s="476" t="s">
        <v>721</v>
      </c>
      <c r="RC16" s="476" t="s">
        <v>721</v>
      </c>
      <c r="RD16" s="476" t="s">
        <v>721</v>
      </c>
      <c r="RE16" s="476">
        <v>0.121</v>
      </c>
      <c r="RF16" s="476">
        <v>0.72699999999999998</v>
      </c>
      <c r="RG16" s="476" t="s">
        <v>721</v>
      </c>
      <c r="RH16" s="476" t="s">
        <v>721</v>
      </c>
      <c r="RI16" s="476" t="s">
        <v>721</v>
      </c>
      <c r="RJ16" s="476" t="s">
        <v>721</v>
      </c>
      <c r="RK16" s="476" t="s">
        <v>721</v>
      </c>
      <c r="RL16" s="476" t="s">
        <v>721</v>
      </c>
      <c r="RM16" s="476" t="s">
        <v>721</v>
      </c>
      <c r="RN16" s="476" t="s">
        <v>721</v>
      </c>
      <c r="RO16" s="476" t="s">
        <v>721</v>
      </c>
      <c r="RP16" s="476" t="s">
        <v>721</v>
      </c>
      <c r="RQ16" s="476" t="s">
        <v>721</v>
      </c>
      <c r="RR16" s="476" t="s">
        <v>721</v>
      </c>
      <c r="RS16" s="476" t="s">
        <v>721</v>
      </c>
      <c r="RT16" s="476" t="s">
        <v>721</v>
      </c>
      <c r="RU16" s="476" t="s">
        <v>721</v>
      </c>
      <c r="RV16" s="476" t="s">
        <v>721</v>
      </c>
      <c r="RW16" s="476" t="s">
        <v>721</v>
      </c>
      <c r="RX16" s="476">
        <v>4.2000000000000003E-2</v>
      </c>
      <c r="RY16" s="476">
        <v>0.9</v>
      </c>
      <c r="RZ16" s="476">
        <v>0.01</v>
      </c>
      <c r="SA16" s="476">
        <v>1E-3</v>
      </c>
      <c r="SB16" s="476">
        <v>2E-3</v>
      </c>
      <c r="SC16" s="476">
        <v>1E-3</v>
      </c>
      <c r="SD16" s="476">
        <v>2.9000000000000001E-2</v>
      </c>
      <c r="SE16" s="476" t="s">
        <v>721</v>
      </c>
      <c r="SF16" s="476">
        <v>3.0000000000000001E-3</v>
      </c>
      <c r="SG16" s="476" t="s">
        <v>721</v>
      </c>
      <c r="SH16" s="476">
        <v>0</v>
      </c>
      <c r="SI16" s="476">
        <v>0</v>
      </c>
      <c r="SJ16" s="476">
        <v>1E-3</v>
      </c>
      <c r="SK16" s="476">
        <v>1E-3</v>
      </c>
      <c r="SL16" s="476" t="s">
        <v>721</v>
      </c>
      <c r="SM16" s="476" t="s">
        <v>721</v>
      </c>
      <c r="SN16" s="476">
        <v>0</v>
      </c>
      <c r="SO16" s="476" t="s">
        <v>721</v>
      </c>
      <c r="SP16" s="476">
        <v>1.0999999999999999E-2</v>
      </c>
      <c r="SQ16" s="476">
        <v>5.1999999999999998E-2</v>
      </c>
      <c r="SR16" s="476">
        <v>0.88</v>
      </c>
      <c r="SS16" s="476" t="s">
        <v>721</v>
      </c>
      <c r="ST16" s="476" t="s">
        <v>721</v>
      </c>
      <c r="SU16" s="476" t="s">
        <v>721</v>
      </c>
      <c r="SV16" s="476" t="s">
        <v>721</v>
      </c>
      <c r="SW16" s="476">
        <v>3.5999999999999997E-2</v>
      </c>
      <c r="SX16" s="476" t="s">
        <v>721</v>
      </c>
      <c r="SY16" s="476" t="s">
        <v>721</v>
      </c>
      <c r="SZ16" s="476" t="s">
        <v>721</v>
      </c>
      <c r="TA16" s="476" t="s">
        <v>721</v>
      </c>
      <c r="TB16" s="476" t="s">
        <v>721</v>
      </c>
      <c r="TC16" s="476" t="s">
        <v>721</v>
      </c>
      <c r="TD16" s="476" t="s">
        <v>721</v>
      </c>
      <c r="TE16" s="476" t="s">
        <v>721</v>
      </c>
      <c r="TF16" s="476" t="s">
        <v>721</v>
      </c>
      <c r="TG16" s="476" t="s">
        <v>721</v>
      </c>
      <c r="TH16" s="476" t="s">
        <v>721</v>
      </c>
      <c r="TI16" s="476" t="s">
        <v>721</v>
      </c>
      <c r="TJ16" s="476">
        <v>3.1E-2</v>
      </c>
      <c r="TK16" s="476">
        <v>0.92600000000000005</v>
      </c>
      <c r="TL16" s="476">
        <v>7.0000000000000001E-3</v>
      </c>
      <c r="TM16" s="476" t="s">
        <v>721</v>
      </c>
      <c r="TN16" s="476" t="s">
        <v>721</v>
      </c>
      <c r="TO16" s="476" t="s">
        <v>721</v>
      </c>
      <c r="TP16" s="476">
        <v>2.1000000000000001E-2</v>
      </c>
      <c r="TQ16" s="476" t="s">
        <v>721</v>
      </c>
      <c r="TR16" s="476" t="s">
        <v>721</v>
      </c>
      <c r="TS16" s="476" t="s">
        <v>721</v>
      </c>
      <c r="TT16" s="476" t="s">
        <v>721</v>
      </c>
      <c r="TU16" s="476" t="s">
        <v>721</v>
      </c>
      <c r="TV16" s="476" t="s">
        <v>721</v>
      </c>
      <c r="TW16" s="476" t="s">
        <v>721</v>
      </c>
      <c r="TX16" s="476" t="s">
        <v>721</v>
      </c>
      <c r="TY16" s="476" t="s">
        <v>721</v>
      </c>
      <c r="TZ16" s="476" t="s">
        <v>721</v>
      </c>
      <c r="UA16" s="476" t="s">
        <v>721</v>
      </c>
      <c r="UB16" s="476">
        <v>8.9999999999999993E-3</v>
      </c>
      <c r="UC16" s="476">
        <v>4.3999999999999997E-2</v>
      </c>
      <c r="UD16" s="476">
        <v>0.88400000000000001</v>
      </c>
      <c r="UE16" s="476">
        <v>1.2E-2</v>
      </c>
      <c r="UF16" s="476" t="s">
        <v>721</v>
      </c>
      <c r="UG16" s="476">
        <v>3.0000000000000001E-3</v>
      </c>
      <c r="UH16" s="476" t="s">
        <v>721</v>
      </c>
      <c r="UI16" s="476">
        <v>0.04</v>
      </c>
      <c r="UJ16" s="476" t="s">
        <v>721</v>
      </c>
      <c r="UK16" s="476" t="s">
        <v>721</v>
      </c>
      <c r="UL16" s="476" t="s">
        <v>721</v>
      </c>
      <c r="UM16" s="476" t="s">
        <v>721</v>
      </c>
      <c r="UN16" s="476" t="s">
        <v>721</v>
      </c>
      <c r="UO16" s="476" t="s">
        <v>721</v>
      </c>
      <c r="UP16" s="476" t="s">
        <v>721</v>
      </c>
      <c r="UQ16" s="476" t="s">
        <v>721</v>
      </c>
      <c r="UR16" s="476" t="s">
        <v>721</v>
      </c>
      <c r="US16" s="476" t="s">
        <v>721</v>
      </c>
      <c r="UT16" s="476" t="s">
        <v>721</v>
      </c>
      <c r="UU16" s="476">
        <v>1.2E-2</v>
      </c>
      <c r="UV16" s="476">
        <v>3.4000000000000002E-2</v>
      </c>
      <c r="UW16" s="476">
        <v>0.92100000000000004</v>
      </c>
      <c r="UX16" s="476">
        <v>0.01</v>
      </c>
      <c r="UY16" s="476" t="s">
        <v>721</v>
      </c>
      <c r="UZ16" s="476" t="s">
        <v>721</v>
      </c>
      <c r="VA16" s="476" t="s">
        <v>721</v>
      </c>
      <c r="VB16" s="476">
        <v>0.02</v>
      </c>
      <c r="VC16" s="476" t="s">
        <v>721</v>
      </c>
      <c r="VD16" s="476" t="s">
        <v>721</v>
      </c>
      <c r="VE16" s="476" t="s">
        <v>721</v>
      </c>
      <c r="VF16" s="476" t="s">
        <v>721</v>
      </c>
      <c r="VG16" s="476" t="s">
        <v>721</v>
      </c>
      <c r="VH16" s="476" t="s">
        <v>721</v>
      </c>
      <c r="VI16" s="476" t="s">
        <v>721</v>
      </c>
      <c r="VJ16" s="476" t="s">
        <v>721</v>
      </c>
      <c r="VK16" s="476" t="s">
        <v>721</v>
      </c>
      <c r="VL16" s="476" t="s">
        <v>721</v>
      </c>
      <c r="VM16" s="476" t="s">
        <v>721</v>
      </c>
      <c r="VN16" s="476">
        <v>8.0000000000000002E-3</v>
      </c>
      <c r="VO16" s="28"/>
      <c r="VP16" s="28"/>
      <c r="VQ16" s="28"/>
      <c r="VR16" s="28"/>
      <c r="VS16" s="28"/>
      <c r="VT16" s="28"/>
      <c r="VU16" s="28"/>
      <c r="VV16" s="28"/>
      <c r="VW16" s="28"/>
      <c r="VX16" s="28"/>
      <c r="VY16" s="28"/>
      <c r="VZ16" s="28"/>
      <c r="WA16" s="28"/>
      <c r="WB16" s="28"/>
      <c r="WC16" s="28"/>
      <c r="WD16" s="28"/>
      <c r="WE16" s="28"/>
      <c r="WF16" s="28"/>
      <c r="WG16" s="28"/>
      <c r="WH16" s="28"/>
      <c r="WI16" s="28"/>
      <c r="WJ16" s="28"/>
      <c r="WK16" s="28"/>
      <c r="WL16" s="28"/>
      <c r="WM16" s="28"/>
      <c r="WN16" s="28"/>
      <c r="WO16" s="28"/>
      <c r="WP16" s="28"/>
      <c r="WQ16" s="28"/>
      <c r="WR16" s="28"/>
      <c r="WS16" s="28"/>
      <c r="WT16" s="28"/>
      <c r="WU16" s="28"/>
      <c r="WV16" s="28"/>
      <c r="WW16" s="28"/>
    </row>
    <row r="17" spans="1:621" s="151" customFormat="1" ht="15.75" customHeight="1" x14ac:dyDescent="0.35">
      <c r="A17" s="477" t="s">
        <v>27</v>
      </c>
      <c r="B17" s="492" t="s">
        <v>15</v>
      </c>
      <c r="C17" s="493">
        <v>16.25</v>
      </c>
      <c r="D17" s="494">
        <v>166</v>
      </c>
      <c r="E17" s="473">
        <v>24545.9</v>
      </c>
      <c r="F17" s="473">
        <v>147.9</v>
      </c>
      <c r="G17" s="474">
        <v>155</v>
      </c>
      <c r="H17" s="474">
        <v>164</v>
      </c>
      <c r="I17" s="474">
        <v>148</v>
      </c>
      <c r="J17" s="474">
        <v>104</v>
      </c>
      <c r="K17" s="474">
        <v>77</v>
      </c>
      <c r="L17" s="473">
        <v>15406</v>
      </c>
      <c r="M17" s="474">
        <v>88</v>
      </c>
      <c r="N17" s="473">
        <v>9139.9</v>
      </c>
      <c r="O17" s="494">
        <v>29</v>
      </c>
      <c r="P17" s="495">
        <v>4757.7</v>
      </c>
      <c r="Q17" s="494">
        <v>18</v>
      </c>
      <c r="R17" s="495">
        <v>1481.3</v>
      </c>
      <c r="S17" s="494">
        <v>34</v>
      </c>
      <c r="T17" s="495">
        <v>4043.1</v>
      </c>
      <c r="U17" s="494">
        <v>1</v>
      </c>
      <c r="V17" s="495">
        <v>148</v>
      </c>
      <c r="W17" s="494">
        <v>131</v>
      </c>
      <c r="X17" s="495">
        <v>20354.8</v>
      </c>
      <c r="Y17" s="494">
        <v>166</v>
      </c>
      <c r="Z17" s="494">
        <v>68</v>
      </c>
      <c r="AA17" s="494">
        <v>81</v>
      </c>
      <c r="AB17" s="494">
        <v>51</v>
      </c>
      <c r="AC17" s="494">
        <v>7</v>
      </c>
      <c r="AD17" s="494">
        <v>35</v>
      </c>
      <c r="AE17" s="494">
        <v>59</v>
      </c>
      <c r="AF17" s="495">
        <v>4438.8999999999996</v>
      </c>
      <c r="AG17" s="494">
        <v>100</v>
      </c>
      <c r="AH17" s="495">
        <v>19576.7</v>
      </c>
      <c r="AI17" s="494">
        <v>4</v>
      </c>
      <c r="AJ17" s="495">
        <v>287.2</v>
      </c>
      <c r="AK17" s="494">
        <v>2</v>
      </c>
      <c r="AL17" s="495">
        <v>243.1</v>
      </c>
      <c r="AM17" s="496">
        <v>94</v>
      </c>
      <c r="AN17" s="496">
        <v>72</v>
      </c>
      <c r="AO17" s="496">
        <v>116</v>
      </c>
      <c r="AP17" s="496">
        <v>19</v>
      </c>
      <c r="AQ17" s="496" t="s">
        <v>721</v>
      </c>
      <c r="AR17" s="496" t="s">
        <v>721</v>
      </c>
      <c r="AS17" s="496">
        <v>24</v>
      </c>
      <c r="AT17" s="496" t="s">
        <v>721</v>
      </c>
      <c r="AU17" s="496" t="s">
        <v>721</v>
      </c>
      <c r="AV17" s="496" t="s">
        <v>721</v>
      </c>
      <c r="AW17" s="496" t="s">
        <v>721</v>
      </c>
      <c r="AX17" s="496" t="s">
        <v>721</v>
      </c>
      <c r="AY17" s="496" t="s">
        <v>721</v>
      </c>
      <c r="AZ17" s="496" t="s">
        <v>721</v>
      </c>
      <c r="BA17" s="496" t="s">
        <v>721</v>
      </c>
      <c r="BB17" s="496" t="s">
        <v>721</v>
      </c>
      <c r="BC17" s="496" t="s">
        <v>721</v>
      </c>
      <c r="BD17" s="496" t="s">
        <v>721</v>
      </c>
      <c r="BE17" s="496" t="s">
        <v>721</v>
      </c>
      <c r="BF17" s="496" t="s">
        <v>721</v>
      </c>
      <c r="BG17" s="496" t="s">
        <v>721</v>
      </c>
      <c r="BH17" s="496" t="s">
        <v>721</v>
      </c>
      <c r="BI17" s="496">
        <v>12</v>
      </c>
      <c r="BJ17" s="496" t="s">
        <v>721</v>
      </c>
      <c r="BK17" s="496" t="s">
        <v>721</v>
      </c>
      <c r="BL17" s="496" t="s">
        <v>721</v>
      </c>
      <c r="BM17" s="496" t="s">
        <v>721</v>
      </c>
      <c r="BN17" s="496" t="s">
        <v>721</v>
      </c>
      <c r="BO17" s="496">
        <v>151</v>
      </c>
      <c r="BP17" s="496" t="s">
        <v>721</v>
      </c>
      <c r="BQ17" s="496" t="s">
        <v>721</v>
      </c>
      <c r="BR17" s="496" t="s">
        <v>721</v>
      </c>
      <c r="BS17" s="496" t="s">
        <v>721</v>
      </c>
      <c r="BT17" s="496" t="s">
        <v>721</v>
      </c>
      <c r="BU17" s="496" t="s">
        <v>721</v>
      </c>
      <c r="BV17" s="496" t="s">
        <v>721</v>
      </c>
      <c r="BW17" s="496" t="s">
        <v>721</v>
      </c>
      <c r="BX17" s="496" t="s">
        <v>721</v>
      </c>
      <c r="BY17" s="496" t="s">
        <v>721</v>
      </c>
      <c r="BZ17" s="496" t="s">
        <v>721</v>
      </c>
      <c r="CA17" s="496" t="s">
        <v>721</v>
      </c>
      <c r="CB17" s="496" t="s">
        <v>721</v>
      </c>
      <c r="CC17" s="496" t="s">
        <v>721</v>
      </c>
      <c r="CD17" s="496" t="s">
        <v>721</v>
      </c>
      <c r="CE17" s="496" t="s">
        <v>721</v>
      </c>
      <c r="CF17" s="496" t="s">
        <v>721</v>
      </c>
      <c r="CG17" s="496" t="s">
        <v>721</v>
      </c>
      <c r="CH17" s="496" t="s">
        <v>721</v>
      </c>
      <c r="CI17" s="496" t="s">
        <v>721</v>
      </c>
      <c r="CJ17" s="496" t="s">
        <v>721</v>
      </c>
      <c r="CK17" s="496" t="s">
        <v>721</v>
      </c>
      <c r="CL17" s="496" t="s">
        <v>721</v>
      </c>
      <c r="CM17" s="496" t="s">
        <v>721</v>
      </c>
      <c r="CN17" s="496" t="s">
        <v>721</v>
      </c>
      <c r="CO17" s="496" t="s">
        <v>721</v>
      </c>
      <c r="CP17" s="496" t="s">
        <v>721</v>
      </c>
      <c r="CQ17" s="496" t="s">
        <v>721</v>
      </c>
      <c r="CR17" s="496" t="s">
        <v>721</v>
      </c>
      <c r="CS17" s="496" t="s">
        <v>721</v>
      </c>
      <c r="CT17" s="496" t="s">
        <v>721</v>
      </c>
      <c r="CU17" s="496" t="s">
        <v>721</v>
      </c>
      <c r="CV17" s="496">
        <v>154</v>
      </c>
      <c r="CW17" s="496" t="s">
        <v>721</v>
      </c>
      <c r="CX17" s="496" t="s">
        <v>721</v>
      </c>
      <c r="CY17" s="496" t="s">
        <v>721</v>
      </c>
      <c r="CZ17" s="496" t="s">
        <v>721</v>
      </c>
      <c r="DA17" s="496" t="s">
        <v>721</v>
      </c>
      <c r="DB17" s="496" t="s">
        <v>721</v>
      </c>
      <c r="DC17" s="496" t="s">
        <v>721</v>
      </c>
      <c r="DD17" s="496" t="s">
        <v>721</v>
      </c>
      <c r="DE17" s="496" t="s">
        <v>721</v>
      </c>
      <c r="DF17" s="496" t="s">
        <v>721</v>
      </c>
      <c r="DG17" s="496" t="s">
        <v>721</v>
      </c>
      <c r="DH17" s="496" t="s">
        <v>721</v>
      </c>
      <c r="DI17" s="496" t="s">
        <v>721</v>
      </c>
      <c r="DJ17" s="496" t="s">
        <v>721</v>
      </c>
      <c r="DK17" s="496" t="s">
        <v>721</v>
      </c>
      <c r="DL17" s="496" t="s">
        <v>721</v>
      </c>
      <c r="DM17" s="496" t="s">
        <v>721</v>
      </c>
      <c r="DN17" s="496" t="s">
        <v>721</v>
      </c>
      <c r="DO17" s="496" t="s">
        <v>721</v>
      </c>
      <c r="DP17" s="496" t="s">
        <v>721</v>
      </c>
      <c r="DQ17" s="496" t="s">
        <v>721</v>
      </c>
      <c r="DR17" s="496" t="s">
        <v>721</v>
      </c>
      <c r="DS17" s="483" t="s">
        <v>721</v>
      </c>
      <c r="DT17" s="483" t="s">
        <v>721</v>
      </c>
      <c r="DU17" s="483" t="s">
        <v>721</v>
      </c>
      <c r="DV17" s="496">
        <v>21</v>
      </c>
      <c r="DW17" s="497">
        <v>4566.3999999999996</v>
      </c>
      <c r="DX17" s="496">
        <v>24</v>
      </c>
      <c r="DY17" s="497">
        <v>4846.7</v>
      </c>
      <c r="DZ17" s="496">
        <v>37</v>
      </c>
      <c r="EA17" s="497">
        <v>5034.8</v>
      </c>
      <c r="EB17" s="496">
        <v>37</v>
      </c>
      <c r="EC17" s="497">
        <v>4330.2</v>
      </c>
      <c r="ED17" s="496">
        <v>26</v>
      </c>
      <c r="EE17" s="497">
        <v>2812.8</v>
      </c>
      <c r="EF17" s="496">
        <v>21</v>
      </c>
      <c r="EG17" s="497">
        <v>2955</v>
      </c>
      <c r="EH17" s="485">
        <v>134</v>
      </c>
      <c r="EI17" s="486">
        <v>548.6</v>
      </c>
      <c r="EJ17" s="485">
        <v>132</v>
      </c>
      <c r="EK17" s="486">
        <v>3147.5</v>
      </c>
      <c r="EL17" s="485">
        <v>131</v>
      </c>
      <c r="EM17" s="486">
        <v>1565.7</v>
      </c>
      <c r="EN17" s="485">
        <v>138</v>
      </c>
      <c r="EO17" s="486">
        <v>895.8</v>
      </c>
      <c r="EP17" s="485">
        <v>131</v>
      </c>
      <c r="EQ17" s="486">
        <v>687.3</v>
      </c>
      <c r="ER17" s="485">
        <v>131</v>
      </c>
      <c r="ES17" s="486">
        <v>306.60000000000002</v>
      </c>
      <c r="ET17" s="485">
        <v>0</v>
      </c>
      <c r="EU17" s="485">
        <v>115</v>
      </c>
      <c r="EV17" s="486">
        <v>2001.8</v>
      </c>
      <c r="EW17" s="485">
        <v>25</v>
      </c>
      <c r="EX17" s="486">
        <v>106.5</v>
      </c>
      <c r="EY17" s="485">
        <v>68</v>
      </c>
      <c r="EZ17" s="486">
        <v>1124.4000000000001</v>
      </c>
      <c r="FA17" s="485">
        <v>31</v>
      </c>
      <c r="FB17" s="486">
        <v>395.1</v>
      </c>
      <c r="FC17" s="485">
        <v>136</v>
      </c>
      <c r="FD17" s="486">
        <v>2007</v>
      </c>
      <c r="FE17" s="485">
        <v>125</v>
      </c>
      <c r="FF17" s="486">
        <v>1146.8</v>
      </c>
      <c r="FG17" s="485">
        <v>84</v>
      </c>
      <c r="FH17" s="486">
        <v>1095.3</v>
      </c>
      <c r="FI17" s="485">
        <v>90</v>
      </c>
      <c r="FJ17" s="486">
        <v>670.4</v>
      </c>
      <c r="FK17" s="485">
        <v>113</v>
      </c>
      <c r="FL17" s="486">
        <v>485.2</v>
      </c>
      <c r="FM17" s="485">
        <v>4</v>
      </c>
      <c r="FN17" s="486">
        <v>14.4</v>
      </c>
      <c r="FO17" s="485">
        <v>136</v>
      </c>
      <c r="FP17" s="486">
        <v>1206.5999999999999</v>
      </c>
      <c r="FQ17" s="485">
        <v>136</v>
      </c>
      <c r="FR17" s="486">
        <v>763.5</v>
      </c>
      <c r="FS17" s="485">
        <v>6</v>
      </c>
      <c r="FT17" s="486">
        <v>138.1</v>
      </c>
      <c r="FU17" s="485">
        <v>0</v>
      </c>
      <c r="FV17" s="486">
        <v>0</v>
      </c>
      <c r="FW17" s="485">
        <v>0</v>
      </c>
      <c r="FX17" s="486">
        <v>0</v>
      </c>
      <c r="FY17" s="485">
        <v>0</v>
      </c>
      <c r="FZ17" s="486">
        <v>0</v>
      </c>
      <c r="GA17" s="485">
        <v>0</v>
      </c>
      <c r="GB17" s="485">
        <v>0</v>
      </c>
      <c r="GC17" s="487">
        <v>0</v>
      </c>
      <c r="GD17" s="488">
        <v>1</v>
      </c>
      <c r="GE17" s="488">
        <v>2</v>
      </c>
      <c r="GF17" s="488">
        <v>20</v>
      </c>
      <c r="GG17" s="488">
        <v>0</v>
      </c>
      <c r="GH17" s="488">
        <v>0</v>
      </c>
      <c r="GI17" s="488">
        <v>0</v>
      </c>
      <c r="GJ17" s="488">
        <v>0</v>
      </c>
      <c r="GK17" s="488">
        <v>18</v>
      </c>
      <c r="GL17" s="488">
        <v>5</v>
      </c>
      <c r="GM17" s="488">
        <v>23</v>
      </c>
      <c r="GN17" s="488">
        <v>0</v>
      </c>
      <c r="GO17" s="488">
        <v>8</v>
      </c>
      <c r="GP17" s="488">
        <v>0</v>
      </c>
      <c r="GQ17" s="488">
        <v>0</v>
      </c>
      <c r="GR17" s="488">
        <v>0</v>
      </c>
      <c r="GS17" s="488">
        <v>0</v>
      </c>
      <c r="GT17" s="489">
        <v>108</v>
      </c>
      <c r="GU17" s="488">
        <v>0</v>
      </c>
      <c r="GV17" s="490">
        <v>0</v>
      </c>
      <c r="GW17" s="490">
        <v>1</v>
      </c>
      <c r="GX17" s="490">
        <v>1</v>
      </c>
      <c r="GY17" s="491">
        <v>0</v>
      </c>
      <c r="GZ17" s="491">
        <v>1</v>
      </c>
      <c r="HA17" s="491">
        <v>1</v>
      </c>
      <c r="HB17" s="475">
        <v>0</v>
      </c>
      <c r="HC17" s="475">
        <v>1</v>
      </c>
      <c r="HD17" s="475">
        <v>0</v>
      </c>
      <c r="HE17" s="475">
        <v>0</v>
      </c>
      <c r="HF17" s="475">
        <v>0</v>
      </c>
      <c r="HG17" s="475">
        <v>0</v>
      </c>
      <c r="HH17" s="475">
        <v>0</v>
      </c>
      <c r="HI17" s="475">
        <v>0</v>
      </c>
      <c r="HJ17" s="475">
        <v>0</v>
      </c>
      <c r="HK17" s="475">
        <v>0</v>
      </c>
      <c r="HL17" s="475">
        <v>0</v>
      </c>
      <c r="HM17" s="475">
        <v>0</v>
      </c>
      <c r="HN17" s="475">
        <v>0</v>
      </c>
      <c r="HO17" s="475">
        <v>0</v>
      </c>
      <c r="HP17" s="475">
        <v>0</v>
      </c>
      <c r="HQ17" s="475">
        <v>0</v>
      </c>
      <c r="HR17" s="475">
        <v>1</v>
      </c>
      <c r="HS17" s="475">
        <v>0</v>
      </c>
      <c r="HT17" s="475">
        <v>0</v>
      </c>
      <c r="HU17" s="475">
        <v>0</v>
      </c>
      <c r="HV17" s="475">
        <v>0</v>
      </c>
      <c r="HW17" s="475">
        <v>0</v>
      </c>
      <c r="HX17" s="475">
        <v>0</v>
      </c>
      <c r="HY17" s="475">
        <v>0</v>
      </c>
      <c r="HZ17" s="475" t="s">
        <v>721</v>
      </c>
      <c r="IA17" s="475" t="s">
        <v>721</v>
      </c>
      <c r="IB17" s="475" t="s">
        <v>721</v>
      </c>
      <c r="IC17" s="475" t="s">
        <v>721</v>
      </c>
      <c r="ID17" s="475" t="s">
        <v>721</v>
      </c>
      <c r="IE17" s="475" t="s">
        <v>721</v>
      </c>
      <c r="IF17" s="475" t="s">
        <v>721</v>
      </c>
      <c r="IG17" s="475" t="s">
        <v>721</v>
      </c>
      <c r="IH17" s="475" t="s">
        <v>721</v>
      </c>
      <c r="II17" s="475" t="s">
        <v>721</v>
      </c>
      <c r="IJ17" s="475" t="s">
        <v>721</v>
      </c>
      <c r="IK17" s="475" t="s">
        <v>721</v>
      </c>
      <c r="IL17" s="475" t="s">
        <v>721</v>
      </c>
      <c r="IM17" s="475" t="s">
        <v>721</v>
      </c>
      <c r="IN17" s="475" t="s">
        <v>721</v>
      </c>
      <c r="IO17" s="475" t="s">
        <v>721</v>
      </c>
      <c r="IP17" s="475" t="s">
        <v>721</v>
      </c>
      <c r="IQ17" s="475" t="s">
        <v>721</v>
      </c>
      <c r="IR17" s="475" t="s">
        <v>721</v>
      </c>
      <c r="IS17" s="475" t="s">
        <v>721</v>
      </c>
      <c r="IT17" s="475" t="s">
        <v>721</v>
      </c>
      <c r="IU17" s="475" t="s">
        <v>721</v>
      </c>
      <c r="IV17" s="475" t="s">
        <v>721</v>
      </c>
      <c r="IW17" s="475" t="s">
        <v>721</v>
      </c>
      <c r="IX17" s="475" t="s">
        <v>721</v>
      </c>
      <c r="IY17" s="475" t="s">
        <v>721</v>
      </c>
      <c r="IZ17" s="475" t="s">
        <v>721</v>
      </c>
      <c r="JA17" s="475" t="s">
        <v>721</v>
      </c>
      <c r="JB17" s="475" t="s">
        <v>721</v>
      </c>
      <c r="JC17" s="475" t="s">
        <v>721</v>
      </c>
      <c r="JD17" s="475" t="s">
        <v>721</v>
      </c>
      <c r="JE17" s="475" t="s">
        <v>721</v>
      </c>
      <c r="JF17" s="475" t="s">
        <v>721</v>
      </c>
      <c r="JG17" s="475" t="s">
        <v>721</v>
      </c>
      <c r="JH17" s="475" t="s">
        <v>721</v>
      </c>
      <c r="JI17" s="475" t="s">
        <v>721</v>
      </c>
      <c r="JJ17" s="475" t="s">
        <v>721</v>
      </c>
      <c r="JK17" s="475" t="s">
        <v>721</v>
      </c>
      <c r="JL17" s="755">
        <v>16016.5</v>
      </c>
      <c r="JM17" s="755">
        <v>3867.9</v>
      </c>
      <c r="JN17" s="755">
        <v>131.30000000000001</v>
      </c>
      <c r="JO17" s="755" t="s">
        <v>721</v>
      </c>
      <c r="JP17" s="755">
        <v>3946</v>
      </c>
      <c r="JQ17" s="755" t="s">
        <v>721</v>
      </c>
      <c r="JR17" s="755">
        <v>309.2</v>
      </c>
      <c r="JS17" s="755" t="s">
        <v>721</v>
      </c>
      <c r="JT17" s="755" t="s">
        <v>721</v>
      </c>
      <c r="JU17" s="755" t="s">
        <v>721</v>
      </c>
      <c r="JV17" s="755" t="s">
        <v>721</v>
      </c>
      <c r="JW17" s="755" t="s">
        <v>721</v>
      </c>
      <c r="JX17" s="755" t="s">
        <v>721</v>
      </c>
      <c r="JY17" s="755" t="s">
        <v>721</v>
      </c>
      <c r="JZ17" s="755" t="s">
        <v>721</v>
      </c>
      <c r="KA17" s="755" t="s">
        <v>721</v>
      </c>
      <c r="KB17" s="755" t="s">
        <v>721</v>
      </c>
      <c r="KC17" s="755" t="s">
        <v>721</v>
      </c>
      <c r="KD17" s="755">
        <v>275</v>
      </c>
      <c r="KE17" s="475">
        <v>16</v>
      </c>
      <c r="KF17" s="475" t="s">
        <v>721</v>
      </c>
      <c r="KG17" s="475" t="s">
        <v>721</v>
      </c>
      <c r="KH17" s="475" t="s">
        <v>721</v>
      </c>
      <c r="KI17" s="475" t="s">
        <v>721</v>
      </c>
      <c r="KJ17" s="475" t="s">
        <v>721</v>
      </c>
      <c r="KK17" s="475" t="s">
        <v>721</v>
      </c>
      <c r="KL17" s="475" t="s">
        <v>721</v>
      </c>
      <c r="KM17" s="475" t="s">
        <v>721</v>
      </c>
      <c r="KN17" s="475" t="s">
        <v>721</v>
      </c>
      <c r="KO17" s="475" t="s">
        <v>721</v>
      </c>
      <c r="KP17" s="475" t="s">
        <v>721</v>
      </c>
      <c r="KQ17" s="475" t="s">
        <v>721</v>
      </c>
      <c r="KR17" s="475" t="s">
        <v>721</v>
      </c>
      <c r="KS17" s="475" t="s">
        <v>721</v>
      </c>
      <c r="KT17" s="475" t="s">
        <v>721</v>
      </c>
      <c r="KU17" s="475" t="s">
        <v>721</v>
      </c>
      <c r="KV17" s="475" t="s">
        <v>721</v>
      </c>
      <c r="KW17" s="475" t="s">
        <v>721</v>
      </c>
      <c r="KX17" s="475">
        <v>12</v>
      </c>
      <c r="KY17" s="475" t="s">
        <v>721</v>
      </c>
      <c r="KZ17" s="475" t="s">
        <v>721</v>
      </c>
      <c r="LA17" s="475" t="s">
        <v>721</v>
      </c>
      <c r="LB17" s="475" t="s">
        <v>721</v>
      </c>
      <c r="LC17" s="475" t="s">
        <v>721</v>
      </c>
      <c r="LD17" s="475" t="s">
        <v>721</v>
      </c>
      <c r="LE17" s="475" t="s">
        <v>721</v>
      </c>
      <c r="LF17" s="475" t="s">
        <v>721</v>
      </c>
      <c r="LG17" s="475" t="s">
        <v>721</v>
      </c>
      <c r="LH17" s="475" t="s">
        <v>721</v>
      </c>
      <c r="LI17" s="475" t="s">
        <v>721</v>
      </c>
      <c r="LJ17" s="475" t="s">
        <v>721</v>
      </c>
      <c r="LK17" s="475" t="s">
        <v>721</v>
      </c>
      <c r="LL17" s="475" t="s">
        <v>721</v>
      </c>
      <c r="LM17" s="475" t="s">
        <v>721</v>
      </c>
      <c r="LN17" s="475" t="s">
        <v>721</v>
      </c>
      <c r="LO17" s="475" t="s">
        <v>721</v>
      </c>
      <c r="LP17" s="475" t="s">
        <v>721</v>
      </c>
      <c r="LQ17" s="475">
        <v>63</v>
      </c>
      <c r="LR17" s="475" t="s">
        <v>721</v>
      </c>
      <c r="LS17" s="475" t="s">
        <v>721</v>
      </c>
      <c r="LT17" s="475" t="s">
        <v>721</v>
      </c>
      <c r="LU17" s="475">
        <v>13</v>
      </c>
      <c r="LV17" s="475" t="s">
        <v>721</v>
      </c>
      <c r="LW17" s="475" t="s">
        <v>721</v>
      </c>
      <c r="LX17" s="475" t="s">
        <v>721</v>
      </c>
      <c r="LY17" s="475" t="s">
        <v>721</v>
      </c>
      <c r="LZ17" s="475" t="s">
        <v>721</v>
      </c>
      <c r="MA17" s="475" t="s">
        <v>721</v>
      </c>
      <c r="MB17" s="475" t="s">
        <v>721</v>
      </c>
      <c r="MC17" s="475" t="s">
        <v>721</v>
      </c>
      <c r="MD17" s="475" t="s">
        <v>721</v>
      </c>
      <c r="ME17" s="475" t="s">
        <v>721</v>
      </c>
      <c r="MF17" s="475" t="s">
        <v>721</v>
      </c>
      <c r="MG17" s="475" t="s">
        <v>721</v>
      </c>
      <c r="MH17" s="475" t="s">
        <v>721</v>
      </c>
      <c r="MI17" s="475" t="s">
        <v>721</v>
      </c>
      <c r="MJ17" s="475">
        <v>53</v>
      </c>
      <c r="MK17" s="475">
        <v>11</v>
      </c>
      <c r="ML17" s="475" t="s">
        <v>721</v>
      </c>
      <c r="MM17" s="475" t="s">
        <v>721</v>
      </c>
      <c r="MN17" s="475">
        <v>11</v>
      </c>
      <c r="MO17" s="475" t="s">
        <v>721</v>
      </c>
      <c r="MP17" s="475" t="s">
        <v>721</v>
      </c>
      <c r="MQ17" s="475" t="s">
        <v>721</v>
      </c>
      <c r="MR17" s="475" t="s">
        <v>721</v>
      </c>
      <c r="MS17" s="475" t="s">
        <v>721</v>
      </c>
      <c r="MT17" s="475" t="s">
        <v>721</v>
      </c>
      <c r="MU17" s="475" t="s">
        <v>721</v>
      </c>
      <c r="MV17" s="475" t="s">
        <v>721</v>
      </c>
      <c r="MW17" s="475" t="s">
        <v>721</v>
      </c>
      <c r="MX17" s="475" t="s">
        <v>721</v>
      </c>
      <c r="MY17" s="475" t="s">
        <v>721</v>
      </c>
      <c r="MZ17" s="475" t="s">
        <v>721</v>
      </c>
      <c r="NA17" s="475" t="s">
        <v>721</v>
      </c>
      <c r="NB17" s="475" t="s">
        <v>721</v>
      </c>
      <c r="NC17" s="476">
        <v>0.56599999999999995</v>
      </c>
      <c r="ND17" s="476">
        <v>0.434</v>
      </c>
      <c r="NE17" s="476">
        <v>0.69899999999999995</v>
      </c>
      <c r="NF17" s="476">
        <v>0.114</v>
      </c>
      <c r="NG17" s="476" t="s">
        <v>721</v>
      </c>
      <c r="NH17" s="476" t="s">
        <v>721</v>
      </c>
      <c r="NI17" s="476">
        <v>0.14499999999999999</v>
      </c>
      <c r="NJ17" s="476" t="s">
        <v>721</v>
      </c>
      <c r="NK17" s="476" t="s">
        <v>721</v>
      </c>
      <c r="NL17" s="476" t="s">
        <v>721</v>
      </c>
      <c r="NM17" s="476" t="s">
        <v>721</v>
      </c>
      <c r="NN17" s="476" t="s">
        <v>721</v>
      </c>
      <c r="NO17" s="476" t="s">
        <v>721</v>
      </c>
      <c r="NP17" s="476" t="s">
        <v>721</v>
      </c>
      <c r="NQ17" s="476" t="s">
        <v>721</v>
      </c>
      <c r="NR17" s="476" t="s">
        <v>721</v>
      </c>
      <c r="NS17" s="476" t="s">
        <v>721</v>
      </c>
      <c r="NT17" s="476" t="s">
        <v>721</v>
      </c>
      <c r="NU17" s="476" t="s">
        <v>721</v>
      </c>
      <c r="NV17" s="476" t="s">
        <v>721</v>
      </c>
      <c r="NW17" s="476" t="s">
        <v>721</v>
      </c>
      <c r="NX17" s="476" t="s">
        <v>721</v>
      </c>
      <c r="NY17" s="476">
        <v>7.1999999999999995E-2</v>
      </c>
      <c r="NZ17" s="476" t="s">
        <v>721</v>
      </c>
      <c r="OA17" s="476" t="s">
        <v>721</v>
      </c>
      <c r="OB17" s="476" t="s">
        <v>721</v>
      </c>
      <c r="OC17" s="476" t="s">
        <v>721</v>
      </c>
      <c r="OD17" s="476" t="s">
        <v>721</v>
      </c>
      <c r="OE17" s="476">
        <v>0.91</v>
      </c>
      <c r="OF17" s="476" t="s">
        <v>721</v>
      </c>
      <c r="OG17" s="476" t="s">
        <v>721</v>
      </c>
      <c r="OH17" s="476" t="s">
        <v>721</v>
      </c>
      <c r="OI17" s="476" t="s">
        <v>721</v>
      </c>
      <c r="OJ17" s="476" t="s">
        <v>721</v>
      </c>
      <c r="OK17" s="476" t="s">
        <v>721</v>
      </c>
      <c r="OL17" s="476" t="s">
        <v>721</v>
      </c>
      <c r="OM17" s="476" t="s">
        <v>721</v>
      </c>
      <c r="ON17" s="476" t="s">
        <v>721</v>
      </c>
      <c r="OO17" s="476" t="s">
        <v>721</v>
      </c>
      <c r="OP17" s="476" t="s">
        <v>721</v>
      </c>
      <c r="OQ17" s="476" t="s">
        <v>721</v>
      </c>
      <c r="OR17" s="476" t="s">
        <v>721</v>
      </c>
      <c r="OS17" s="476" t="s">
        <v>721</v>
      </c>
      <c r="OT17" s="476" t="s">
        <v>721</v>
      </c>
      <c r="OU17" s="476" t="s">
        <v>721</v>
      </c>
      <c r="OV17" s="476" t="s">
        <v>721</v>
      </c>
      <c r="OW17" s="476" t="s">
        <v>721</v>
      </c>
      <c r="OX17" s="476" t="s">
        <v>721</v>
      </c>
      <c r="OY17" s="476" t="s">
        <v>721</v>
      </c>
      <c r="OZ17" s="476" t="s">
        <v>721</v>
      </c>
      <c r="PA17" s="476" t="s">
        <v>721</v>
      </c>
      <c r="PB17" s="476" t="s">
        <v>721</v>
      </c>
      <c r="PC17" s="476" t="s">
        <v>721</v>
      </c>
      <c r="PD17" s="476" t="s">
        <v>721</v>
      </c>
      <c r="PE17" s="476" t="s">
        <v>721</v>
      </c>
      <c r="PF17" s="476" t="s">
        <v>721</v>
      </c>
      <c r="PG17" s="476" t="s">
        <v>721</v>
      </c>
      <c r="PH17" s="476" t="s">
        <v>721</v>
      </c>
      <c r="PI17" s="476" t="s">
        <v>721</v>
      </c>
      <c r="PJ17" s="476" t="s">
        <v>721</v>
      </c>
      <c r="PK17" s="476" t="s">
        <v>721</v>
      </c>
      <c r="PL17" s="476">
        <v>0.92800000000000005</v>
      </c>
      <c r="PM17" s="476" t="s">
        <v>721</v>
      </c>
      <c r="PN17" s="476" t="s">
        <v>721</v>
      </c>
      <c r="PO17" s="476" t="s">
        <v>721</v>
      </c>
      <c r="PP17" s="476" t="s">
        <v>721</v>
      </c>
      <c r="PQ17" s="476" t="s">
        <v>721</v>
      </c>
      <c r="PR17" s="476" t="s">
        <v>721</v>
      </c>
      <c r="PS17" s="476" t="s">
        <v>721</v>
      </c>
      <c r="PT17" s="476" t="s">
        <v>721</v>
      </c>
      <c r="PU17" s="476" t="s">
        <v>721</v>
      </c>
      <c r="PV17" s="476" t="s">
        <v>721</v>
      </c>
      <c r="PW17" s="476" t="s">
        <v>721</v>
      </c>
      <c r="PX17" s="476" t="s">
        <v>721</v>
      </c>
      <c r="PY17" s="476" t="s">
        <v>721</v>
      </c>
      <c r="PZ17" s="476" t="s">
        <v>721</v>
      </c>
      <c r="QA17" s="476" t="s">
        <v>721</v>
      </c>
      <c r="QB17" s="476" t="s">
        <v>721</v>
      </c>
      <c r="QC17" s="476" t="s">
        <v>721</v>
      </c>
      <c r="QD17" s="476" t="s">
        <v>721</v>
      </c>
      <c r="QE17" s="476" t="s">
        <v>721</v>
      </c>
      <c r="QF17" s="476" t="s">
        <v>721</v>
      </c>
      <c r="QG17" s="476" t="s">
        <v>721</v>
      </c>
      <c r="QH17" s="476" t="s">
        <v>721</v>
      </c>
      <c r="QI17" s="476" t="s">
        <v>721</v>
      </c>
      <c r="QJ17" s="476" t="s">
        <v>721</v>
      </c>
      <c r="QK17" s="476" t="s">
        <v>721</v>
      </c>
      <c r="QL17" s="476" t="s">
        <v>721</v>
      </c>
      <c r="QM17" s="476" t="s">
        <v>721</v>
      </c>
      <c r="QN17" s="476" t="s">
        <v>721</v>
      </c>
      <c r="QO17" s="476" t="s">
        <v>721</v>
      </c>
      <c r="QP17" s="476" t="s">
        <v>721</v>
      </c>
      <c r="QQ17" s="476" t="s">
        <v>721</v>
      </c>
      <c r="QR17" s="476" t="s">
        <v>721</v>
      </c>
      <c r="QS17" s="476" t="s">
        <v>721</v>
      </c>
      <c r="QT17" s="476" t="s">
        <v>721</v>
      </c>
      <c r="QU17" s="476" t="s">
        <v>721</v>
      </c>
      <c r="QV17" s="476" t="s">
        <v>721</v>
      </c>
      <c r="QW17" s="476" t="s">
        <v>721</v>
      </c>
      <c r="QX17" s="476" t="s">
        <v>721</v>
      </c>
      <c r="QY17" s="476" t="s">
        <v>721</v>
      </c>
      <c r="QZ17" s="476" t="s">
        <v>721</v>
      </c>
      <c r="RA17" s="476" t="s">
        <v>721</v>
      </c>
      <c r="RB17" s="476" t="s">
        <v>721</v>
      </c>
      <c r="RC17" s="476" t="s">
        <v>721</v>
      </c>
      <c r="RD17" s="476" t="s">
        <v>721</v>
      </c>
      <c r="RE17" s="476" t="s">
        <v>721</v>
      </c>
      <c r="RF17" s="476" t="s">
        <v>721</v>
      </c>
      <c r="RG17" s="476" t="s">
        <v>721</v>
      </c>
      <c r="RH17" s="476" t="s">
        <v>721</v>
      </c>
      <c r="RI17" s="476" t="s">
        <v>721</v>
      </c>
      <c r="RJ17" s="476" t="s">
        <v>721</v>
      </c>
      <c r="RK17" s="476" t="s">
        <v>721</v>
      </c>
      <c r="RL17" s="476" t="s">
        <v>721</v>
      </c>
      <c r="RM17" s="476" t="s">
        <v>721</v>
      </c>
      <c r="RN17" s="476" t="s">
        <v>721</v>
      </c>
      <c r="RO17" s="476" t="s">
        <v>721</v>
      </c>
      <c r="RP17" s="476" t="s">
        <v>721</v>
      </c>
      <c r="RQ17" s="476" t="s">
        <v>721</v>
      </c>
      <c r="RR17" s="476" t="s">
        <v>721</v>
      </c>
      <c r="RS17" s="476" t="s">
        <v>721</v>
      </c>
      <c r="RT17" s="476" t="s">
        <v>721</v>
      </c>
      <c r="RU17" s="476" t="s">
        <v>721</v>
      </c>
      <c r="RV17" s="476" t="s">
        <v>721</v>
      </c>
      <c r="RW17" s="476" t="s">
        <v>721</v>
      </c>
      <c r="RX17" s="476">
        <v>0.65300000000000002</v>
      </c>
      <c r="RY17" s="476">
        <v>0.158</v>
      </c>
      <c r="RZ17" s="476">
        <v>5.0000000000000001E-3</v>
      </c>
      <c r="SA17" s="476" t="s">
        <v>721</v>
      </c>
      <c r="SB17" s="476">
        <v>0.161</v>
      </c>
      <c r="SC17" s="476" t="s">
        <v>721</v>
      </c>
      <c r="SD17" s="476">
        <v>1.2999999999999999E-2</v>
      </c>
      <c r="SE17" s="476" t="s">
        <v>721</v>
      </c>
      <c r="SF17" s="476" t="s">
        <v>721</v>
      </c>
      <c r="SG17" s="476" t="s">
        <v>721</v>
      </c>
      <c r="SH17" s="476" t="s">
        <v>721</v>
      </c>
      <c r="SI17" s="476" t="s">
        <v>721</v>
      </c>
      <c r="SJ17" s="476" t="s">
        <v>721</v>
      </c>
      <c r="SK17" s="476" t="s">
        <v>721</v>
      </c>
      <c r="SL17" s="476" t="s">
        <v>721</v>
      </c>
      <c r="SM17" s="476" t="s">
        <v>721</v>
      </c>
      <c r="SN17" s="476" t="s">
        <v>721</v>
      </c>
      <c r="SO17" s="476" t="s">
        <v>721</v>
      </c>
      <c r="SP17" s="476">
        <v>1.0999999999999999E-2</v>
      </c>
      <c r="SQ17" s="476">
        <v>0.55200000000000005</v>
      </c>
      <c r="SR17" s="476" t="s">
        <v>721</v>
      </c>
      <c r="SS17" s="476" t="s">
        <v>721</v>
      </c>
      <c r="ST17" s="476" t="s">
        <v>721</v>
      </c>
      <c r="SU17" s="476" t="s">
        <v>721</v>
      </c>
      <c r="SV17" s="476" t="s">
        <v>721</v>
      </c>
      <c r="SW17" s="476" t="s">
        <v>721</v>
      </c>
      <c r="SX17" s="476" t="s">
        <v>721</v>
      </c>
      <c r="SY17" s="476" t="s">
        <v>721</v>
      </c>
      <c r="SZ17" s="476" t="s">
        <v>721</v>
      </c>
      <c r="TA17" s="476" t="s">
        <v>721</v>
      </c>
      <c r="TB17" s="476" t="s">
        <v>721</v>
      </c>
      <c r="TC17" s="476" t="s">
        <v>721</v>
      </c>
      <c r="TD17" s="476" t="s">
        <v>721</v>
      </c>
      <c r="TE17" s="476" t="s">
        <v>721</v>
      </c>
      <c r="TF17" s="476" t="s">
        <v>721</v>
      </c>
      <c r="TG17" s="476" t="s">
        <v>721</v>
      </c>
      <c r="TH17" s="476" t="s">
        <v>721</v>
      </c>
      <c r="TI17" s="476" t="s">
        <v>721</v>
      </c>
      <c r="TJ17" s="476">
        <v>0.66700000000000004</v>
      </c>
      <c r="TK17" s="476" t="s">
        <v>721</v>
      </c>
      <c r="TL17" s="476" t="s">
        <v>721</v>
      </c>
      <c r="TM17" s="476" t="s">
        <v>721</v>
      </c>
      <c r="TN17" s="476" t="s">
        <v>721</v>
      </c>
      <c r="TO17" s="476" t="s">
        <v>721</v>
      </c>
      <c r="TP17" s="476" t="s">
        <v>721</v>
      </c>
      <c r="TQ17" s="476" t="s">
        <v>721</v>
      </c>
      <c r="TR17" s="476" t="s">
        <v>721</v>
      </c>
      <c r="TS17" s="476" t="s">
        <v>721</v>
      </c>
      <c r="TT17" s="476" t="s">
        <v>721</v>
      </c>
      <c r="TU17" s="476" t="s">
        <v>721</v>
      </c>
      <c r="TV17" s="476" t="s">
        <v>721</v>
      </c>
      <c r="TW17" s="476" t="s">
        <v>721</v>
      </c>
      <c r="TX17" s="476" t="s">
        <v>721</v>
      </c>
      <c r="TY17" s="476" t="s">
        <v>721</v>
      </c>
      <c r="TZ17" s="476" t="s">
        <v>721</v>
      </c>
      <c r="UA17" s="476" t="s">
        <v>721</v>
      </c>
      <c r="UB17" s="476" t="s">
        <v>721</v>
      </c>
      <c r="UC17" s="476">
        <v>0.71599999999999997</v>
      </c>
      <c r="UD17" s="476" t="s">
        <v>721</v>
      </c>
      <c r="UE17" s="476" t="s">
        <v>721</v>
      </c>
      <c r="UF17" s="476" t="s">
        <v>721</v>
      </c>
      <c r="UG17" s="476">
        <v>0.14799999999999999</v>
      </c>
      <c r="UH17" s="476" t="s">
        <v>721</v>
      </c>
      <c r="UI17" s="476" t="s">
        <v>721</v>
      </c>
      <c r="UJ17" s="476" t="s">
        <v>721</v>
      </c>
      <c r="UK17" s="476" t="s">
        <v>721</v>
      </c>
      <c r="UL17" s="476" t="s">
        <v>721</v>
      </c>
      <c r="UM17" s="476" t="s">
        <v>721</v>
      </c>
      <c r="UN17" s="476" t="s">
        <v>721</v>
      </c>
      <c r="UO17" s="476" t="s">
        <v>721</v>
      </c>
      <c r="UP17" s="476" t="s">
        <v>721</v>
      </c>
      <c r="UQ17" s="476" t="s">
        <v>721</v>
      </c>
      <c r="UR17" s="476" t="s">
        <v>721</v>
      </c>
      <c r="US17" s="476" t="s">
        <v>721</v>
      </c>
      <c r="UT17" s="476" t="s">
        <v>721</v>
      </c>
      <c r="UU17" s="476" t="s">
        <v>721</v>
      </c>
      <c r="UV17" s="476">
        <v>0.68799999999999994</v>
      </c>
      <c r="UW17" s="476">
        <v>0.14299999999999999</v>
      </c>
      <c r="UX17" s="476" t="s">
        <v>721</v>
      </c>
      <c r="UY17" s="476" t="s">
        <v>721</v>
      </c>
      <c r="UZ17" s="476">
        <v>0.14299999999999999</v>
      </c>
      <c r="VA17" s="476" t="s">
        <v>721</v>
      </c>
      <c r="VB17" s="476" t="s">
        <v>721</v>
      </c>
      <c r="VC17" s="476" t="s">
        <v>721</v>
      </c>
      <c r="VD17" s="476" t="s">
        <v>721</v>
      </c>
      <c r="VE17" s="476" t="s">
        <v>721</v>
      </c>
      <c r="VF17" s="476" t="s">
        <v>721</v>
      </c>
      <c r="VG17" s="476" t="s">
        <v>721</v>
      </c>
      <c r="VH17" s="476" t="s">
        <v>721</v>
      </c>
      <c r="VI17" s="476" t="s">
        <v>721</v>
      </c>
      <c r="VJ17" s="476" t="s">
        <v>721</v>
      </c>
      <c r="VK17" s="476" t="s">
        <v>721</v>
      </c>
      <c r="VL17" s="476" t="s">
        <v>721</v>
      </c>
      <c r="VM17" s="476" t="s">
        <v>721</v>
      </c>
      <c r="VN17" s="476" t="s">
        <v>721</v>
      </c>
      <c r="VO17" s="28"/>
      <c r="VP17" s="28"/>
      <c r="VQ17" s="28"/>
      <c r="VR17" s="28"/>
      <c r="VS17" s="28"/>
      <c r="VT17" s="28"/>
      <c r="VU17" s="28"/>
      <c r="VV17" s="28"/>
      <c r="VW17" s="28"/>
      <c r="VX17" s="28"/>
      <c r="VY17" s="28"/>
      <c r="VZ17" s="28"/>
      <c r="WA17" s="28"/>
      <c r="WB17" s="28"/>
      <c r="WC17" s="28"/>
      <c r="WD17" s="28"/>
      <c r="WE17" s="28"/>
      <c r="WF17" s="28"/>
      <c r="WG17" s="28"/>
      <c r="WH17" s="28"/>
      <c r="WI17" s="28"/>
      <c r="WJ17" s="28"/>
      <c r="WK17" s="28"/>
      <c r="WL17" s="28"/>
      <c r="WM17" s="28"/>
      <c r="WN17" s="28"/>
      <c r="WO17" s="28"/>
      <c r="WP17" s="28"/>
      <c r="WQ17" s="28"/>
      <c r="WR17" s="28"/>
      <c r="WS17" s="28"/>
      <c r="WT17" s="28"/>
      <c r="WU17" s="28"/>
      <c r="WV17" s="28"/>
      <c r="WW17" s="28"/>
    </row>
    <row r="18" spans="1:621" s="151" customFormat="1" ht="15.75" customHeight="1" x14ac:dyDescent="0.35">
      <c r="A18" s="477" t="s">
        <v>28</v>
      </c>
      <c r="B18" s="492" t="s">
        <v>12</v>
      </c>
      <c r="C18" s="493">
        <v>15.5</v>
      </c>
      <c r="D18" s="494">
        <v>12680</v>
      </c>
      <c r="E18" s="473">
        <v>1423751.4</v>
      </c>
      <c r="F18" s="473">
        <v>112.3</v>
      </c>
      <c r="G18" s="474">
        <v>12222</v>
      </c>
      <c r="H18" s="474">
        <v>10578</v>
      </c>
      <c r="I18" s="474">
        <v>8774</v>
      </c>
      <c r="J18" s="474">
        <v>6654</v>
      </c>
      <c r="K18" s="474">
        <v>4246</v>
      </c>
      <c r="L18" s="473">
        <v>667662.4</v>
      </c>
      <c r="M18" s="474">
        <v>8358</v>
      </c>
      <c r="N18" s="473">
        <v>756089</v>
      </c>
      <c r="O18" s="494">
        <v>1162</v>
      </c>
      <c r="P18" s="495">
        <v>204671.2</v>
      </c>
      <c r="Q18" s="494">
        <v>1639</v>
      </c>
      <c r="R18" s="495">
        <v>57546.6</v>
      </c>
      <c r="S18" s="494">
        <v>5172</v>
      </c>
      <c r="T18" s="495">
        <v>539149.5</v>
      </c>
      <c r="U18" s="494">
        <v>180</v>
      </c>
      <c r="V18" s="495">
        <v>22737.7</v>
      </c>
      <c r="W18" s="494">
        <v>7328</v>
      </c>
      <c r="X18" s="495">
        <v>861864.2</v>
      </c>
      <c r="Y18" s="494">
        <v>10643</v>
      </c>
      <c r="Z18" s="494">
        <v>6183</v>
      </c>
      <c r="AA18" s="494">
        <v>7220</v>
      </c>
      <c r="AB18" s="494">
        <v>5076</v>
      </c>
      <c r="AC18" s="494">
        <v>640</v>
      </c>
      <c r="AD18" s="494">
        <v>2147</v>
      </c>
      <c r="AE18" s="494">
        <v>5845</v>
      </c>
      <c r="AF18" s="495">
        <v>444569.8</v>
      </c>
      <c r="AG18" s="494">
        <v>6042</v>
      </c>
      <c r="AH18" s="495">
        <v>926936.6</v>
      </c>
      <c r="AI18" s="494">
        <v>349</v>
      </c>
      <c r="AJ18" s="495">
        <v>15171.2</v>
      </c>
      <c r="AK18" s="494">
        <v>368</v>
      </c>
      <c r="AL18" s="495">
        <v>37073.800000000003</v>
      </c>
      <c r="AM18" s="496">
        <v>7371</v>
      </c>
      <c r="AN18" s="496">
        <v>5309</v>
      </c>
      <c r="AO18" s="496">
        <v>3394</v>
      </c>
      <c r="AP18" s="496">
        <v>5671</v>
      </c>
      <c r="AQ18" s="496">
        <v>1948</v>
      </c>
      <c r="AR18" s="496">
        <v>127</v>
      </c>
      <c r="AS18" s="496">
        <v>56</v>
      </c>
      <c r="AT18" s="496">
        <v>275</v>
      </c>
      <c r="AU18" s="496">
        <v>195</v>
      </c>
      <c r="AV18" s="496" t="s">
        <v>721</v>
      </c>
      <c r="AW18" s="496">
        <v>12</v>
      </c>
      <c r="AX18" s="496">
        <v>25</v>
      </c>
      <c r="AY18" s="496" t="s">
        <v>721</v>
      </c>
      <c r="AZ18" s="496">
        <v>18</v>
      </c>
      <c r="BA18" s="496" t="s">
        <v>721</v>
      </c>
      <c r="BB18" s="496">
        <v>472</v>
      </c>
      <c r="BC18" s="496" t="s">
        <v>721</v>
      </c>
      <c r="BD18" s="496" t="s">
        <v>721</v>
      </c>
      <c r="BE18" s="496">
        <v>12</v>
      </c>
      <c r="BF18" s="496">
        <v>16</v>
      </c>
      <c r="BG18" s="496">
        <v>444</v>
      </c>
      <c r="BH18" s="496" t="s">
        <v>721</v>
      </c>
      <c r="BI18" s="496">
        <v>3175</v>
      </c>
      <c r="BJ18" s="496" t="s">
        <v>721</v>
      </c>
      <c r="BK18" s="496" t="s">
        <v>721</v>
      </c>
      <c r="BL18" s="496">
        <v>16</v>
      </c>
      <c r="BM18" s="496">
        <v>90</v>
      </c>
      <c r="BN18" s="496">
        <v>20</v>
      </c>
      <c r="BO18" s="496">
        <v>8769</v>
      </c>
      <c r="BP18" s="496" t="s">
        <v>721</v>
      </c>
      <c r="BQ18" s="496" t="s">
        <v>721</v>
      </c>
      <c r="BR18" s="496" t="s">
        <v>721</v>
      </c>
      <c r="BS18" s="496" t="s">
        <v>721</v>
      </c>
      <c r="BT18" s="496">
        <v>14</v>
      </c>
      <c r="BU18" s="496" t="s">
        <v>721</v>
      </c>
      <c r="BV18" s="496">
        <v>29</v>
      </c>
      <c r="BW18" s="496" t="s">
        <v>721</v>
      </c>
      <c r="BX18" s="496" t="s">
        <v>721</v>
      </c>
      <c r="BY18" s="496">
        <v>12</v>
      </c>
      <c r="BZ18" s="496" t="s">
        <v>721</v>
      </c>
      <c r="CA18" s="496" t="s">
        <v>721</v>
      </c>
      <c r="CB18" s="496" t="s">
        <v>721</v>
      </c>
      <c r="CC18" s="496" t="s">
        <v>721</v>
      </c>
      <c r="CD18" s="496" t="s">
        <v>721</v>
      </c>
      <c r="CE18" s="496" t="s">
        <v>721</v>
      </c>
      <c r="CF18" s="496" t="s">
        <v>721</v>
      </c>
      <c r="CG18" s="496">
        <v>96</v>
      </c>
      <c r="CH18" s="496" t="s">
        <v>721</v>
      </c>
      <c r="CI18" s="496" t="s">
        <v>721</v>
      </c>
      <c r="CJ18" s="496">
        <v>11</v>
      </c>
      <c r="CK18" s="496">
        <v>11</v>
      </c>
      <c r="CL18" s="496" t="s">
        <v>721</v>
      </c>
      <c r="CM18" s="496">
        <v>383</v>
      </c>
      <c r="CN18" s="496" t="s">
        <v>721</v>
      </c>
      <c r="CO18" s="496" t="s">
        <v>721</v>
      </c>
      <c r="CP18" s="496">
        <v>1556</v>
      </c>
      <c r="CQ18" s="496" t="s">
        <v>721</v>
      </c>
      <c r="CR18" s="496" t="s">
        <v>721</v>
      </c>
      <c r="CS18" s="496" t="s">
        <v>721</v>
      </c>
      <c r="CT18" s="496">
        <v>20</v>
      </c>
      <c r="CU18" s="496">
        <v>66</v>
      </c>
      <c r="CV18" s="496">
        <v>8929</v>
      </c>
      <c r="CW18" s="496">
        <v>25</v>
      </c>
      <c r="CX18" s="496" t="s">
        <v>721</v>
      </c>
      <c r="CY18" s="496" t="s">
        <v>721</v>
      </c>
      <c r="CZ18" s="496" t="s">
        <v>721</v>
      </c>
      <c r="DA18" s="496" t="s">
        <v>721</v>
      </c>
      <c r="DB18" s="496" t="s">
        <v>721</v>
      </c>
      <c r="DC18" s="496" t="s">
        <v>721</v>
      </c>
      <c r="DD18" s="496" t="s">
        <v>721</v>
      </c>
      <c r="DE18" s="496" t="s">
        <v>721</v>
      </c>
      <c r="DF18" s="496" t="s">
        <v>721</v>
      </c>
      <c r="DG18" s="496" t="s">
        <v>721</v>
      </c>
      <c r="DH18" s="496" t="s">
        <v>721</v>
      </c>
      <c r="DI18" s="496" t="s">
        <v>721</v>
      </c>
      <c r="DJ18" s="496" t="s">
        <v>721</v>
      </c>
      <c r="DK18" s="496" t="s">
        <v>721</v>
      </c>
      <c r="DL18" s="496" t="s">
        <v>721</v>
      </c>
      <c r="DM18" s="496" t="s">
        <v>721</v>
      </c>
      <c r="DN18" s="496">
        <v>19</v>
      </c>
      <c r="DO18" s="496" t="s">
        <v>721</v>
      </c>
      <c r="DP18" s="496" t="s">
        <v>721</v>
      </c>
      <c r="DQ18" s="496" t="s">
        <v>721</v>
      </c>
      <c r="DR18" s="496" t="s">
        <v>721</v>
      </c>
      <c r="DS18" s="483" t="s">
        <v>721</v>
      </c>
      <c r="DT18" s="483" t="s">
        <v>721</v>
      </c>
      <c r="DU18" s="483" t="s">
        <v>721</v>
      </c>
      <c r="DV18" s="496">
        <v>1376</v>
      </c>
      <c r="DW18" s="497">
        <v>197655.1</v>
      </c>
      <c r="DX18" s="496">
        <v>2122</v>
      </c>
      <c r="DY18" s="497">
        <v>286310.40000000002</v>
      </c>
      <c r="DZ18" s="496">
        <v>3276</v>
      </c>
      <c r="EA18" s="497">
        <v>330334.90000000002</v>
      </c>
      <c r="EB18" s="496">
        <v>2676</v>
      </c>
      <c r="EC18" s="497">
        <v>260554.7</v>
      </c>
      <c r="ED18" s="496">
        <v>2083</v>
      </c>
      <c r="EE18" s="497">
        <v>212559.3</v>
      </c>
      <c r="EF18" s="496">
        <v>1147</v>
      </c>
      <c r="EG18" s="497">
        <v>136337</v>
      </c>
      <c r="EH18" s="485">
        <v>10206</v>
      </c>
      <c r="EI18" s="486">
        <v>31476.2</v>
      </c>
      <c r="EJ18" s="485">
        <v>10215</v>
      </c>
      <c r="EK18" s="486">
        <v>249530.2</v>
      </c>
      <c r="EL18" s="485">
        <v>10090</v>
      </c>
      <c r="EM18" s="486">
        <v>120458.6</v>
      </c>
      <c r="EN18" s="485">
        <v>10575</v>
      </c>
      <c r="EO18" s="486">
        <v>53835.5</v>
      </c>
      <c r="EP18" s="485">
        <v>10134</v>
      </c>
      <c r="EQ18" s="486">
        <v>29822.7</v>
      </c>
      <c r="ER18" s="485">
        <v>10181</v>
      </c>
      <c r="ES18" s="486">
        <v>19833.5</v>
      </c>
      <c r="ET18" s="485">
        <v>0</v>
      </c>
      <c r="EU18" s="485">
        <v>8904</v>
      </c>
      <c r="EV18" s="486">
        <v>144229.9</v>
      </c>
      <c r="EW18" s="485">
        <v>1830</v>
      </c>
      <c r="EX18" s="486">
        <v>10016.1</v>
      </c>
      <c r="EY18" s="485">
        <v>2611</v>
      </c>
      <c r="EZ18" s="486">
        <v>39238.5</v>
      </c>
      <c r="FA18" s="485">
        <v>1265</v>
      </c>
      <c r="FB18" s="486">
        <v>11644.1</v>
      </c>
      <c r="FC18" s="485">
        <v>10790</v>
      </c>
      <c r="FD18" s="486">
        <v>124538.2</v>
      </c>
      <c r="FE18" s="485">
        <v>10761</v>
      </c>
      <c r="FF18" s="486">
        <v>84159</v>
      </c>
      <c r="FG18" s="485">
        <v>5417</v>
      </c>
      <c r="FH18" s="486">
        <v>40081.199999999997</v>
      </c>
      <c r="FI18" s="485">
        <v>8515</v>
      </c>
      <c r="FJ18" s="486">
        <v>47470.7</v>
      </c>
      <c r="FK18" s="485">
        <v>8683</v>
      </c>
      <c r="FL18" s="486">
        <v>27361.9</v>
      </c>
      <c r="FM18" s="485">
        <v>620</v>
      </c>
      <c r="FN18" s="486">
        <v>1530.1</v>
      </c>
      <c r="FO18" s="485">
        <v>10107</v>
      </c>
      <c r="FP18" s="486">
        <v>75495.5</v>
      </c>
      <c r="FQ18" s="485">
        <v>10399</v>
      </c>
      <c r="FR18" s="486">
        <v>49523.9</v>
      </c>
      <c r="FS18" s="485">
        <v>224</v>
      </c>
      <c r="FT18" s="486">
        <v>1509.9</v>
      </c>
      <c r="FU18" s="485">
        <v>0</v>
      </c>
      <c r="FV18" s="486">
        <v>0</v>
      </c>
      <c r="FW18" s="485">
        <v>0</v>
      </c>
      <c r="FX18" s="486">
        <v>0</v>
      </c>
      <c r="FY18" s="485">
        <v>0</v>
      </c>
      <c r="FZ18" s="486">
        <v>0</v>
      </c>
      <c r="GA18" s="485">
        <v>0</v>
      </c>
      <c r="GB18" s="485">
        <v>0</v>
      </c>
      <c r="GC18" s="487">
        <v>0</v>
      </c>
      <c r="GD18" s="488">
        <v>75</v>
      </c>
      <c r="GE18" s="488">
        <v>579</v>
      </c>
      <c r="GF18" s="488">
        <v>6954</v>
      </c>
      <c r="GG18" s="488">
        <v>13</v>
      </c>
      <c r="GH18" s="488">
        <v>6</v>
      </c>
      <c r="GI18" s="488">
        <v>2</v>
      </c>
      <c r="GJ18" s="488">
        <v>0</v>
      </c>
      <c r="GK18" s="488">
        <v>4088</v>
      </c>
      <c r="GL18" s="488">
        <v>3499</v>
      </c>
      <c r="GM18" s="488">
        <v>7608</v>
      </c>
      <c r="GN18" s="488">
        <v>1158</v>
      </c>
      <c r="GO18" s="488">
        <v>774</v>
      </c>
      <c r="GP18" s="488">
        <v>64</v>
      </c>
      <c r="GQ18" s="488">
        <v>284</v>
      </c>
      <c r="GR18" s="488">
        <v>67</v>
      </c>
      <c r="GS18" s="488">
        <v>415</v>
      </c>
      <c r="GT18" s="489">
        <v>8242</v>
      </c>
      <c r="GU18" s="488">
        <v>19</v>
      </c>
      <c r="GV18" s="490">
        <v>0</v>
      </c>
      <c r="GW18" s="490">
        <v>22</v>
      </c>
      <c r="GX18" s="490">
        <v>41</v>
      </c>
      <c r="GY18" s="491">
        <v>8</v>
      </c>
      <c r="GZ18" s="491">
        <v>14</v>
      </c>
      <c r="HA18" s="491">
        <v>22</v>
      </c>
      <c r="HB18" s="475">
        <v>0</v>
      </c>
      <c r="HC18" s="475">
        <v>10</v>
      </c>
      <c r="HD18" s="475">
        <v>0</v>
      </c>
      <c r="HE18" s="475">
        <v>0</v>
      </c>
      <c r="HF18" s="475">
        <v>1</v>
      </c>
      <c r="HG18" s="475">
        <v>1</v>
      </c>
      <c r="HH18" s="475">
        <v>1</v>
      </c>
      <c r="HI18" s="475">
        <v>0</v>
      </c>
      <c r="HJ18" s="475">
        <v>0</v>
      </c>
      <c r="HK18" s="475">
        <v>0</v>
      </c>
      <c r="HL18" s="475">
        <v>4</v>
      </c>
      <c r="HM18" s="475">
        <v>1</v>
      </c>
      <c r="HN18" s="475">
        <v>0</v>
      </c>
      <c r="HO18" s="475">
        <v>4</v>
      </c>
      <c r="HP18" s="475">
        <v>0</v>
      </c>
      <c r="HQ18" s="475">
        <v>19</v>
      </c>
      <c r="HR18" s="475">
        <v>66</v>
      </c>
      <c r="HS18" s="475">
        <v>0</v>
      </c>
      <c r="HT18" s="475">
        <v>0</v>
      </c>
      <c r="HU18" s="475">
        <v>0</v>
      </c>
      <c r="HV18" s="475">
        <v>0</v>
      </c>
      <c r="HW18" s="475">
        <v>0</v>
      </c>
      <c r="HX18" s="475">
        <v>0</v>
      </c>
      <c r="HY18" s="475">
        <v>0</v>
      </c>
      <c r="HZ18" s="475">
        <v>216</v>
      </c>
      <c r="IA18" s="475">
        <v>364</v>
      </c>
      <c r="IB18" s="475">
        <v>95</v>
      </c>
      <c r="IC18" s="475" t="s">
        <v>721</v>
      </c>
      <c r="ID18" s="475" t="s">
        <v>721</v>
      </c>
      <c r="IE18" s="475" t="s">
        <v>721</v>
      </c>
      <c r="IF18" s="475">
        <v>22</v>
      </c>
      <c r="IG18" s="475" t="s">
        <v>721</v>
      </c>
      <c r="IH18" s="475" t="s">
        <v>721</v>
      </c>
      <c r="II18" s="475" t="s">
        <v>721</v>
      </c>
      <c r="IJ18" s="475" t="s">
        <v>721</v>
      </c>
      <c r="IK18" s="475" t="s">
        <v>721</v>
      </c>
      <c r="IL18" s="475" t="s">
        <v>721</v>
      </c>
      <c r="IM18" s="475">
        <v>20</v>
      </c>
      <c r="IN18" s="475" t="s">
        <v>721</v>
      </c>
      <c r="IO18" s="475" t="s">
        <v>721</v>
      </c>
      <c r="IP18" s="475" t="s">
        <v>721</v>
      </c>
      <c r="IQ18" s="475" t="s">
        <v>721</v>
      </c>
      <c r="IR18" s="475">
        <v>40</v>
      </c>
      <c r="IS18" s="475">
        <v>142</v>
      </c>
      <c r="IT18" s="475">
        <v>169</v>
      </c>
      <c r="IU18" s="475">
        <v>51</v>
      </c>
      <c r="IV18" s="475" t="s">
        <v>721</v>
      </c>
      <c r="IW18" s="475" t="s">
        <v>721</v>
      </c>
      <c r="IX18" s="475" t="s">
        <v>721</v>
      </c>
      <c r="IY18" s="475">
        <v>19</v>
      </c>
      <c r="IZ18" s="475" t="s">
        <v>721</v>
      </c>
      <c r="JA18" s="475" t="s">
        <v>721</v>
      </c>
      <c r="JB18" s="475" t="s">
        <v>721</v>
      </c>
      <c r="JC18" s="475" t="s">
        <v>721</v>
      </c>
      <c r="JD18" s="475" t="s">
        <v>721</v>
      </c>
      <c r="JE18" s="475" t="s">
        <v>721</v>
      </c>
      <c r="JF18" s="475" t="s">
        <v>721</v>
      </c>
      <c r="JG18" s="475" t="s">
        <v>721</v>
      </c>
      <c r="JH18" s="475" t="s">
        <v>721</v>
      </c>
      <c r="JI18" s="475" t="s">
        <v>721</v>
      </c>
      <c r="JJ18" s="475" t="s">
        <v>721</v>
      </c>
      <c r="JK18" s="475" t="s">
        <v>721</v>
      </c>
      <c r="JL18" s="755">
        <v>383378.2</v>
      </c>
      <c r="JM18" s="755">
        <v>640847.5</v>
      </c>
      <c r="JN18" s="755">
        <v>217881.2</v>
      </c>
      <c r="JO18" s="755">
        <v>13821.3</v>
      </c>
      <c r="JP18" s="755">
        <v>6601.8</v>
      </c>
      <c r="JQ18" s="755">
        <v>29855.9</v>
      </c>
      <c r="JR18" s="755">
        <v>19160.900000000001</v>
      </c>
      <c r="JS18" s="755" t="s">
        <v>721</v>
      </c>
      <c r="JT18" s="755">
        <v>1402.9</v>
      </c>
      <c r="JU18" s="755">
        <v>2889.7</v>
      </c>
      <c r="JV18" s="755">
        <v>184.3</v>
      </c>
      <c r="JW18" s="755">
        <v>2176.6</v>
      </c>
      <c r="JX18" s="755">
        <v>498.7</v>
      </c>
      <c r="JY18" s="755">
        <v>51419.5</v>
      </c>
      <c r="JZ18" s="755">
        <v>247.7</v>
      </c>
      <c r="KA18" s="755">
        <v>389.4</v>
      </c>
      <c r="KB18" s="755">
        <v>1244.3</v>
      </c>
      <c r="KC18" s="755">
        <v>1797.9</v>
      </c>
      <c r="KD18" s="755">
        <v>49953.599999999999</v>
      </c>
      <c r="KE18" s="475">
        <v>337</v>
      </c>
      <c r="KF18" s="475">
        <v>584</v>
      </c>
      <c r="KG18" s="475">
        <v>92</v>
      </c>
      <c r="KH18" s="475">
        <v>11</v>
      </c>
      <c r="KI18" s="475" t="s">
        <v>721</v>
      </c>
      <c r="KJ18" s="475">
        <v>26</v>
      </c>
      <c r="KK18" s="475">
        <v>21</v>
      </c>
      <c r="KL18" s="475" t="s">
        <v>721</v>
      </c>
      <c r="KM18" s="475" t="s">
        <v>721</v>
      </c>
      <c r="KN18" s="475" t="s">
        <v>721</v>
      </c>
      <c r="KO18" s="475" t="s">
        <v>721</v>
      </c>
      <c r="KP18" s="475" t="s">
        <v>721</v>
      </c>
      <c r="KQ18" s="475" t="s">
        <v>721</v>
      </c>
      <c r="KR18" s="475">
        <v>19</v>
      </c>
      <c r="KS18" s="475" t="s">
        <v>721</v>
      </c>
      <c r="KT18" s="475" t="s">
        <v>721</v>
      </c>
      <c r="KU18" s="475" t="s">
        <v>721</v>
      </c>
      <c r="KV18" s="475" t="s">
        <v>721</v>
      </c>
      <c r="KW18" s="475">
        <v>63</v>
      </c>
      <c r="KX18" s="475">
        <v>316</v>
      </c>
      <c r="KY18" s="475">
        <v>920</v>
      </c>
      <c r="KZ18" s="475">
        <v>162</v>
      </c>
      <c r="LA18" s="475">
        <v>24</v>
      </c>
      <c r="LB18" s="475" t="s">
        <v>721</v>
      </c>
      <c r="LC18" s="475">
        <v>43</v>
      </c>
      <c r="LD18" s="475" t="s">
        <v>721</v>
      </c>
      <c r="LE18" s="475" t="s">
        <v>721</v>
      </c>
      <c r="LF18" s="475" t="s">
        <v>721</v>
      </c>
      <c r="LG18" s="475" t="s">
        <v>721</v>
      </c>
      <c r="LH18" s="475" t="s">
        <v>721</v>
      </c>
      <c r="LI18" s="475" t="s">
        <v>721</v>
      </c>
      <c r="LJ18" s="475" t="s">
        <v>721</v>
      </c>
      <c r="LK18" s="475">
        <v>87</v>
      </c>
      <c r="LL18" s="475" t="s">
        <v>721</v>
      </c>
      <c r="LM18" s="475" t="s">
        <v>721</v>
      </c>
      <c r="LN18" s="475" t="s">
        <v>721</v>
      </c>
      <c r="LO18" s="475" t="s">
        <v>721</v>
      </c>
      <c r="LP18" s="475">
        <v>60</v>
      </c>
      <c r="LQ18" s="475">
        <v>2342</v>
      </c>
      <c r="LR18" s="475">
        <v>3654</v>
      </c>
      <c r="LS18" s="475">
        <v>1272</v>
      </c>
      <c r="LT18" s="475">
        <v>77</v>
      </c>
      <c r="LU18" s="475">
        <v>38</v>
      </c>
      <c r="LV18" s="475">
        <v>189</v>
      </c>
      <c r="LW18" s="475">
        <v>153</v>
      </c>
      <c r="LX18" s="475" t="s">
        <v>721</v>
      </c>
      <c r="LY18" s="475" t="s">
        <v>721</v>
      </c>
      <c r="LZ18" s="475">
        <v>11</v>
      </c>
      <c r="MA18" s="475" t="s">
        <v>721</v>
      </c>
      <c r="MB18" s="475">
        <v>13</v>
      </c>
      <c r="MC18" s="475" t="s">
        <v>721</v>
      </c>
      <c r="MD18" s="475">
        <v>270</v>
      </c>
      <c r="ME18" s="475" t="s">
        <v>721</v>
      </c>
      <c r="MF18" s="475" t="s">
        <v>721</v>
      </c>
      <c r="MG18" s="475" t="s">
        <v>721</v>
      </c>
      <c r="MH18" s="475" t="s">
        <v>721</v>
      </c>
      <c r="MI18" s="475">
        <v>306</v>
      </c>
      <c r="MJ18" s="475">
        <v>1019</v>
      </c>
      <c r="MK18" s="475">
        <v>1994</v>
      </c>
      <c r="ML18" s="475">
        <v>666</v>
      </c>
      <c r="MM18" s="475">
        <v>49</v>
      </c>
      <c r="MN18" s="475">
        <v>18</v>
      </c>
      <c r="MO18" s="475">
        <v>84</v>
      </c>
      <c r="MP18" s="475">
        <v>39</v>
      </c>
      <c r="MQ18" s="475" t="s">
        <v>721</v>
      </c>
      <c r="MR18" s="475" t="s">
        <v>721</v>
      </c>
      <c r="MS18" s="475">
        <v>14</v>
      </c>
      <c r="MT18" s="475" t="s">
        <v>721</v>
      </c>
      <c r="MU18" s="475" t="s">
        <v>721</v>
      </c>
      <c r="MV18" s="475" t="s">
        <v>721</v>
      </c>
      <c r="MW18" s="475">
        <v>202</v>
      </c>
      <c r="MX18" s="475" t="s">
        <v>721</v>
      </c>
      <c r="MY18" s="475" t="s">
        <v>721</v>
      </c>
      <c r="MZ18" s="475" t="s">
        <v>721</v>
      </c>
      <c r="NA18" s="475" t="s">
        <v>721</v>
      </c>
      <c r="NB18" s="475">
        <v>134</v>
      </c>
      <c r="NC18" s="476">
        <v>0.58099999999999996</v>
      </c>
      <c r="ND18" s="476">
        <v>0.41899999999999998</v>
      </c>
      <c r="NE18" s="476">
        <v>0.26800000000000002</v>
      </c>
      <c r="NF18" s="476">
        <v>0.44700000000000001</v>
      </c>
      <c r="NG18" s="476">
        <v>0.154</v>
      </c>
      <c r="NH18" s="476">
        <v>0.01</v>
      </c>
      <c r="NI18" s="476">
        <v>4.0000000000000001E-3</v>
      </c>
      <c r="NJ18" s="476">
        <v>2.1999999999999999E-2</v>
      </c>
      <c r="NK18" s="476">
        <v>1.4999999999999999E-2</v>
      </c>
      <c r="NL18" s="476" t="s">
        <v>721</v>
      </c>
      <c r="NM18" s="476">
        <v>1E-3</v>
      </c>
      <c r="NN18" s="476">
        <v>2E-3</v>
      </c>
      <c r="NO18" s="476" t="s">
        <v>721</v>
      </c>
      <c r="NP18" s="476">
        <v>1E-3</v>
      </c>
      <c r="NQ18" s="476" t="s">
        <v>721</v>
      </c>
      <c r="NR18" s="476">
        <v>3.6999999999999998E-2</v>
      </c>
      <c r="NS18" s="476" t="s">
        <v>721</v>
      </c>
      <c r="NT18" s="476" t="s">
        <v>721</v>
      </c>
      <c r="NU18" s="476">
        <v>1E-3</v>
      </c>
      <c r="NV18" s="476">
        <v>1E-3</v>
      </c>
      <c r="NW18" s="476">
        <v>3.5000000000000003E-2</v>
      </c>
      <c r="NX18" s="476" t="s">
        <v>721</v>
      </c>
      <c r="NY18" s="476">
        <v>0.25</v>
      </c>
      <c r="NZ18" s="476" t="s">
        <v>721</v>
      </c>
      <c r="OA18" s="476" t="s">
        <v>721</v>
      </c>
      <c r="OB18" s="476">
        <v>1E-3</v>
      </c>
      <c r="OC18" s="476">
        <v>7.0000000000000001E-3</v>
      </c>
      <c r="OD18" s="476">
        <v>2E-3</v>
      </c>
      <c r="OE18" s="476">
        <v>0.69199999999999995</v>
      </c>
      <c r="OF18" s="476" t="s">
        <v>721</v>
      </c>
      <c r="OG18" s="476" t="s">
        <v>721</v>
      </c>
      <c r="OH18" s="476" t="s">
        <v>721</v>
      </c>
      <c r="OI18" s="476" t="s">
        <v>721</v>
      </c>
      <c r="OJ18" s="476">
        <v>1E-3</v>
      </c>
      <c r="OK18" s="476" t="s">
        <v>721</v>
      </c>
      <c r="OL18" s="476">
        <v>2E-3</v>
      </c>
      <c r="OM18" s="476" t="s">
        <v>721</v>
      </c>
      <c r="ON18" s="476" t="s">
        <v>721</v>
      </c>
      <c r="OO18" s="476">
        <v>1E-3</v>
      </c>
      <c r="OP18" s="476" t="s">
        <v>721</v>
      </c>
      <c r="OQ18" s="476" t="s">
        <v>721</v>
      </c>
      <c r="OR18" s="476" t="s">
        <v>721</v>
      </c>
      <c r="OS18" s="476" t="s">
        <v>721</v>
      </c>
      <c r="OT18" s="476" t="s">
        <v>721</v>
      </c>
      <c r="OU18" s="476" t="s">
        <v>721</v>
      </c>
      <c r="OV18" s="476" t="s">
        <v>721</v>
      </c>
      <c r="OW18" s="476">
        <v>8.0000000000000002E-3</v>
      </c>
      <c r="OX18" s="476" t="s">
        <v>721</v>
      </c>
      <c r="OY18" s="476" t="s">
        <v>721</v>
      </c>
      <c r="OZ18" s="476">
        <v>1E-3</v>
      </c>
      <c r="PA18" s="476">
        <v>1E-3</v>
      </c>
      <c r="PB18" s="476" t="s">
        <v>721</v>
      </c>
      <c r="PC18" s="476">
        <v>0.03</v>
      </c>
      <c r="PD18" s="476" t="s">
        <v>721</v>
      </c>
      <c r="PE18" s="476" t="s">
        <v>721</v>
      </c>
      <c r="PF18" s="476">
        <v>0.14599999999999999</v>
      </c>
      <c r="PG18" s="476" t="s">
        <v>721</v>
      </c>
      <c r="PH18" s="476" t="s">
        <v>721</v>
      </c>
      <c r="PI18" s="476" t="s">
        <v>721</v>
      </c>
      <c r="PJ18" s="476">
        <v>2E-3</v>
      </c>
      <c r="PK18" s="476">
        <v>6.0000000000000001E-3</v>
      </c>
      <c r="PL18" s="476">
        <v>0.83899999999999997</v>
      </c>
      <c r="PM18" s="476">
        <v>2E-3</v>
      </c>
      <c r="PN18" s="476" t="s">
        <v>721</v>
      </c>
      <c r="PO18" s="476" t="s">
        <v>721</v>
      </c>
      <c r="PP18" s="476" t="s">
        <v>721</v>
      </c>
      <c r="PQ18" s="476" t="s">
        <v>721</v>
      </c>
      <c r="PR18" s="476" t="s">
        <v>721</v>
      </c>
      <c r="PS18" s="476" t="s">
        <v>721</v>
      </c>
      <c r="PT18" s="476" t="s">
        <v>721</v>
      </c>
      <c r="PU18" s="476" t="s">
        <v>721</v>
      </c>
      <c r="PV18" s="476" t="s">
        <v>721</v>
      </c>
      <c r="PW18" s="476" t="s">
        <v>721</v>
      </c>
      <c r="PX18" s="476" t="s">
        <v>721</v>
      </c>
      <c r="PY18" s="476" t="s">
        <v>721</v>
      </c>
      <c r="PZ18" s="476" t="s">
        <v>721</v>
      </c>
      <c r="QA18" s="476" t="s">
        <v>721</v>
      </c>
      <c r="QB18" s="476" t="s">
        <v>721</v>
      </c>
      <c r="QC18" s="476" t="s">
        <v>721</v>
      </c>
      <c r="QD18" s="476">
        <v>2E-3</v>
      </c>
      <c r="QE18" s="476" t="s">
        <v>721</v>
      </c>
      <c r="QF18" s="476" t="s">
        <v>721</v>
      </c>
      <c r="QG18" s="476" t="s">
        <v>721</v>
      </c>
      <c r="QH18" s="476" t="s">
        <v>721</v>
      </c>
      <c r="QI18" s="476" t="s">
        <v>721</v>
      </c>
      <c r="QJ18" s="476" t="s">
        <v>721</v>
      </c>
      <c r="QK18" s="476" t="s">
        <v>721</v>
      </c>
      <c r="QL18" s="476">
        <v>0.27900000000000003</v>
      </c>
      <c r="QM18" s="476">
        <v>0.47</v>
      </c>
      <c r="QN18" s="476">
        <v>0.123</v>
      </c>
      <c r="QO18" s="476" t="s">
        <v>721</v>
      </c>
      <c r="QP18" s="476" t="s">
        <v>721</v>
      </c>
      <c r="QQ18" s="476" t="s">
        <v>721</v>
      </c>
      <c r="QR18" s="476">
        <v>2.8000000000000001E-2</v>
      </c>
      <c r="QS18" s="476" t="s">
        <v>721</v>
      </c>
      <c r="QT18" s="476" t="s">
        <v>721</v>
      </c>
      <c r="QU18" s="476" t="s">
        <v>721</v>
      </c>
      <c r="QV18" s="476" t="s">
        <v>721</v>
      </c>
      <c r="QW18" s="476" t="s">
        <v>721</v>
      </c>
      <c r="QX18" s="476" t="s">
        <v>721</v>
      </c>
      <c r="QY18" s="476">
        <v>2.5999999999999999E-2</v>
      </c>
      <c r="QZ18" s="476" t="s">
        <v>721</v>
      </c>
      <c r="RA18" s="476" t="s">
        <v>721</v>
      </c>
      <c r="RB18" s="476" t="s">
        <v>721</v>
      </c>
      <c r="RC18" s="476" t="s">
        <v>721</v>
      </c>
      <c r="RD18" s="476">
        <v>5.1999999999999998E-2</v>
      </c>
      <c r="RE18" s="476">
        <v>0.34200000000000003</v>
      </c>
      <c r="RF18" s="476">
        <v>0.40699999999999997</v>
      </c>
      <c r="RG18" s="476">
        <v>0.123</v>
      </c>
      <c r="RH18" s="476" t="s">
        <v>721</v>
      </c>
      <c r="RI18" s="476" t="s">
        <v>721</v>
      </c>
      <c r="RJ18" s="476" t="s">
        <v>721</v>
      </c>
      <c r="RK18" s="476">
        <v>4.5999999999999999E-2</v>
      </c>
      <c r="RL18" s="476" t="s">
        <v>721</v>
      </c>
      <c r="RM18" s="476" t="s">
        <v>721</v>
      </c>
      <c r="RN18" s="476" t="s">
        <v>721</v>
      </c>
      <c r="RO18" s="476" t="s">
        <v>721</v>
      </c>
      <c r="RP18" s="476" t="s">
        <v>721</v>
      </c>
      <c r="RQ18" s="476" t="s">
        <v>721</v>
      </c>
      <c r="RR18" s="476" t="s">
        <v>721</v>
      </c>
      <c r="RS18" s="476" t="s">
        <v>721</v>
      </c>
      <c r="RT18" s="476" t="s">
        <v>721</v>
      </c>
      <c r="RU18" s="476" t="s">
        <v>721</v>
      </c>
      <c r="RV18" s="476" t="s">
        <v>721</v>
      </c>
      <c r="RW18" s="476" t="s">
        <v>721</v>
      </c>
      <c r="RX18" s="476">
        <v>0.26900000000000002</v>
      </c>
      <c r="RY18" s="476">
        <v>0.45</v>
      </c>
      <c r="RZ18" s="476">
        <v>0.153</v>
      </c>
      <c r="SA18" s="476">
        <v>0.01</v>
      </c>
      <c r="SB18" s="476">
        <v>5.0000000000000001E-3</v>
      </c>
      <c r="SC18" s="476">
        <v>2.1000000000000001E-2</v>
      </c>
      <c r="SD18" s="476">
        <v>1.2999999999999999E-2</v>
      </c>
      <c r="SE18" s="476" t="s">
        <v>721</v>
      </c>
      <c r="SF18" s="476">
        <v>1E-3</v>
      </c>
      <c r="SG18" s="476">
        <v>2E-3</v>
      </c>
      <c r="SH18" s="476">
        <v>0</v>
      </c>
      <c r="SI18" s="476">
        <v>2E-3</v>
      </c>
      <c r="SJ18" s="476">
        <v>0</v>
      </c>
      <c r="SK18" s="476">
        <v>3.5999999999999997E-2</v>
      </c>
      <c r="SL18" s="476">
        <v>0</v>
      </c>
      <c r="SM18" s="476">
        <v>0</v>
      </c>
      <c r="SN18" s="476">
        <v>1E-3</v>
      </c>
      <c r="SO18" s="476">
        <v>1E-3</v>
      </c>
      <c r="SP18" s="476">
        <v>3.5000000000000003E-2</v>
      </c>
      <c r="SQ18" s="476">
        <v>0.28999999999999998</v>
      </c>
      <c r="SR18" s="476">
        <v>0.503</v>
      </c>
      <c r="SS18" s="476">
        <v>7.9000000000000001E-2</v>
      </c>
      <c r="ST18" s="476">
        <v>8.9999999999999993E-3</v>
      </c>
      <c r="SU18" s="476" t="s">
        <v>721</v>
      </c>
      <c r="SV18" s="476">
        <v>2.1999999999999999E-2</v>
      </c>
      <c r="SW18" s="476">
        <v>1.7999999999999999E-2</v>
      </c>
      <c r="SX18" s="476" t="s">
        <v>721</v>
      </c>
      <c r="SY18" s="476" t="s">
        <v>721</v>
      </c>
      <c r="SZ18" s="476" t="s">
        <v>721</v>
      </c>
      <c r="TA18" s="476" t="s">
        <v>721</v>
      </c>
      <c r="TB18" s="476" t="s">
        <v>721</v>
      </c>
      <c r="TC18" s="476" t="s">
        <v>721</v>
      </c>
      <c r="TD18" s="476">
        <v>1.6E-2</v>
      </c>
      <c r="TE18" s="476" t="s">
        <v>721</v>
      </c>
      <c r="TF18" s="476" t="s">
        <v>721</v>
      </c>
      <c r="TG18" s="476" t="s">
        <v>721</v>
      </c>
      <c r="TH18" s="476" t="s">
        <v>721</v>
      </c>
      <c r="TI18" s="476">
        <v>5.3999999999999999E-2</v>
      </c>
      <c r="TJ18" s="476">
        <v>0.193</v>
      </c>
      <c r="TK18" s="476">
        <v>0.56100000000000005</v>
      </c>
      <c r="TL18" s="476">
        <v>9.9000000000000005E-2</v>
      </c>
      <c r="TM18" s="476">
        <v>1.4999999999999999E-2</v>
      </c>
      <c r="TN18" s="476" t="s">
        <v>721</v>
      </c>
      <c r="TO18" s="476">
        <v>2.5999999999999999E-2</v>
      </c>
      <c r="TP18" s="476" t="s">
        <v>721</v>
      </c>
      <c r="TQ18" s="476" t="s">
        <v>721</v>
      </c>
      <c r="TR18" s="476" t="s">
        <v>721</v>
      </c>
      <c r="TS18" s="476" t="s">
        <v>721</v>
      </c>
      <c r="TT18" s="476" t="s">
        <v>721</v>
      </c>
      <c r="TU18" s="476" t="s">
        <v>721</v>
      </c>
      <c r="TV18" s="476" t="s">
        <v>721</v>
      </c>
      <c r="TW18" s="476">
        <v>5.2999999999999999E-2</v>
      </c>
      <c r="TX18" s="476" t="s">
        <v>721</v>
      </c>
      <c r="TY18" s="476" t="s">
        <v>721</v>
      </c>
      <c r="TZ18" s="476" t="s">
        <v>721</v>
      </c>
      <c r="UA18" s="476" t="s">
        <v>721</v>
      </c>
      <c r="UB18" s="476">
        <v>3.6999999999999998E-2</v>
      </c>
      <c r="UC18" s="476">
        <v>0.28000000000000003</v>
      </c>
      <c r="UD18" s="476">
        <v>0.437</v>
      </c>
      <c r="UE18" s="476">
        <v>0.152</v>
      </c>
      <c r="UF18" s="476">
        <v>8.9999999999999993E-3</v>
      </c>
      <c r="UG18" s="476">
        <v>5.0000000000000001E-3</v>
      </c>
      <c r="UH18" s="476">
        <v>2.3E-2</v>
      </c>
      <c r="UI18" s="476">
        <v>1.7999999999999999E-2</v>
      </c>
      <c r="UJ18" s="476" t="s">
        <v>721</v>
      </c>
      <c r="UK18" s="476" t="s">
        <v>721</v>
      </c>
      <c r="UL18" s="476">
        <v>1E-3</v>
      </c>
      <c r="UM18" s="476" t="s">
        <v>721</v>
      </c>
      <c r="UN18" s="476">
        <v>2E-3</v>
      </c>
      <c r="UO18" s="476" t="s">
        <v>721</v>
      </c>
      <c r="UP18" s="476">
        <v>3.2000000000000001E-2</v>
      </c>
      <c r="UQ18" s="476" t="s">
        <v>721</v>
      </c>
      <c r="UR18" s="476" t="s">
        <v>721</v>
      </c>
      <c r="US18" s="476" t="s">
        <v>721</v>
      </c>
      <c r="UT18" s="476" t="s">
        <v>721</v>
      </c>
      <c r="UU18" s="476">
        <v>3.6999999999999998E-2</v>
      </c>
      <c r="UV18" s="476">
        <v>0.24</v>
      </c>
      <c r="UW18" s="476">
        <v>0.47</v>
      </c>
      <c r="UX18" s="476">
        <v>0.157</v>
      </c>
      <c r="UY18" s="476">
        <v>1.2E-2</v>
      </c>
      <c r="UZ18" s="476">
        <v>4.0000000000000001E-3</v>
      </c>
      <c r="VA18" s="476">
        <v>0.02</v>
      </c>
      <c r="VB18" s="476">
        <v>8.9999999999999993E-3</v>
      </c>
      <c r="VC18" s="476" t="s">
        <v>721</v>
      </c>
      <c r="VD18" s="476" t="s">
        <v>721</v>
      </c>
      <c r="VE18" s="476">
        <v>3.0000000000000001E-3</v>
      </c>
      <c r="VF18" s="476" t="s">
        <v>721</v>
      </c>
      <c r="VG18" s="476" t="s">
        <v>721</v>
      </c>
      <c r="VH18" s="476" t="s">
        <v>721</v>
      </c>
      <c r="VI18" s="476">
        <v>4.8000000000000001E-2</v>
      </c>
      <c r="VJ18" s="476" t="s">
        <v>721</v>
      </c>
      <c r="VK18" s="476" t="s">
        <v>721</v>
      </c>
      <c r="VL18" s="476" t="s">
        <v>721</v>
      </c>
      <c r="VM18" s="476" t="s">
        <v>721</v>
      </c>
      <c r="VN18" s="476">
        <v>3.2000000000000001E-2</v>
      </c>
      <c r="VO18" s="28"/>
      <c r="VP18" s="28"/>
      <c r="VQ18" s="28"/>
      <c r="VR18" s="28"/>
      <c r="VS18" s="28"/>
      <c r="VT18" s="28"/>
      <c r="VU18" s="28"/>
      <c r="VV18" s="28"/>
      <c r="VW18" s="28"/>
      <c r="VX18" s="28"/>
      <c r="VY18" s="28"/>
      <c r="VZ18" s="28"/>
      <c r="WA18" s="28"/>
      <c r="WB18" s="28"/>
      <c r="WC18" s="28"/>
      <c r="WD18" s="28"/>
      <c r="WE18" s="28"/>
      <c r="WF18" s="28"/>
      <c r="WG18" s="28"/>
      <c r="WH18" s="28"/>
      <c r="WI18" s="28"/>
      <c r="WJ18" s="28"/>
      <c r="WK18" s="28"/>
      <c r="WL18" s="28"/>
      <c r="WM18" s="28"/>
      <c r="WN18" s="28"/>
      <c r="WO18" s="28"/>
      <c r="WP18" s="28"/>
      <c r="WQ18" s="28"/>
      <c r="WR18" s="28"/>
      <c r="WS18" s="28"/>
      <c r="WT18" s="28"/>
      <c r="WU18" s="28"/>
      <c r="WV18" s="28"/>
      <c r="WW18" s="28"/>
    </row>
    <row r="19" spans="1:621" s="151" customFormat="1" ht="15.75" customHeight="1" x14ac:dyDescent="0.35">
      <c r="A19" s="477" t="s">
        <v>29</v>
      </c>
      <c r="B19" s="492" t="s">
        <v>17</v>
      </c>
      <c r="C19" s="493">
        <v>16.100000000000001</v>
      </c>
      <c r="D19" s="494">
        <v>3290</v>
      </c>
      <c r="E19" s="473">
        <v>371498.4</v>
      </c>
      <c r="F19" s="473">
        <v>112.9</v>
      </c>
      <c r="G19" s="474">
        <v>3115</v>
      </c>
      <c r="H19" s="474">
        <v>2864</v>
      </c>
      <c r="I19" s="474">
        <v>1956</v>
      </c>
      <c r="J19" s="474">
        <v>1585</v>
      </c>
      <c r="K19" s="474">
        <v>1079</v>
      </c>
      <c r="L19" s="473">
        <v>187213.6</v>
      </c>
      <c r="M19" s="474">
        <v>2182</v>
      </c>
      <c r="N19" s="473">
        <v>184284.79999999999</v>
      </c>
      <c r="O19" s="494">
        <v>287</v>
      </c>
      <c r="P19" s="495">
        <v>49537.2</v>
      </c>
      <c r="Q19" s="494">
        <v>613</v>
      </c>
      <c r="R19" s="495">
        <v>23896.6</v>
      </c>
      <c r="S19" s="480">
        <v>1013</v>
      </c>
      <c r="T19" s="481">
        <v>102267.6</v>
      </c>
      <c r="U19" s="480">
        <v>38</v>
      </c>
      <c r="V19" s="481">
        <v>5526.5</v>
      </c>
      <c r="W19" s="480">
        <v>2239</v>
      </c>
      <c r="X19" s="481">
        <v>263704.3</v>
      </c>
      <c r="Y19" s="494">
        <v>2918</v>
      </c>
      <c r="Z19" s="494">
        <v>1713</v>
      </c>
      <c r="AA19" s="494">
        <v>2130</v>
      </c>
      <c r="AB19" s="494">
        <v>1477</v>
      </c>
      <c r="AC19" s="494">
        <v>186</v>
      </c>
      <c r="AD19" s="494">
        <v>604</v>
      </c>
      <c r="AE19" s="494">
        <v>1557</v>
      </c>
      <c r="AF19" s="495">
        <v>108868.4</v>
      </c>
      <c r="AG19" s="494">
        <v>1488</v>
      </c>
      <c r="AH19" s="495">
        <v>245936.4</v>
      </c>
      <c r="AI19" s="494">
        <v>114</v>
      </c>
      <c r="AJ19" s="495">
        <v>5297.9</v>
      </c>
      <c r="AK19" s="494">
        <v>102</v>
      </c>
      <c r="AL19" s="495">
        <v>11395.7</v>
      </c>
      <c r="AM19" s="496">
        <v>1845</v>
      </c>
      <c r="AN19" s="496">
        <v>1445</v>
      </c>
      <c r="AO19" s="496">
        <v>811</v>
      </c>
      <c r="AP19" s="496">
        <v>1908</v>
      </c>
      <c r="AQ19" s="496">
        <v>322</v>
      </c>
      <c r="AR19" s="496">
        <v>31</v>
      </c>
      <c r="AS19" s="496">
        <v>27</v>
      </c>
      <c r="AT19" s="496">
        <v>81</v>
      </c>
      <c r="AU19" s="496">
        <v>16</v>
      </c>
      <c r="AV19" s="496" t="s">
        <v>721</v>
      </c>
      <c r="AW19" s="496" t="s">
        <v>721</v>
      </c>
      <c r="AX19" s="496" t="s">
        <v>721</v>
      </c>
      <c r="AY19" s="496" t="s">
        <v>721</v>
      </c>
      <c r="AZ19" s="496" t="s">
        <v>721</v>
      </c>
      <c r="BA19" s="496" t="s">
        <v>721</v>
      </c>
      <c r="BB19" s="496">
        <v>17</v>
      </c>
      <c r="BC19" s="496" t="s">
        <v>721</v>
      </c>
      <c r="BD19" s="496" t="s">
        <v>721</v>
      </c>
      <c r="BE19" s="496" t="s">
        <v>721</v>
      </c>
      <c r="BF19" s="496" t="s">
        <v>721</v>
      </c>
      <c r="BG19" s="496">
        <v>55</v>
      </c>
      <c r="BH19" s="496" t="s">
        <v>721</v>
      </c>
      <c r="BI19" s="496">
        <v>871</v>
      </c>
      <c r="BJ19" s="496" t="s">
        <v>721</v>
      </c>
      <c r="BK19" s="496" t="s">
        <v>721</v>
      </c>
      <c r="BL19" s="496" t="s">
        <v>721</v>
      </c>
      <c r="BM19" s="496">
        <v>32</v>
      </c>
      <c r="BN19" s="496" t="s">
        <v>721</v>
      </c>
      <c r="BO19" s="496">
        <v>2309</v>
      </c>
      <c r="BP19" s="496" t="s">
        <v>721</v>
      </c>
      <c r="BQ19" s="496" t="s">
        <v>721</v>
      </c>
      <c r="BR19" s="496" t="s">
        <v>721</v>
      </c>
      <c r="BS19" s="496" t="s">
        <v>721</v>
      </c>
      <c r="BT19" s="496" t="s">
        <v>721</v>
      </c>
      <c r="BU19" s="496" t="s">
        <v>721</v>
      </c>
      <c r="BV19" s="496" t="s">
        <v>721</v>
      </c>
      <c r="BW19" s="496" t="s">
        <v>721</v>
      </c>
      <c r="BX19" s="496" t="s">
        <v>721</v>
      </c>
      <c r="BY19" s="496" t="s">
        <v>721</v>
      </c>
      <c r="BZ19" s="496" t="s">
        <v>721</v>
      </c>
      <c r="CA19" s="496" t="s">
        <v>721</v>
      </c>
      <c r="CB19" s="496" t="s">
        <v>721</v>
      </c>
      <c r="CC19" s="496" t="s">
        <v>721</v>
      </c>
      <c r="CD19" s="496" t="s">
        <v>721</v>
      </c>
      <c r="CE19" s="496">
        <v>25</v>
      </c>
      <c r="CF19" s="496" t="s">
        <v>721</v>
      </c>
      <c r="CG19" s="496" t="s">
        <v>721</v>
      </c>
      <c r="CH19" s="496" t="s">
        <v>721</v>
      </c>
      <c r="CI19" s="496" t="s">
        <v>721</v>
      </c>
      <c r="CJ19" s="496" t="s">
        <v>721</v>
      </c>
      <c r="CK19" s="496" t="s">
        <v>721</v>
      </c>
      <c r="CL19" s="496" t="s">
        <v>721</v>
      </c>
      <c r="CM19" s="496">
        <v>21</v>
      </c>
      <c r="CN19" s="496" t="s">
        <v>721</v>
      </c>
      <c r="CO19" s="496" t="s">
        <v>721</v>
      </c>
      <c r="CP19" s="496">
        <v>452</v>
      </c>
      <c r="CQ19" s="496" t="s">
        <v>721</v>
      </c>
      <c r="CR19" s="496" t="s">
        <v>721</v>
      </c>
      <c r="CS19" s="496" t="s">
        <v>721</v>
      </c>
      <c r="CT19" s="496" t="s">
        <v>721</v>
      </c>
      <c r="CU19" s="496" t="s">
        <v>721</v>
      </c>
      <c r="CV19" s="496">
        <v>2399</v>
      </c>
      <c r="CW19" s="496">
        <v>46</v>
      </c>
      <c r="CX19" s="496" t="s">
        <v>721</v>
      </c>
      <c r="CY19" s="496" t="s">
        <v>721</v>
      </c>
      <c r="CZ19" s="496" t="s">
        <v>721</v>
      </c>
      <c r="DA19" s="496" t="s">
        <v>721</v>
      </c>
      <c r="DB19" s="496" t="s">
        <v>721</v>
      </c>
      <c r="DC19" s="496" t="s">
        <v>721</v>
      </c>
      <c r="DD19" s="496" t="s">
        <v>721</v>
      </c>
      <c r="DE19" s="496" t="s">
        <v>721</v>
      </c>
      <c r="DF19" s="496" t="s">
        <v>721</v>
      </c>
      <c r="DG19" s="496" t="s">
        <v>721</v>
      </c>
      <c r="DH19" s="496" t="s">
        <v>721</v>
      </c>
      <c r="DI19" s="496" t="s">
        <v>721</v>
      </c>
      <c r="DJ19" s="496" t="s">
        <v>721</v>
      </c>
      <c r="DK19" s="496" t="s">
        <v>721</v>
      </c>
      <c r="DL19" s="496" t="s">
        <v>721</v>
      </c>
      <c r="DM19" s="496" t="s">
        <v>721</v>
      </c>
      <c r="DN19" s="496" t="s">
        <v>721</v>
      </c>
      <c r="DO19" s="496" t="s">
        <v>721</v>
      </c>
      <c r="DP19" s="496" t="s">
        <v>721</v>
      </c>
      <c r="DQ19" s="496" t="s">
        <v>721</v>
      </c>
      <c r="DR19" s="496" t="s">
        <v>721</v>
      </c>
      <c r="DS19" s="483" t="s">
        <v>721</v>
      </c>
      <c r="DT19" s="483" t="s">
        <v>721</v>
      </c>
      <c r="DU19" s="483" t="s">
        <v>721</v>
      </c>
      <c r="DV19" s="496">
        <v>357</v>
      </c>
      <c r="DW19" s="497">
        <v>53160.5</v>
      </c>
      <c r="DX19" s="496">
        <v>533</v>
      </c>
      <c r="DY19" s="497">
        <v>68721.600000000006</v>
      </c>
      <c r="DZ19" s="496">
        <v>903</v>
      </c>
      <c r="EA19" s="497">
        <v>96770.7</v>
      </c>
      <c r="EB19" s="496">
        <v>680</v>
      </c>
      <c r="EC19" s="497">
        <v>65100.3</v>
      </c>
      <c r="ED19" s="496">
        <v>508</v>
      </c>
      <c r="EE19" s="497">
        <v>51142</v>
      </c>
      <c r="EF19" s="496">
        <v>309</v>
      </c>
      <c r="EG19" s="497">
        <v>36603.300000000003</v>
      </c>
      <c r="EH19" s="485">
        <v>2562</v>
      </c>
      <c r="EI19" s="486">
        <v>9176.4</v>
      </c>
      <c r="EJ19" s="485">
        <v>2602</v>
      </c>
      <c r="EK19" s="486">
        <v>62723.4</v>
      </c>
      <c r="EL19" s="485">
        <v>2542</v>
      </c>
      <c r="EM19" s="486">
        <v>28809.4</v>
      </c>
      <c r="EN19" s="485">
        <v>2686</v>
      </c>
      <c r="EO19" s="486">
        <v>14524.8</v>
      </c>
      <c r="EP19" s="485">
        <v>2569</v>
      </c>
      <c r="EQ19" s="486">
        <v>8878.9</v>
      </c>
      <c r="ER19" s="485">
        <v>2552</v>
      </c>
      <c r="ES19" s="486">
        <v>5324.7</v>
      </c>
      <c r="ET19" s="485">
        <v>0</v>
      </c>
      <c r="EU19" s="485">
        <v>2038</v>
      </c>
      <c r="EV19" s="486">
        <v>30415.9</v>
      </c>
      <c r="EW19" s="485">
        <v>544</v>
      </c>
      <c r="EX19" s="486">
        <v>3524.8</v>
      </c>
      <c r="EY19" s="485">
        <v>660</v>
      </c>
      <c r="EZ19" s="486">
        <v>9576.9</v>
      </c>
      <c r="FA19" s="485">
        <v>625</v>
      </c>
      <c r="FB19" s="486">
        <v>5347.1</v>
      </c>
      <c r="FC19" s="485">
        <v>2632</v>
      </c>
      <c r="FD19" s="486">
        <v>31620</v>
      </c>
      <c r="FE19" s="485">
        <v>2743</v>
      </c>
      <c r="FF19" s="486">
        <v>22664.6</v>
      </c>
      <c r="FG19" s="485">
        <v>1633</v>
      </c>
      <c r="FH19" s="486">
        <v>14031.4</v>
      </c>
      <c r="FI19" s="485">
        <v>2175</v>
      </c>
      <c r="FJ19" s="486">
        <v>13504.3</v>
      </c>
      <c r="FK19" s="485">
        <v>2248</v>
      </c>
      <c r="FL19" s="486">
        <v>6194.1</v>
      </c>
      <c r="FM19" s="485">
        <v>110</v>
      </c>
      <c r="FN19" s="486">
        <v>254.1</v>
      </c>
      <c r="FO19" s="485">
        <v>2668</v>
      </c>
      <c r="FP19" s="486">
        <v>20577.5</v>
      </c>
      <c r="FQ19" s="485">
        <v>2548</v>
      </c>
      <c r="FR19" s="486">
        <v>10965.7</v>
      </c>
      <c r="FS19" s="485">
        <v>31</v>
      </c>
      <c r="FT19" s="486">
        <v>179.3</v>
      </c>
      <c r="FU19" s="485">
        <v>0</v>
      </c>
      <c r="FV19" s="486">
        <v>0</v>
      </c>
      <c r="FW19" s="485">
        <v>0</v>
      </c>
      <c r="FX19" s="486">
        <v>0</v>
      </c>
      <c r="FY19" s="485">
        <v>0</v>
      </c>
      <c r="FZ19" s="486">
        <v>0</v>
      </c>
      <c r="GA19" s="485">
        <v>0</v>
      </c>
      <c r="GB19" s="485">
        <v>0</v>
      </c>
      <c r="GC19" s="487">
        <v>0</v>
      </c>
      <c r="GD19" s="488">
        <v>28</v>
      </c>
      <c r="GE19" s="488">
        <v>368</v>
      </c>
      <c r="GF19" s="488">
        <v>2171</v>
      </c>
      <c r="GG19" s="488">
        <v>3</v>
      </c>
      <c r="GH19" s="488">
        <v>0</v>
      </c>
      <c r="GI19" s="488">
        <v>0</v>
      </c>
      <c r="GJ19" s="488">
        <v>0</v>
      </c>
      <c r="GK19" s="488">
        <v>1225</v>
      </c>
      <c r="GL19" s="488">
        <v>1339</v>
      </c>
      <c r="GM19" s="488">
        <v>2567</v>
      </c>
      <c r="GN19" s="488">
        <v>589</v>
      </c>
      <c r="GO19" s="488">
        <v>125</v>
      </c>
      <c r="GP19" s="488">
        <v>5</v>
      </c>
      <c r="GQ19" s="488">
        <v>38</v>
      </c>
      <c r="GR19" s="488">
        <v>5</v>
      </c>
      <c r="GS19" s="488">
        <v>48</v>
      </c>
      <c r="GT19" s="489">
        <v>2220</v>
      </c>
      <c r="GU19" s="488">
        <v>3</v>
      </c>
      <c r="GV19" s="490">
        <v>3</v>
      </c>
      <c r="GW19" s="490">
        <v>3</v>
      </c>
      <c r="GX19" s="490">
        <v>9</v>
      </c>
      <c r="GY19" s="491">
        <v>5</v>
      </c>
      <c r="GZ19" s="491">
        <v>13</v>
      </c>
      <c r="HA19" s="491">
        <v>18</v>
      </c>
      <c r="HB19" s="475">
        <v>0</v>
      </c>
      <c r="HC19" s="475">
        <v>2</v>
      </c>
      <c r="HD19" s="475">
        <v>0</v>
      </c>
      <c r="HE19" s="475">
        <v>0</v>
      </c>
      <c r="HF19" s="475">
        <v>0</v>
      </c>
      <c r="HG19" s="475">
        <v>0</v>
      </c>
      <c r="HH19" s="475">
        <v>2</v>
      </c>
      <c r="HI19" s="475">
        <v>0</v>
      </c>
      <c r="HJ19" s="475">
        <v>0</v>
      </c>
      <c r="HK19" s="475">
        <v>0</v>
      </c>
      <c r="HL19" s="475">
        <v>0</v>
      </c>
      <c r="HM19" s="475">
        <v>0</v>
      </c>
      <c r="HN19" s="475">
        <v>0</v>
      </c>
      <c r="HO19" s="475">
        <v>2</v>
      </c>
      <c r="HP19" s="475">
        <v>0</v>
      </c>
      <c r="HQ19" s="475">
        <v>1</v>
      </c>
      <c r="HR19" s="475">
        <v>8</v>
      </c>
      <c r="HS19" s="475">
        <v>0</v>
      </c>
      <c r="HT19" s="475">
        <v>0</v>
      </c>
      <c r="HU19" s="475">
        <v>0</v>
      </c>
      <c r="HV19" s="475">
        <v>0</v>
      </c>
      <c r="HW19" s="475">
        <v>0</v>
      </c>
      <c r="HX19" s="475">
        <v>0</v>
      </c>
      <c r="HY19" s="475">
        <v>0</v>
      </c>
      <c r="HZ19" s="475">
        <v>35</v>
      </c>
      <c r="IA19" s="475">
        <v>67</v>
      </c>
      <c r="IB19" s="475">
        <v>14</v>
      </c>
      <c r="IC19" s="475" t="s">
        <v>721</v>
      </c>
      <c r="ID19" s="475" t="s">
        <v>721</v>
      </c>
      <c r="IE19" s="475" t="s">
        <v>721</v>
      </c>
      <c r="IF19" s="475" t="s">
        <v>721</v>
      </c>
      <c r="IG19" s="475" t="s">
        <v>721</v>
      </c>
      <c r="IH19" s="475" t="s">
        <v>721</v>
      </c>
      <c r="II19" s="475" t="s">
        <v>721</v>
      </c>
      <c r="IJ19" s="475" t="s">
        <v>721</v>
      </c>
      <c r="IK19" s="475" t="s">
        <v>721</v>
      </c>
      <c r="IL19" s="475" t="s">
        <v>721</v>
      </c>
      <c r="IM19" s="475" t="s">
        <v>721</v>
      </c>
      <c r="IN19" s="475" t="s">
        <v>721</v>
      </c>
      <c r="IO19" s="475" t="s">
        <v>721</v>
      </c>
      <c r="IP19" s="475" t="s">
        <v>721</v>
      </c>
      <c r="IQ19" s="475" t="s">
        <v>721</v>
      </c>
      <c r="IR19" s="475" t="s">
        <v>721</v>
      </c>
      <c r="IS19" s="475" t="s">
        <v>721</v>
      </c>
      <c r="IT19" s="475">
        <v>28</v>
      </c>
      <c r="IU19" s="475" t="s">
        <v>721</v>
      </c>
      <c r="IV19" s="475" t="s">
        <v>721</v>
      </c>
      <c r="IW19" s="475" t="s">
        <v>721</v>
      </c>
      <c r="IX19" s="475" t="s">
        <v>721</v>
      </c>
      <c r="IY19" s="475" t="s">
        <v>721</v>
      </c>
      <c r="IZ19" s="475" t="s">
        <v>721</v>
      </c>
      <c r="JA19" s="475" t="s">
        <v>721</v>
      </c>
      <c r="JB19" s="475" t="s">
        <v>721</v>
      </c>
      <c r="JC19" s="475" t="s">
        <v>721</v>
      </c>
      <c r="JD19" s="475" t="s">
        <v>721</v>
      </c>
      <c r="JE19" s="475" t="s">
        <v>721</v>
      </c>
      <c r="JF19" s="475" t="s">
        <v>721</v>
      </c>
      <c r="JG19" s="475" t="s">
        <v>721</v>
      </c>
      <c r="JH19" s="475" t="s">
        <v>721</v>
      </c>
      <c r="JI19" s="475" t="s">
        <v>721</v>
      </c>
      <c r="JJ19" s="475" t="s">
        <v>721</v>
      </c>
      <c r="JK19" s="475" t="s">
        <v>721</v>
      </c>
      <c r="JL19" s="755">
        <v>95041.600000000006</v>
      </c>
      <c r="JM19" s="755">
        <v>207367.4</v>
      </c>
      <c r="JN19" s="755">
        <v>40147.5</v>
      </c>
      <c r="JO19" s="755">
        <v>3957.4</v>
      </c>
      <c r="JP19" s="755">
        <v>3187.6</v>
      </c>
      <c r="JQ19" s="755">
        <v>9257.9</v>
      </c>
      <c r="JR19" s="755">
        <v>1390.3</v>
      </c>
      <c r="JS19" s="755" t="s">
        <v>721</v>
      </c>
      <c r="JT19" s="755">
        <v>261.2</v>
      </c>
      <c r="JU19" s="755">
        <v>476.8</v>
      </c>
      <c r="JV19" s="755">
        <v>119.5</v>
      </c>
      <c r="JW19" s="755">
        <v>80.400000000000006</v>
      </c>
      <c r="JX19" s="755">
        <v>283</v>
      </c>
      <c r="JY19" s="755">
        <v>1967.7</v>
      </c>
      <c r="JZ19" s="755">
        <v>283</v>
      </c>
      <c r="KA19" s="755">
        <v>274.7</v>
      </c>
      <c r="KB19" s="755">
        <v>1114.5999999999999</v>
      </c>
      <c r="KC19" s="755">
        <v>191.5</v>
      </c>
      <c r="KD19" s="755">
        <v>6096.3</v>
      </c>
      <c r="KE19" s="475">
        <v>85</v>
      </c>
      <c r="KF19" s="475">
        <v>150</v>
      </c>
      <c r="KG19" s="475">
        <v>25</v>
      </c>
      <c r="KH19" s="475" t="s">
        <v>721</v>
      </c>
      <c r="KI19" s="475" t="s">
        <v>721</v>
      </c>
      <c r="KJ19" s="475" t="s">
        <v>721</v>
      </c>
      <c r="KK19" s="475" t="s">
        <v>721</v>
      </c>
      <c r="KL19" s="475" t="s">
        <v>721</v>
      </c>
      <c r="KM19" s="475" t="s">
        <v>721</v>
      </c>
      <c r="KN19" s="475" t="s">
        <v>721</v>
      </c>
      <c r="KO19" s="475" t="s">
        <v>721</v>
      </c>
      <c r="KP19" s="475" t="s">
        <v>721</v>
      </c>
      <c r="KQ19" s="475" t="s">
        <v>721</v>
      </c>
      <c r="KR19" s="475" t="s">
        <v>721</v>
      </c>
      <c r="KS19" s="475" t="s">
        <v>721</v>
      </c>
      <c r="KT19" s="475" t="s">
        <v>721</v>
      </c>
      <c r="KU19" s="475" t="s">
        <v>721</v>
      </c>
      <c r="KV19" s="475" t="s">
        <v>721</v>
      </c>
      <c r="KW19" s="475" t="s">
        <v>721</v>
      </c>
      <c r="KX19" s="475">
        <v>110</v>
      </c>
      <c r="KY19" s="475">
        <v>395</v>
      </c>
      <c r="KZ19" s="475">
        <v>57</v>
      </c>
      <c r="LA19" s="475" t="s">
        <v>721</v>
      </c>
      <c r="LB19" s="475" t="s">
        <v>721</v>
      </c>
      <c r="LC19" s="475">
        <v>23</v>
      </c>
      <c r="LD19" s="475" t="s">
        <v>721</v>
      </c>
      <c r="LE19" s="475" t="s">
        <v>721</v>
      </c>
      <c r="LF19" s="475" t="s">
        <v>721</v>
      </c>
      <c r="LG19" s="475" t="s">
        <v>721</v>
      </c>
      <c r="LH19" s="475" t="s">
        <v>721</v>
      </c>
      <c r="LI19" s="475" t="s">
        <v>721</v>
      </c>
      <c r="LJ19" s="475" t="s">
        <v>721</v>
      </c>
      <c r="LK19" s="475" t="s">
        <v>721</v>
      </c>
      <c r="LL19" s="475" t="s">
        <v>721</v>
      </c>
      <c r="LM19" s="475" t="s">
        <v>721</v>
      </c>
      <c r="LN19" s="475" t="s">
        <v>721</v>
      </c>
      <c r="LO19" s="475" t="s">
        <v>721</v>
      </c>
      <c r="LP19" s="475">
        <v>14</v>
      </c>
      <c r="LQ19" s="475">
        <v>539</v>
      </c>
      <c r="LR19" s="475">
        <v>1280</v>
      </c>
      <c r="LS19" s="475">
        <v>199</v>
      </c>
      <c r="LT19" s="475">
        <v>17</v>
      </c>
      <c r="LU19" s="475">
        <v>20</v>
      </c>
      <c r="LV19" s="475">
        <v>58</v>
      </c>
      <c r="LW19" s="475">
        <v>14</v>
      </c>
      <c r="LX19" s="475" t="s">
        <v>721</v>
      </c>
      <c r="LY19" s="475" t="s">
        <v>721</v>
      </c>
      <c r="LZ19" s="475" t="s">
        <v>721</v>
      </c>
      <c r="MA19" s="475" t="s">
        <v>721</v>
      </c>
      <c r="MB19" s="475" t="s">
        <v>721</v>
      </c>
      <c r="MC19" s="475" t="s">
        <v>721</v>
      </c>
      <c r="MD19" s="475" t="s">
        <v>721</v>
      </c>
      <c r="ME19" s="475" t="s">
        <v>721</v>
      </c>
      <c r="MF19" s="475" t="s">
        <v>721</v>
      </c>
      <c r="MG19" s="475" t="s">
        <v>721</v>
      </c>
      <c r="MH19" s="475" t="s">
        <v>721</v>
      </c>
      <c r="MI19" s="475">
        <v>39</v>
      </c>
      <c r="MJ19" s="475">
        <v>265</v>
      </c>
      <c r="MK19" s="475">
        <v>610</v>
      </c>
      <c r="ML19" s="475">
        <v>121</v>
      </c>
      <c r="MM19" s="475">
        <v>14</v>
      </c>
      <c r="MN19" s="475" t="s">
        <v>721</v>
      </c>
      <c r="MO19" s="475">
        <v>23</v>
      </c>
      <c r="MP19" s="475" t="s">
        <v>721</v>
      </c>
      <c r="MQ19" s="475" t="s">
        <v>721</v>
      </c>
      <c r="MR19" s="475" t="s">
        <v>721</v>
      </c>
      <c r="MS19" s="475" t="s">
        <v>721</v>
      </c>
      <c r="MT19" s="475" t="s">
        <v>721</v>
      </c>
      <c r="MU19" s="475" t="s">
        <v>721</v>
      </c>
      <c r="MV19" s="475" t="s">
        <v>721</v>
      </c>
      <c r="MW19" s="475" t="s">
        <v>721</v>
      </c>
      <c r="MX19" s="475" t="s">
        <v>721</v>
      </c>
      <c r="MY19" s="475" t="s">
        <v>721</v>
      </c>
      <c r="MZ19" s="475" t="s">
        <v>721</v>
      </c>
      <c r="NA19" s="475" t="s">
        <v>721</v>
      </c>
      <c r="NB19" s="475">
        <v>16</v>
      </c>
      <c r="NC19" s="476">
        <v>0.56100000000000005</v>
      </c>
      <c r="ND19" s="476">
        <v>0.439</v>
      </c>
      <c r="NE19" s="476">
        <v>0.247</v>
      </c>
      <c r="NF19" s="476">
        <v>0.57999999999999996</v>
      </c>
      <c r="NG19" s="476">
        <v>9.9000000000000005E-2</v>
      </c>
      <c r="NH19" s="476">
        <v>8.9999999999999993E-3</v>
      </c>
      <c r="NI19" s="476">
        <v>8.0000000000000002E-3</v>
      </c>
      <c r="NJ19" s="476">
        <v>2.5000000000000001E-2</v>
      </c>
      <c r="NK19" s="476">
        <v>5.0000000000000001E-3</v>
      </c>
      <c r="NL19" s="476" t="s">
        <v>721</v>
      </c>
      <c r="NM19" s="476" t="s">
        <v>721</v>
      </c>
      <c r="NN19" s="476" t="s">
        <v>721</v>
      </c>
      <c r="NO19" s="476" t="s">
        <v>721</v>
      </c>
      <c r="NP19" s="476" t="s">
        <v>721</v>
      </c>
      <c r="NQ19" s="476" t="s">
        <v>721</v>
      </c>
      <c r="NR19" s="476">
        <v>5.0000000000000001E-3</v>
      </c>
      <c r="NS19" s="476" t="s">
        <v>721</v>
      </c>
      <c r="NT19" s="476" t="s">
        <v>721</v>
      </c>
      <c r="NU19" s="476" t="s">
        <v>721</v>
      </c>
      <c r="NV19" s="476" t="s">
        <v>721</v>
      </c>
      <c r="NW19" s="476">
        <v>1.7000000000000001E-2</v>
      </c>
      <c r="NX19" s="476" t="s">
        <v>721</v>
      </c>
      <c r="NY19" s="476">
        <v>0.26500000000000001</v>
      </c>
      <c r="NZ19" s="476" t="s">
        <v>721</v>
      </c>
      <c r="OA19" s="476" t="s">
        <v>721</v>
      </c>
      <c r="OB19" s="476" t="s">
        <v>721</v>
      </c>
      <c r="OC19" s="476">
        <v>0.01</v>
      </c>
      <c r="OD19" s="476" t="s">
        <v>721</v>
      </c>
      <c r="OE19" s="476">
        <v>0.70199999999999996</v>
      </c>
      <c r="OF19" s="476" t="s">
        <v>721</v>
      </c>
      <c r="OG19" s="476" t="s">
        <v>721</v>
      </c>
      <c r="OH19" s="476" t="s">
        <v>721</v>
      </c>
      <c r="OI19" s="476" t="s">
        <v>721</v>
      </c>
      <c r="OJ19" s="476" t="s">
        <v>721</v>
      </c>
      <c r="OK19" s="476" t="s">
        <v>721</v>
      </c>
      <c r="OL19" s="476" t="s">
        <v>721</v>
      </c>
      <c r="OM19" s="476" t="s">
        <v>721</v>
      </c>
      <c r="ON19" s="476" t="s">
        <v>721</v>
      </c>
      <c r="OO19" s="476" t="s">
        <v>721</v>
      </c>
      <c r="OP19" s="476" t="s">
        <v>721</v>
      </c>
      <c r="OQ19" s="476" t="s">
        <v>721</v>
      </c>
      <c r="OR19" s="476" t="s">
        <v>721</v>
      </c>
      <c r="OS19" s="476" t="s">
        <v>721</v>
      </c>
      <c r="OT19" s="476" t="s">
        <v>721</v>
      </c>
      <c r="OU19" s="476">
        <v>8.0000000000000002E-3</v>
      </c>
      <c r="OV19" s="476" t="s">
        <v>721</v>
      </c>
      <c r="OW19" s="476" t="s">
        <v>721</v>
      </c>
      <c r="OX19" s="476" t="s">
        <v>721</v>
      </c>
      <c r="OY19" s="476" t="s">
        <v>721</v>
      </c>
      <c r="OZ19" s="476" t="s">
        <v>721</v>
      </c>
      <c r="PA19" s="476" t="s">
        <v>721</v>
      </c>
      <c r="PB19" s="476" t="s">
        <v>721</v>
      </c>
      <c r="PC19" s="476">
        <v>6.0000000000000001E-3</v>
      </c>
      <c r="PD19" s="476" t="s">
        <v>721</v>
      </c>
      <c r="PE19" s="476" t="s">
        <v>721</v>
      </c>
      <c r="PF19" s="476">
        <v>0.155</v>
      </c>
      <c r="PG19" s="476" t="s">
        <v>721</v>
      </c>
      <c r="PH19" s="476" t="s">
        <v>721</v>
      </c>
      <c r="PI19" s="476" t="s">
        <v>721</v>
      </c>
      <c r="PJ19" s="476" t="s">
        <v>721</v>
      </c>
      <c r="PK19" s="476" t="s">
        <v>721</v>
      </c>
      <c r="PL19" s="476">
        <v>0.82199999999999995</v>
      </c>
      <c r="PM19" s="476">
        <v>1.6E-2</v>
      </c>
      <c r="PN19" s="476" t="s">
        <v>721</v>
      </c>
      <c r="PO19" s="476" t="s">
        <v>721</v>
      </c>
      <c r="PP19" s="476" t="s">
        <v>721</v>
      </c>
      <c r="PQ19" s="476" t="s">
        <v>721</v>
      </c>
      <c r="PR19" s="476" t="s">
        <v>721</v>
      </c>
      <c r="PS19" s="476" t="s">
        <v>721</v>
      </c>
      <c r="PT19" s="476" t="s">
        <v>721</v>
      </c>
      <c r="PU19" s="476" t="s">
        <v>721</v>
      </c>
      <c r="PV19" s="476" t="s">
        <v>721</v>
      </c>
      <c r="PW19" s="476" t="s">
        <v>721</v>
      </c>
      <c r="PX19" s="476" t="s">
        <v>721</v>
      </c>
      <c r="PY19" s="476" t="s">
        <v>721</v>
      </c>
      <c r="PZ19" s="476" t="s">
        <v>721</v>
      </c>
      <c r="QA19" s="476" t="s">
        <v>721</v>
      </c>
      <c r="QB19" s="476" t="s">
        <v>721</v>
      </c>
      <c r="QC19" s="476" t="s">
        <v>721</v>
      </c>
      <c r="QD19" s="476" t="s">
        <v>721</v>
      </c>
      <c r="QE19" s="476" t="s">
        <v>721</v>
      </c>
      <c r="QF19" s="476" t="s">
        <v>721</v>
      </c>
      <c r="QG19" s="476" t="s">
        <v>721</v>
      </c>
      <c r="QH19" s="476" t="s">
        <v>721</v>
      </c>
      <c r="QI19" s="476" t="s">
        <v>721</v>
      </c>
      <c r="QJ19" s="476" t="s">
        <v>721</v>
      </c>
      <c r="QK19" s="476" t="s">
        <v>721</v>
      </c>
      <c r="QL19" s="476">
        <v>0.28000000000000003</v>
      </c>
      <c r="QM19" s="476">
        <v>0.53600000000000003</v>
      </c>
      <c r="QN19" s="476">
        <v>0.112</v>
      </c>
      <c r="QO19" s="476" t="s">
        <v>721</v>
      </c>
      <c r="QP19" s="476" t="s">
        <v>721</v>
      </c>
      <c r="QQ19" s="476" t="s">
        <v>721</v>
      </c>
      <c r="QR19" s="476" t="s">
        <v>721</v>
      </c>
      <c r="QS19" s="476" t="s">
        <v>721</v>
      </c>
      <c r="QT19" s="476" t="s">
        <v>721</v>
      </c>
      <c r="QU19" s="476" t="s">
        <v>721</v>
      </c>
      <c r="QV19" s="476" t="s">
        <v>721</v>
      </c>
      <c r="QW19" s="476" t="s">
        <v>721</v>
      </c>
      <c r="QX19" s="476" t="s">
        <v>721</v>
      </c>
      <c r="QY19" s="476" t="s">
        <v>721</v>
      </c>
      <c r="QZ19" s="476" t="s">
        <v>721</v>
      </c>
      <c r="RA19" s="476" t="s">
        <v>721</v>
      </c>
      <c r="RB19" s="476" t="s">
        <v>721</v>
      </c>
      <c r="RC19" s="476" t="s">
        <v>721</v>
      </c>
      <c r="RD19" s="476" t="s">
        <v>721</v>
      </c>
      <c r="RE19" s="476" t="s">
        <v>721</v>
      </c>
      <c r="RF19" s="476">
        <v>0.58299999999999996</v>
      </c>
      <c r="RG19" s="476" t="s">
        <v>721</v>
      </c>
      <c r="RH19" s="476" t="s">
        <v>721</v>
      </c>
      <c r="RI19" s="476" t="s">
        <v>721</v>
      </c>
      <c r="RJ19" s="476" t="s">
        <v>721</v>
      </c>
      <c r="RK19" s="476" t="s">
        <v>721</v>
      </c>
      <c r="RL19" s="476" t="s">
        <v>721</v>
      </c>
      <c r="RM19" s="476" t="s">
        <v>721</v>
      </c>
      <c r="RN19" s="476" t="s">
        <v>721</v>
      </c>
      <c r="RO19" s="476" t="s">
        <v>721</v>
      </c>
      <c r="RP19" s="476" t="s">
        <v>721</v>
      </c>
      <c r="RQ19" s="476" t="s">
        <v>721</v>
      </c>
      <c r="RR19" s="476" t="s">
        <v>721</v>
      </c>
      <c r="RS19" s="476" t="s">
        <v>721</v>
      </c>
      <c r="RT19" s="476" t="s">
        <v>721</v>
      </c>
      <c r="RU19" s="476" t="s">
        <v>721</v>
      </c>
      <c r="RV19" s="476" t="s">
        <v>721</v>
      </c>
      <c r="RW19" s="476" t="s">
        <v>721</v>
      </c>
      <c r="RX19" s="476">
        <v>0.25600000000000001</v>
      </c>
      <c r="RY19" s="476">
        <v>0.55800000000000005</v>
      </c>
      <c r="RZ19" s="476">
        <v>0.108</v>
      </c>
      <c r="SA19" s="476">
        <v>1.0999999999999999E-2</v>
      </c>
      <c r="SB19" s="476">
        <v>8.9999999999999993E-3</v>
      </c>
      <c r="SC19" s="476">
        <v>2.5000000000000001E-2</v>
      </c>
      <c r="SD19" s="476">
        <v>4.0000000000000001E-3</v>
      </c>
      <c r="SE19" s="476" t="s">
        <v>721</v>
      </c>
      <c r="SF19" s="476">
        <v>1E-3</v>
      </c>
      <c r="SG19" s="476">
        <v>1E-3</v>
      </c>
      <c r="SH19" s="476">
        <v>0</v>
      </c>
      <c r="SI19" s="476">
        <v>0</v>
      </c>
      <c r="SJ19" s="476">
        <v>1E-3</v>
      </c>
      <c r="SK19" s="476">
        <v>5.0000000000000001E-3</v>
      </c>
      <c r="SL19" s="476">
        <v>1E-3</v>
      </c>
      <c r="SM19" s="476">
        <v>1E-3</v>
      </c>
      <c r="SN19" s="476">
        <v>3.0000000000000001E-3</v>
      </c>
      <c r="SO19" s="476">
        <v>1E-3</v>
      </c>
      <c r="SP19" s="476">
        <v>1.6E-2</v>
      </c>
      <c r="SQ19" s="476">
        <v>0.29599999999999999</v>
      </c>
      <c r="SR19" s="476">
        <v>0.52300000000000002</v>
      </c>
      <c r="SS19" s="476">
        <v>8.6999999999999994E-2</v>
      </c>
      <c r="ST19" s="476" t="s">
        <v>721</v>
      </c>
      <c r="SU19" s="476" t="s">
        <v>721</v>
      </c>
      <c r="SV19" s="476" t="s">
        <v>721</v>
      </c>
      <c r="SW19" s="476" t="s">
        <v>721</v>
      </c>
      <c r="SX19" s="476" t="s">
        <v>721</v>
      </c>
      <c r="SY19" s="476" t="s">
        <v>721</v>
      </c>
      <c r="SZ19" s="476" t="s">
        <v>721</v>
      </c>
      <c r="TA19" s="476" t="s">
        <v>721</v>
      </c>
      <c r="TB19" s="476" t="s">
        <v>721</v>
      </c>
      <c r="TC19" s="476" t="s">
        <v>721</v>
      </c>
      <c r="TD19" s="476" t="s">
        <v>721</v>
      </c>
      <c r="TE19" s="476" t="s">
        <v>721</v>
      </c>
      <c r="TF19" s="476" t="s">
        <v>721</v>
      </c>
      <c r="TG19" s="476" t="s">
        <v>721</v>
      </c>
      <c r="TH19" s="476" t="s">
        <v>721</v>
      </c>
      <c r="TI19" s="476" t="s">
        <v>721</v>
      </c>
      <c r="TJ19" s="476">
        <v>0.17899999999999999</v>
      </c>
      <c r="TK19" s="476">
        <v>0.64400000000000002</v>
      </c>
      <c r="TL19" s="476">
        <v>9.2999999999999999E-2</v>
      </c>
      <c r="TM19" s="476" t="s">
        <v>721</v>
      </c>
      <c r="TN19" s="476" t="s">
        <v>721</v>
      </c>
      <c r="TO19" s="476">
        <v>3.7999999999999999E-2</v>
      </c>
      <c r="TP19" s="476" t="s">
        <v>721</v>
      </c>
      <c r="TQ19" s="476" t="s">
        <v>721</v>
      </c>
      <c r="TR19" s="476" t="s">
        <v>721</v>
      </c>
      <c r="TS19" s="476" t="s">
        <v>721</v>
      </c>
      <c r="TT19" s="476" t="s">
        <v>721</v>
      </c>
      <c r="TU19" s="476" t="s">
        <v>721</v>
      </c>
      <c r="TV19" s="476" t="s">
        <v>721</v>
      </c>
      <c r="TW19" s="476" t="s">
        <v>721</v>
      </c>
      <c r="TX19" s="476" t="s">
        <v>721</v>
      </c>
      <c r="TY19" s="476" t="s">
        <v>721</v>
      </c>
      <c r="TZ19" s="476" t="s">
        <v>721</v>
      </c>
      <c r="UA19" s="476" t="s">
        <v>721</v>
      </c>
      <c r="UB19" s="476">
        <v>2.3E-2</v>
      </c>
      <c r="UC19" s="476">
        <v>0.247</v>
      </c>
      <c r="UD19" s="476">
        <v>0.58699999999999997</v>
      </c>
      <c r="UE19" s="476">
        <v>9.0999999999999998E-2</v>
      </c>
      <c r="UF19" s="476">
        <v>8.0000000000000002E-3</v>
      </c>
      <c r="UG19" s="476">
        <v>8.9999999999999993E-3</v>
      </c>
      <c r="UH19" s="476">
        <v>2.7E-2</v>
      </c>
      <c r="UI19" s="476">
        <v>6.0000000000000001E-3</v>
      </c>
      <c r="UJ19" s="476" t="s">
        <v>721</v>
      </c>
      <c r="UK19" s="476" t="s">
        <v>721</v>
      </c>
      <c r="UL19" s="476" t="s">
        <v>721</v>
      </c>
      <c r="UM19" s="476" t="s">
        <v>721</v>
      </c>
      <c r="UN19" s="476" t="s">
        <v>721</v>
      </c>
      <c r="UO19" s="476" t="s">
        <v>721</v>
      </c>
      <c r="UP19" s="476" t="s">
        <v>721</v>
      </c>
      <c r="UQ19" s="476" t="s">
        <v>721</v>
      </c>
      <c r="UR19" s="476" t="s">
        <v>721</v>
      </c>
      <c r="US19" s="476" t="s">
        <v>721</v>
      </c>
      <c r="UT19" s="476" t="s">
        <v>721</v>
      </c>
      <c r="UU19" s="476">
        <v>1.7999999999999999E-2</v>
      </c>
      <c r="UV19" s="476">
        <v>0.246</v>
      </c>
      <c r="UW19" s="476">
        <v>0.56499999999999995</v>
      </c>
      <c r="UX19" s="476">
        <v>0.112</v>
      </c>
      <c r="UY19" s="476">
        <v>1.2999999999999999E-2</v>
      </c>
      <c r="UZ19" s="476" t="s">
        <v>721</v>
      </c>
      <c r="VA19" s="476">
        <v>2.1000000000000001E-2</v>
      </c>
      <c r="VB19" s="476" t="s">
        <v>721</v>
      </c>
      <c r="VC19" s="476" t="s">
        <v>721</v>
      </c>
      <c r="VD19" s="476" t="s">
        <v>721</v>
      </c>
      <c r="VE19" s="476" t="s">
        <v>721</v>
      </c>
      <c r="VF19" s="476" t="s">
        <v>721</v>
      </c>
      <c r="VG19" s="476" t="s">
        <v>721</v>
      </c>
      <c r="VH19" s="476" t="s">
        <v>721</v>
      </c>
      <c r="VI19" s="476" t="s">
        <v>721</v>
      </c>
      <c r="VJ19" s="476" t="s">
        <v>721</v>
      </c>
      <c r="VK19" s="476" t="s">
        <v>721</v>
      </c>
      <c r="VL19" s="476" t="s">
        <v>721</v>
      </c>
      <c r="VM19" s="476" t="s">
        <v>721</v>
      </c>
      <c r="VN19" s="476">
        <v>1.4999999999999999E-2</v>
      </c>
      <c r="VO19" s="28"/>
      <c r="VP19" s="28"/>
      <c r="VQ19" s="28"/>
      <c r="VR19" s="28"/>
      <c r="VS19" s="28"/>
      <c r="VT19" s="28"/>
      <c r="VU19" s="28"/>
      <c r="VV19" s="28"/>
      <c r="VW19" s="28"/>
      <c r="VX19" s="28"/>
      <c r="VY19" s="28"/>
      <c r="VZ19" s="28"/>
      <c r="WA19" s="28"/>
      <c r="WB19" s="28"/>
      <c r="WC19" s="28"/>
      <c r="WD19" s="28"/>
      <c r="WE19" s="28"/>
      <c r="WF19" s="28"/>
      <c r="WG19" s="28"/>
      <c r="WH19" s="28"/>
      <c r="WI19" s="28"/>
      <c r="WJ19" s="28"/>
      <c r="WK19" s="28"/>
      <c r="WL19" s="28"/>
      <c r="WM19" s="28"/>
      <c r="WN19" s="28"/>
      <c r="WO19" s="28"/>
      <c r="WP19" s="28"/>
      <c r="WQ19" s="28"/>
      <c r="WR19" s="28"/>
      <c r="WS19" s="28"/>
      <c r="WT19" s="28"/>
      <c r="WU19" s="28"/>
      <c r="WV19" s="28"/>
      <c r="WW19" s="28"/>
    </row>
    <row r="20" spans="1:621" s="151" customFormat="1" ht="15.75" customHeight="1" x14ac:dyDescent="0.35">
      <c r="A20" s="477" t="s">
        <v>30</v>
      </c>
      <c r="B20" s="492" t="s">
        <v>17</v>
      </c>
      <c r="C20" s="493">
        <v>16.149999999999999</v>
      </c>
      <c r="D20" s="494">
        <v>2447</v>
      </c>
      <c r="E20" s="473">
        <v>308713.8</v>
      </c>
      <c r="F20" s="473">
        <v>126.2</v>
      </c>
      <c r="G20" s="474">
        <v>2384</v>
      </c>
      <c r="H20" s="474">
        <v>2197</v>
      </c>
      <c r="I20" s="474">
        <v>2163</v>
      </c>
      <c r="J20" s="474">
        <v>1450</v>
      </c>
      <c r="K20" s="474">
        <v>852</v>
      </c>
      <c r="L20" s="473">
        <v>142289.29999999999</v>
      </c>
      <c r="M20" s="474">
        <v>1568</v>
      </c>
      <c r="N20" s="473">
        <v>166424.5</v>
      </c>
      <c r="O20" s="494">
        <v>322</v>
      </c>
      <c r="P20" s="495">
        <v>57394.9</v>
      </c>
      <c r="Q20" s="494">
        <v>106</v>
      </c>
      <c r="R20" s="495">
        <v>5759.2</v>
      </c>
      <c r="S20" s="494">
        <v>489</v>
      </c>
      <c r="T20" s="495">
        <v>54676.6</v>
      </c>
      <c r="U20" s="494">
        <v>23</v>
      </c>
      <c r="V20" s="495">
        <v>3707.3</v>
      </c>
      <c r="W20" s="494">
        <v>1935</v>
      </c>
      <c r="X20" s="495">
        <v>250329.9</v>
      </c>
      <c r="Y20" s="494">
        <v>2222</v>
      </c>
      <c r="Z20" s="494">
        <v>832</v>
      </c>
      <c r="AA20" s="494">
        <v>921</v>
      </c>
      <c r="AB20" s="494">
        <v>496</v>
      </c>
      <c r="AC20" s="494">
        <v>117</v>
      </c>
      <c r="AD20" s="494">
        <v>288</v>
      </c>
      <c r="AE20" s="494">
        <v>1049</v>
      </c>
      <c r="AF20" s="495">
        <v>86172.800000000003</v>
      </c>
      <c r="AG20" s="494">
        <v>1281</v>
      </c>
      <c r="AH20" s="495">
        <v>214491.7</v>
      </c>
      <c r="AI20" s="494">
        <v>45</v>
      </c>
      <c r="AJ20" s="495">
        <v>2572.6</v>
      </c>
      <c r="AK20" s="494">
        <v>45</v>
      </c>
      <c r="AL20" s="495">
        <v>5476.7</v>
      </c>
      <c r="AM20" s="496">
        <v>1366</v>
      </c>
      <c r="AN20" s="496">
        <v>1081</v>
      </c>
      <c r="AO20" s="496">
        <v>1899</v>
      </c>
      <c r="AP20" s="496">
        <v>205</v>
      </c>
      <c r="AQ20" s="496">
        <v>89</v>
      </c>
      <c r="AR20" s="496" t="s">
        <v>721</v>
      </c>
      <c r="AS20" s="496">
        <v>51</v>
      </c>
      <c r="AT20" s="496" t="s">
        <v>721</v>
      </c>
      <c r="AU20" s="496">
        <v>171</v>
      </c>
      <c r="AV20" s="496" t="s">
        <v>721</v>
      </c>
      <c r="AW20" s="496" t="s">
        <v>721</v>
      </c>
      <c r="AX20" s="496" t="s">
        <v>721</v>
      </c>
      <c r="AY20" s="496" t="s">
        <v>721</v>
      </c>
      <c r="AZ20" s="496" t="s">
        <v>721</v>
      </c>
      <c r="BA20" s="496" t="s">
        <v>721</v>
      </c>
      <c r="BB20" s="496" t="s">
        <v>721</v>
      </c>
      <c r="BC20" s="496" t="s">
        <v>721</v>
      </c>
      <c r="BD20" s="496" t="s">
        <v>721</v>
      </c>
      <c r="BE20" s="496" t="s">
        <v>721</v>
      </c>
      <c r="BF20" s="496" t="s">
        <v>721</v>
      </c>
      <c r="BG20" s="496">
        <v>17</v>
      </c>
      <c r="BH20" s="496" t="s">
        <v>721</v>
      </c>
      <c r="BI20" s="496">
        <v>128</v>
      </c>
      <c r="BJ20" s="496" t="s">
        <v>721</v>
      </c>
      <c r="BK20" s="496" t="s">
        <v>721</v>
      </c>
      <c r="BL20" s="496" t="s">
        <v>721</v>
      </c>
      <c r="BM20" s="496" t="s">
        <v>721</v>
      </c>
      <c r="BN20" s="496" t="s">
        <v>721</v>
      </c>
      <c r="BO20" s="496">
        <v>2311</v>
      </c>
      <c r="BP20" s="496" t="s">
        <v>721</v>
      </c>
      <c r="BQ20" s="496" t="s">
        <v>721</v>
      </c>
      <c r="BR20" s="496" t="s">
        <v>721</v>
      </c>
      <c r="BS20" s="496" t="s">
        <v>721</v>
      </c>
      <c r="BT20" s="496" t="s">
        <v>721</v>
      </c>
      <c r="BU20" s="496" t="s">
        <v>721</v>
      </c>
      <c r="BV20" s="496" t="s">
        <v>721</v>
      </c>
      <c r="BW20" s="496" t="s">
        <v>721</v>
      </c>
      <c r="BX20" s="496" t="s">
        <v>721</v>
      </c>
      <c r="BY20" s="496" t="s">
        <v>721</v>
      </c>
      <c r="BZ20" s="496" t="s">
        <v>721</v>
      </c>
      <c r="CA20" s="496" t="s">
        <v>721</v>
      </c>
      <c r="CB20" s="496" t="s">
        <v>721</v>
      </c>
      <c r="CC20" s="496" t="s">
        <v>721</v>
      </c>
      <c r="CD20" s="496" t="s">
        <v>721</v>
      </c>
      <c r="CE20" s="496" t="s">
        <v>721</v>
      </c>
      <c r="CF20" s="496" t="s">
        <v>721</v>
      </c>
      <c r="CG20" s="496" t="s">
        <v>721</v>
      </c>
      <c r="CH20" s="496" t="s">
        <v>721</v>
      </c>
      <c r="CI20" s="496" t="s">
        <v>721</v>
      </c>
      <c r="CJ20" s="496" t="s">
        <v>721</v>
      </c>
      <c r="CK20" s="496" t="s">
        <v>721</v>
      </c>
      <c r="CL20" s="496" t="s">
        <v>721</v>
      </c>
      <c r="CM20" s="496" t="s">
        <v>721</v>
      </c>
      <c r="CN20" s="496" t="s">
        <v>721</v>
      </c>
      <c r="CO20" s="496" t="s">
        <v>721</v>
      </c>
      <c r="CP20" s="496">
        <v>49</v>
      </c>
      <c r="CQ20" s="496" t="s">
        <v>721</v>
      </c>
      <c r="CR20" s="496" t="s">
        <v>721</v>
      </c>
      <c r="CS20" s="496" t="s">
        <v>721</v>
      </c>
      <c r="CT20" s="496" t="s">
        <v>721</v>
      </c>
      <c r="CU20" s="496" t="s">
        <v>721</v>
      </c>
      <c r="CV20" s="496">
        <v>2089</v>
      </c>
      <c r="CW20" s="496">
        <v>80</v>
      </c>
      <c r="CX20" s="496" t="s">
        <v>721</v>
      </c>
      <c r="CY20" s="496" t="s">
        <v>721</v>
      </c>
      <c r="CZ20" s="496" t="s">
        <v>721</v>
      </c>
      <c r="DA20" s="496" t="s">
        <v>721</v>
      </c>
      <c r="DB20" s="496" t="s">
        <v>721</v>
      </c>
      <c r="DC20" s="496" t="s">
        <v>721</v>
      </c>
      <c r="DD20" s="496" t="s">
        <v>721</v>
      </c>
      <c r="DE20" s="496" t="s">
        <v>721</v>
      </c>
      <c r="DF20" s="496" t="s">
        <v>721</v>
      </c>
      <c r="DG20" s="496" t="s">
        <v>721</v>
      </c>
      <c r="DH20" s="496" t="s">
        <v>721</v>
      </c>
      <c r="DI20" s="496" t="s">
        <v>721</v>
      </c>
      <c r="DJ20" s="496" t="s">
        <v>721</v>
      </c>
      <c r="DK20" s="496" t="s">
        <v>721</v>
      </c>
      <c r="DL20" s="496" t="s">
        <v>721</v>
      </c>
      <c r="DM20" s="496" t="s">
        <v>721</v>
      </c>
      <c r="DN20" s="496" t="s">
        <v>721</v>
      </c>
      <c r="DO20" s="496" t="s">
        <v>721</v>
      </c>
      <c r="DP20" s="496" t="s">
        <v>721</v>
      </c>
      <c r="DQ20" s="496" t="s">
        <v>721</v>
      </c>
      <c r="DR20" s="496" t="s">
        <v>721</v>
      </c>
      <c r="DS20" s="483" t="s">
        <v>721</v>
      </c>
      <c r="DT20" s="483" t="s">
        <v>721</v>
      </c>
      <c r="DU20" s="483" t="s">
        <v>721</v>
      </c>
      <c r="DV20" s="496">
        <v>188</v>
      </c>
      <c r="DW20" s="497">
        <v>36150.5</v>
      </c>
      <c r="DX20" s="496">
        <v>316</v>
      </c>
      <c r="DY20" s="497">
        <v>51079.5</v>
      </c>
      <c r="DZ20" s="496">
        <v>816</v>
      </c>
      <c r="EA20" s="497">
        <v>92573</v>
      </c>
      <c r="EB20" s="496">
        <v>661</v>
      </c>
      <c r="EC20" s="497">
        <v>74321.399999999994</v>
      </c>
      <c r="ED20" s="496">
        <v>332</v>
      </c>
      <c r="EE20" s="497">
        <v>37677.199999999997</v>
      </c>
      <c r="EF20" s="496">
        <v>134</v>
      </c>
      <c r="EG20" s="497">
        <v>16912.2</v>
      </c>
      <c r="EH20" s="485">
        <v>2091</v>
      </c>
      <c r="EI20" s="486">
        <v>8613.2000000000007</v>
      </c>
      <c r="EJ20" s="485">
        <v>2094</v>
      </c>
      <c r="EK20" s="486">
        <v>49299.4</v>
      </c>
      <c r="EL20" s="485">
        <v>2078</v>
      </c>
      <c r="EM20" s="486">
        <v>20681.5</v>
      </c>
      <c r="EN20" s="485">
        <v>2111</v>
      </c>
      <c r="EO20" s="486">
        <v>12839.4</v>
      </c>
      <c r="EP20" s="485">
        <v>2099</v>
      </c>
      <c r="EQ20" s="486">
        <v>9194</v>
      </c>
      <c r="ER20" s="485">
        <v>2086</v>
      </c>
      <c r="ES20" s="486">
        <v>6390.1</v>
      </c>
      <c r="ET20" s="485">
        <v>0</v>
      </c>
      <c r="EU20" s="485">
        <v>1562</v>
      </c>
      <c r="EV20" s="486">
        <v>25388.7</v>
      </c>
      <c r="EW20" s="485">
        <v>621</v>
      </c>
      <c r="EX20" s="486">
        <v>3888.2</v>
      </c>
      <c r="EY20" s="485">
        <v>510</v>
      </c>
      <c r="EZ20" s="486">
        <v>6230.1</v>
      </c>
      <c r="FA20" s="485">
        <v>359</v>
      </c>
      <c r="FB20" s="486">
        <v>3767.5</v>
      </c>
      <c r="FC20" s="485">
        <v>2020</v>
      </c>
      <c r="FD20" s="486">
        <v>25231.599999999999</v>
      </c>
      <c r="FE20" s="485">
        <v>1990</v>
      </c>
      <c r="FF20" s="486">
        <v>16160.4</v>
      </c>
      <c r="FG20" s="485">
        <v>1162</v>
      </c>
      <c r="FH20" s="486">
        <v>11637.5</v>
      </c>
      <c r="FI20" s="485">
        <v>1764</v>
      </c>
      <c r="FJ20" s="486">
        <v>11634.2</v>
      </c>
      <c r="FK20" s="485">
        <v>1820</v>
      </c>
      <c r="FL20" s="486">
        <v>7646</v>
      </c>
      <c r="FM20" s="485">
        <v>87</v>
      </c>
      <c r="FN20" s="486">
        <v>252.7</v>
      </c>
      <c r="FO20" s="485">
        <v>1976</v>
      </c>
      <c r="FP20" s="486">
        <v>18757.2</v>
      </c>
      <c r="FQ20" s="485">
        <v>1950</v>
      </c>
      <c r="FR20" s="486">
        <v>8218.7000000000007</v>
      </c>
      <c r="FS20" s="485">
        <v>17</v>
      </c>
      <c r="FT20" s="486">
        <v>40.200000000000003</v>
      </c>
      <c r="FU20" s="485">
        <v>1</v>
      </c>
      <c r="FV20" s="486">
        <v>20</v>
      </c>
      <c r="FW20" s="485">
        <v>0</v>
      </c>
      <c r="FX20" s="486">
        <v>0</v>
      </c>
      <c r="FY20" s="485">
        <v>0</v>
      </c>
      <c r="FZ20" s="486">
        <v>0</v>
      </c>
      <c r="GA20" s="485">
        <v>0</v>
      </c>
      <c r="GB20" s="485">
        <v>0</v>
      </c>
      <c r="GC20" s="487">
        <v>0</v>
      </c>
      <c r="GD20" s="488">
        <v>2</v>
      </c>
      <c r="GE20" s="488">
        <v>33</v>
      </c>
      <c r="GF20" s="488">
        <v>530</v>
      </c>
      <c r="GG20" s="488">
        <v>2</v>
      </c>
      <c r="GH20" s="488">
        <v>0</v>
      </c>
      <c r="GI20" s="488">
        <v>0</v>
      </c>
      <c r="GJ20" s="488">
        <v>0</v>
      </c>
      <c r="GK20" s="488">
        <v>398</v>
      </c>
      <c r="GL20" s="488">
        <v>165</v>
      </c>
      <c r="GM20" s="488">
        <v>565</v>
      </c>
      <c r="GN20" s="488">
        <v>429</v>
      </c>
      <c r="GO20" s="488">
        <v>92</v>
      </c>
      <c r="GP20" s="488">
        <v>15</v>
      </c>
      <c r="GQ20" s="488">
        <v>11</v>
      </c>
      <c r="GR20" s="488">
        <v>0</v>
      </c>
      <c r="GS20" s="488">
        <v>26</v>
      </c>
      <c r="GT20" s="489">
        <v>1575</v>
      </c>
      <c r="GU20" s="488">
        <v>3</v>
      </c>
      <c r="GV20" s="490">
        <v>0</v>
      </c>
      <c r="GW20" s="490">
        <v>3</v>
      </c>
      <c r="GX20" s="490">
        <v>6</v>
      </c>
      <c r="GY20" s="491">
        <v>2</v>
      </c>
      <c r="GZ20" s="491">
        <v>33</v>
      </c>
      <c r="HA20" s="491">
        <v>35</v>
      </c>
      <c r="HB20" s="475">
        <v>0</v>
      </c>
      <c r="HC20" s="475">
        <v>0</v>
      </c>
      <c r="HD20" s="475">
        <v>0</v>
      </c>
      <c r="HE20" s="475">
        <v>0</v>
      </c>
      <c r="HF20" s="475">
        <v>0</v>
      </c>
      <c r="HG20" s="475">
        <v>0</v>
      </c>
      <c r="HH20" s="475">
        <v>4</v>
      </c>
      <c r="HI20" s="475">
        <v>0</v>
      </c>
      <c r="HJ20" s="475">
        <v>0</v>
      </c>
      <c r="HK20" s="475">
        <v>0</v>
      </c>
      <c r="HL20" s="475">
        <v>0</v>
      </c>
      <c r="HM20" s="475">
        <v>0</v>
      </c>
      <c r="HN20" s="475">
        <v>0</v>
      </c>
      <c r="HO20" s="475">
        <v>0</v>
      </c>
      <c r="HP20" s="475">
        <v>0</v>
      </c>
      <c r="HQ20" s="475">
        <v>0</v>
      </c>
      <c r="HR20" s="475">
        <v>9</v>
      </c>
      <c r="HS20" s="475">
        <v>0</v>
      </c>
      <c r="HT20" s="475">
        <v>0</v>
      </c>
      <c r="HU20" s="475">
        <v>0</v>
      </c>
      <c r="HV20" s="475">
        <v>0</v>
      </c>
      <c r="HW20" s="475">
        <v>0</v>
      </c>
      <c r="HX20" s="475">
        <v>0</v>
      </c>
      <c r="HY20" s="475">
        <v>0</v>
      </c>
      <c r="HZ20" s="475">
        <v>70</v>
      </c>
      <c r="IA20" s="475" t="s">
        <v>721</v>
      </c>
      <c r="IB20" s="475" t="s">
        <v>721</v>
      </c>
      <c r="IC20" s="475" t="s">
        <v>721</v>
      </c>
      <c r="ID20" s="475" t="s">
        <v>721</v>
      </c>
      <c r="IE20" s="475" t="s">
        <v>721</v>
      </c>
      <c r="IF20" s="475" t="s">
        <v>721</v>
      </c>
      <c r="IG20" s="475" t="s">
        <v>721</v>
      </c>
      <c r="IH20" s="475" t="s">
        <v>721</v>
      </c>
      <c r="II20" s="475" t="s">
        <v>721</v>
      </c>
      <c r="IJ20" s="475" t="s">
        <v>721</v>
      </c>
      <c r="IK20" s="475" t="s">
        <v>721</v>
      </c>
      <c r="IL20" s="475" t="s">
        <v>721</v>
      </c>
      <c r="IM20" s="475" t="s">
        <v>721</v>
      </c>
      <c r="IN20" s="475" t="s">
        <v>721</v>
      </c>
      <c r="IO20" s="475" t="s">
        <v>721</v>
      </c>
      <c r="IP20" s="475" t="s">
        <v>721</v>
      </c>
      <c r="IQ20" s="475" t="s">
        <v>721</v>
      </c>
      <c r="IR20" s="475" t="s">
        <v>721</v>
      </c>
      <c r="IS20" s="475">
        <v>22</v>
      </c>
      <c r="IT20" s="475" t="s">
        <v>721</v>
      </c>
      <c r="IU20" s="475" t="s">
        <v>721</v>
      </c>
      <c r="IV20" s="475" t="s">
        <v>721</v>
      </c>
      <c r="IW20" s="475" t="s">
        <v>721</v>
      </c>
      <c r="IX20" s="475" t="s">
        <v>721</v>
      </c>
      <c r="IY20" s="475" t="s">
        <v>721</v>
      </c>
      <c r="IZ20" s="475" t="s">
        <v>721</v>
      </c>
      <c r="JA20" s="475" t="s">
        <v>721</v>
      </c>
      <c r="JB20" s="475" t="s">
        <v>721</v>
      </c>
      <c r="JC20" s="475" t="s">
        <v>721</v>
      </c>
      <c r="JD20" s="475" t="s">
        <v>721</v>
      </c>
      <c r="JE20" s="475" t="s">
        <v>721</v>
      </c>
      <c r="JF20" s="475" t="s">
        <v>721</v>
      </c>
      <c r="JG20" s="475" t="s">
        <v>721</v>
      </c>
      <c r="JH20" s="475" t="s">
        <v>721</v>
      </c>
      <c r="JI20" s="475" t="s">
        <v>721</v>
      </c>
      <c r="JJ20" s="475" t="s">
        <v>721</v>
      </c>
      <c r="JK20" s="475" t="s">
        <v>721</v>
      </c>
      <c r="JL20" s="755">
        <v>235400.6</v>
      </c>
      <c r="JM20" s="755">
        <v>29449.599999999999</v>
      </c>
      <c r="JN20" s="755">
        <v>11542.2</v>
      </c>
      <c r="JO20" s="755">
        <v>246.6</v>
      </c>
      <c r="JP20" s="755">
        <v>6733.3</v>
      </c>
      <c r="JQ20" s="755">
        <v>1171.5999999999999</v>
      </c>
      <c r="JR20" s="755">
        <v>20834.599999999999</v>
      </c>
      <c r="JS20" s="755" t="s">
        <v>721</v>
      </c>
      <c r="JT20" s="755">
        <v>490.7</v>
      </c>
      <c r="JU20" s="755" t="s">
        <v>721</v>
      </c>
      <c r="JV20" s="755" t="s">
        <v>721</v>
      </c>
      <c r="JW20" s="755">
        <v>140.80000000000001</v>
      </c>
      <c r="JX20" s="755" t="s">
        <v>721</v>
      </c>
      <c r="JY20" s="755" t="s">
        <v>721</v>
      </c>
      <c r="JZ20" s="755" t="s">
        <v>721</v>
      </c>
      <c r="KA20" s="755" t="s">
        <v>721</v>
      </c>
      <c r="KB20" s="755" t="s">
        <v>721</v>
      </c>
      <c r="KC20" s="755" t="s">
        <v>721</v>
      </c>
      <c r="KD20" s="755">
        <v>2703.8</v>
      </c>
      <c r="KE20" s="475">
        <v>229</v>
      </c>
      <c r="KF20" s="475">
        <v>49</v>
      </c>
      <c r="KG20" s="475" t="s">
        <v>721</v>
      </c>
      <c r="KH20" s="475" t="s">
        <v>721</v>
      </c>
      <c r="KI20" s="475" t="s">
        <v>721</v>
      </c>
      <c r="KJ20" s="475" t="s">
        <v>721</v>
      </c>
      <c r="KK20" s="475">
        <v>21</v>
      </c>
      <c r="KL20" s="475" t="s">
        <v>721</v>
      </c>
      <c r="KM20" s="475" t="s">
        <v>721</v>
      </c>
      <c r="KN20" s="475" t="s">
        <v>721</v>
      </c>
      <c r="KO20" s="475" t="s">
        <v>721</v>
      </c>
      <c r="KP20" s="475" t="s">
        <v>721</v>
      </c>
      <c r="KQ20" s="475" t="s">
        <v>721</v>
      </c>
      <c r="KR20" s="475" t="s">
        <v>721</v>
      </c>
      <c r="KS20" s="475" t="s">
        <v>721</v>
      </c>
      <c r="KT20" s="475" t="s">
        <v>721</v>
      </c>
      <c r="KU20" s="475" t="s">
        <v>721</v>
      </c>
      <c r="KV20" s="475" t="s">
        <v>721</v>
      </c>
      <c r="KW20" s="475" t="s">
        <v>721</v>
      </c>
      <c r="KX20" s="475">
        <v>78</v>
      </c>
      <c r="KY20" s="475">
        <v>13</v>
      </c>
      <c r="KZ20" s="475" t="s">
        <v>721</v>
      </c>
      <c r="LA20" s="475" t="s">
        <v>721</v>
      </c>
      <c r="LB20" s="475" t="s">
        <v>721</v>
      </c>
      <c r="LC20" s="475" t="s">
        <v>721</v>
      </c>
      <c r="LD20" s="475" t="s">
        <v>721</v>
      </c>
      <c r="LE20" s="475" t="s">
        <v>721</v>
      </c>
      <c r="LF20" s="475" t="s">
        <v>721</v>
      </c>
      <c r="LG20" s="475" t="s">
        <v>721</v>
      </c>
      <c r="LH20" s="475" t="s">
        <v>721</v>
      </c>
      <c r="LI20" s="475" t="s">
        <v>721</v>
      </c>
      <c r="LJ20" s="475" t="s">
        <v>721</v>
      </c>
      <c r="LK20" s="475" t="s">
        <v>721</v>
      </c>
      <c r="LL20" s="475" t="s">
        <v>721</v>
      </c>
      <c r="LM20" s="475" t="s">
        <v>721</v>
      </c>
      <c r="LN20" s="475" t="s">
        <v>721</v>
      </c>
      <c r="LO20" s="475" t="s">
        <v>721</v>
      </c>
      <c r="LP20" s="475" t="s">
        <v>721</v>
      </c>
      <c r="LQ20" s="475">
        <v>1240</v>
      </c>
      <c r="LR20" s="475">
        <v>116</v>
      </c>
      <c r="LS20" s="475">
        <v>49</v>
      </c>
      <c r="LT20" s="475" t="s">
        <v>721</v>
      </c>
      <c r="LU20" s="475">
        <v>28</v>
      </c>
      <c r="LV20" s="475" t="s">
        <v>721</v>
      </c>
      <c r="LW20" s="475">
        <v>121</v>
      </c>
      <c r="LX20" s="475" t="s">
        <v>721</v>
      </c>
      <c r="LY20" s="475" t="s">
        <v>721</v>
      </c>
      <c r="LZ20" s="475" t="s">
        <v>721</v>
      </c>
      <c r="MA20" s="475" t="s">
        <v>721</v>
      </c>
      <c r="MB20" s="475" t="s">
        <v>721</v>
      </c>
      <c r="MC20" s="475" t="s">
        <v>721</v>
      </c>
      <c r="MD20" s="475" t="s">
        <v>721</v>
      </c>
      <c r="ME20" s="475" t="s">
        <v>721</v>
      </c>
      <c r="MF20" s="475" t="s">
        <v>721</v>
      </c>
      <c r="MG20" s="475" t="s">
        <v>721</v>
      </c>
      <c r="MH20" s="475" t="s">
        <v>721</v>
      </c>
      <c r="MI20" s="475" t="s">
        <v>721</v>
      </c>
      <c r="MJ20" s="475">
        <v>639</v>
      </c>
      <c r="MK20" s="475">
        <v>89</v>
      </c>
      <c r="ML20" s="475">
        <v>38</v>
      </c>
      <c r="MM20" s="475" t="s">
        <v>721</v>
      </c>
      <c r="MN20" s="475">
        <v>22</v>
      </c>
      <c r="MO20" s="475" t="s">
        <v>721</v>
      </c>
      <c r="MP20" s="475">
        <v>46</v>
      </c>
      <c r="MQ20" s="475" t="s">
        <v>721</v>
      </c>
      <c r="MR20" s="475" t="s">
        <v>721</v>
      </c>
      <c r="MS20" s="475" t="s">
        <v>721</v>
      </c>
      <c r="MT20" s="475" t="s">
        <v>721</v>
      </c>
      <c r="MU20" s="475" t="s">
        <v>721</v>
      </c>
      <c r="MV20" s="475" t="s">
        <v>721</v>
      </c>
      <c r="MW20" s="475" t="s">
        <v>721</v>
      </c>
      <c r="MX20" s="475" t="s">
        <v>721</v>
      </c>
      <c r="MY20" s="475" t="s">
        <v>721</v>
      </c>
      <c r="MZ20" s="475" t="s">
        <v>721</v>
      </c>
      <c r="NA20" s="475" t="s">
        <v>721</v>
      </c>
      <c r="NB20" s="475" t="s">
        <v>721</v>
      </c>
      <c r="NC20" s="476">
        <v>0.55800000000000005</v>
      </c>
      <c r="ND20" s="476">
        <v>0.442</v>
      </c>
      <c r="NE20" s="476">
        <v>0.77600000000000002</v>
      </c>
      <c r="NF20" s="476">
        <v>8.4000000000000005E-2</v>
      </c>
      <c r="NG20" s="476">
        <v>3.6999999999999998E-2</v>
      </c>
      <c r="NH20" s="476" t="s">
        <v>721</v>
      </c>
      <c r="NI20" s="476">
        <v>2.1000000000000001E-2</v>
      </c>
      <c r="NJ20" s="476" t="s">
        <v>721</v>
      </c>
      <c r="NK20" s="476">
        <v>7.0000000000000007E-2</v>
      </c>
      <c r="NL20" s="476" t="s">
        <v>721</v>
      </c>
      <c r="NM20" s="476" t="s">
        <v>721</v>
      </c>
      <c r="NN20" s="476" t="s">
        <v>721</v>
      </c>
      <c r="NO20" s="476" t="s">
        <v>721</v>
      </c>
      <c r="NP20" s="476" t="s">
        <v>721</v>
      </c>
      <c r="NQ20" s="476" t="s">
        <v>721</v>
      </c>
      <c r="NR20" s="476" t="s">
        <v>721</v>
      </c>
      <c r="NS20" s="476" t="s">
        <v>721</v>
      </c>
      <c r="NT20" s="476" t="s">
        <v>721</v>
      </c>
      <c r="NU20" s="476" t="s">
        <v>721</v>
      </c>
      <c r="NV20" s="476" t="s">
        <v>721</v>
      </c>
      <c r="NW20" s="476">
        <v>7.0000000000000001E-3</v>
      </c>
      <c r="NX20" s="476" t="s">
        <v>721</v>
      </c>
      <c r="NY20" s="476">
        <v>5.1999999999999998E-2</v>
      </c>
      <c r="NZ20" s="476" t="s">
        <v>721</v>
      </c>
      <c r="OA20" s="476" t="s">
        <v>721</v>
      </c>
      <c r="OB20" s="476" t="s">
        <v>721</v>
      </c>
      <c r="OC20" s="476" t="s">
        <v>721</v>
      </c>
      <c r="OD20" s="476" t="s">
        <v>721</v>
      </c>
      <c r="OE20" s="476">
        <v>0.94399999999999995</v>
      </c>
      <c r="OF20" s="476" t="s">
        <v>721</v>
      </c>
      <c r="OG20" s="476" t="s">
        <v>721</v>
      </c>
      <c r="OH20" s="476" t="s">
        <v>721</v>
      </c>
      <c r="OI20" s="476" t="s">
        <v>721</v>
      </c>
      <c r="OJ20" s="476" t="s">
        <v>721</v>
      </c>
      <c r="OK20" s="476" t="s">
        <v>721</v>
      </c>
      <c r="OL20" s="476" t="s">
        <v>721</v>
      </c>
      <c r="OM20" s="476" t="s">
        <v>721</v>
      </c>
      <c r="ON20" s="476" t="s">
        <v>721</v>
      </c>
      <c r="OO20" s="476" t="s">
        <v>721</v>
      </c>
      <c r="OP20" s="476" t="s">
        <v>721</v>
      </c>
      <c r="OQ20" s="476" t="s">
        <v>721</v>
      </c>
      <c r="OR20" s="476" t="s">
        <v>721</v>
      </c>
      <c r="OS20" s="476" t="s">
        <v>721</v>
      </c>
      <c r="OT20" s="476" t="s">
        <v>721</v>
      </c>
      <c r="OU20" s="476" t="s">
        <v>721</v>
      </c>
      <c r="OV20" s="476" t="s">
        <v>721</v>
      </c>
      <c r="OW20" s="476" t="s">
        <v>721</v>
      </c>
      <c r="OX20" s="476" t="s">
        <v>721</v>
      </c>
      <c r="OY20" s="476" t="s">
        <v>721</v>
      </c>
      <c r="OZ20" s="476" t="s">
        <v>721</v>
      </c>
      <c r="PA20" s="476" t="s">
        <v>721</v>
      </c>
      <c r="PB20" s="476" t="s">
        <v>721</v>
      </c>
      <c r="PC20" s="476" t="s">
        <v>721</v>
      </c>
      <c r="PD20" s="476" t="s">
        <v>721</v>
      </c>
      <c r="PE20" s="476" t="s">
        <v>721</v>
      </c>
      <c r="PF20" s="476">
        <v>2.1999999999999999E-2</v>
      </c>
      <c r="PG20" s="476" t="s">
        <v>721</v>
      </c>
      <c r="PH20" s="476" t="s">
        <v>721</v>
      </c>
      <c r="PI20" s="476" t="s">
        <v>721</v>
      </c>
      <c r="PJ20" s="476" t="s">
        <v>721</v>
      </c>
      <c r="PK20" s="476" t="s">
        <v>721</v>
      </c>
      <c r="PL20" s="476">
        <v>0.94</v>
      </c>
      <c r="PM20" s="476">
        <v>3.5999999999999997E-2</v>
      </c>
      <c r="PN20" s="476" t="s">
        <v>721</v>
      </c>
      <c r="PO20" s="476" t="s">
        <v>721</v>
      </c>
      <c r="PP20" s="476" t="s">
        <v>721</v>
      </c>
      <c r="PQ20" s="476" t="s">
        <v>721</v>
      </c>
      <c r="PR20" s="476" t="s">
        <v>721</v>
      </c>
      <c r="PS20" s="476" t="s">
        <v>721</v>
      </c>
      <c r="PT20" s="476" t="s">
        <v>721</v>
      </c>
      <c r="PU20" s="476" t="s">
        <v>721</v>
      </c>
      <c r="PV20" s="476" t="s">
        <v>721</v>
      </c>
      <c r="PW20" s="476" t="s">
        <v>721</v>
      </c>
      <c r="PX20" s="476" t="s">
        <v>721</v>
      </c>
      <c r="PY20" s="476" t="s">
        <v>721</v>
      </c>
      <c r="PZ20" s="476" t="s">
        <v>721</v>
      </c>
      <c r="QA20" s="476" t="s">
        <v>721</v>
      </c>
      <c r="QB20" s="476" t="s">
        <v>721</v>
      </c>
      <c r="QC20" s="476" t="s">
        <v>721</v>
      </c>
      <c r="QD20" s="476" t="s">
        <v>721</v>
      </c>
      <c r="QE20" s="476" t="s">
        <v>721</v>
      </c>
      <c r="QF20" s="476" t="s">
        <v>721</v>
      </c>
      <c r="QG20" s="476" t="s">
        <v>721</v>
      </c>
      <c r="QH20" s="476" t="s">
        <v>721</v>
      </c>
      <c r="QI20" s="476" t="s">
        <v>721</v>
      </c>
      <c r="QJ20" s="476" t="s">
        <v>721</v>
      </c>
      <c r="QK20" s="476" t="s">
        <v>721</v>
      </c>
      <c r="QL20" s="476">
        <v>0.76100000000000001</v>
      </c>
      <c r="QM20" s="476" t="s">
        <v>721</v>
      </c>
      <c r="QN20" s="476" t="s">
        <v>721</v>
      </c>
      <c r="QO20" s="476" t="s">
        <v>721</v>
      </c>
      <c r="QP20" s="476" t="s">
        <v>721</v>
      </c>
      <c r="QQ20" s="476" t="s">
        <v>721</v>
      </c>
      <c r="QR20" s="476" t="s">
        <v>721</v>
      </c>
      <c r="QS20" s="476" t="s">
        <v>721</v>
      </c>
      <c r="QT20" s="476" t="s">
        <v>721</v>
      </c>
      <c r="QU20" s="476" t="s">
        <v>721</v>
      </c>
      <c r="QV20" s="476" t="s">
        <v>721</v>
      </c>
      <c r="QW20" s="476" t="s">
        <v>721</v>
      </c>
      <c r="QX20" s="476" t="s">
        <v>721</v>
      </c>
      <c r="QY20" s="476" t="s">
        <v>721</v>
      </c>
      <c r="QZ20" s="476" t="s">
        <v>721</v>
      </c>
      <c r="RA20" s="476" t="s">
        <v>721</v>
      </c>
      <c r="RB20" s="476" t="s">
        <v>721</v>
      </c>
      <c r="RC20" s="476" t="s">
        <v>721</v>
      </c>
      <c r="RD20" s="476" t="s">
        <v>721</v>
      </c>
      <c r="RE20" s="476">
        <v>0.84599999999999997</v>
      </c>
      <c r="RF20" s="476" t="s">
        <v>721</v>
      </c>
      <c r="RG20" s="476" t="s">
        <v>721</v>
      </c>
      <c r="RH20" s="476" t="s">
        <v>721</v>
      </c>
      <c r="RI20" s="476" t="s">
        <v>721</v>
      </c>
      <c r="RJ20" s="476" t="s">
        <v>721</v>
      </c>
      <c r="RK20" s="476" t="s">
        <v>721</v>
      </c>
      <c r="RL20" s="476" t="s">
        <v>721</v>
      </c>
      <c r="RM20" s="476" t="s">
        <v>721</v>
      </c>
      <c r="RN20" s="476" t="s">
        <v>721</v>
      </c>
      <c r="RO20" s="476" t="s">
        <v>721</v>
      </c>
      <c r="RP20" s="476" t="s">
        <v>721</v>
      </c>
      <c r="RQ20" s="476" t="s">
        <v>721</v>
      </c>
      <c r="RR20" s="476" t="s">
        <v>721</v>
      </c>
      <c r="RS20" s="476" t="s">
        <v>721</v>
      </c>
      <c r="RT20" s="476" t="s">
        <v>721</v>
      </c>
      <c r="RU20" s="476" t="s">
        <v>721</v>
      </c>
      <c r="RV20" s="476" t="s">
        <v>721</v>
      </c>
      <c r="RW20" s="476" t="s">
        <v>721</v>
      </c>
      <c r="RX20" s="476">
        <v>0.76300000000000001</v>
      </c>
      <c r="RY20" s="476">
        <v>9.5000000000000001E-2</v>
      </c>
      <c r="RZ20" s="476">
        <v>3.6999999999999998E-2</v>
      </c>
      <c r="SA20" s="476">
        <v>1E-3</v>
      </c>
      <c r="SB20" s="476">
        <v>2.1999999999999999E-2</v>
      </c>
      <c r="SC20" s="476">
        <v>4.0000000000000001E-3</v>
      </c>
      <c r="SD20" s="476">
        <v>6.7000000000000004E-2</v>
      </c>
      <c r="SE20" s="476" t="s">
        <v>721</v>
      </c>
      <c r="SF20" s="476">
        <v>2E-3</v>
      </c>
      <c r="SG20" s="476" t="s">
        <v>721</v>
      </c>
      <c r="SH20" s="476" t="s">
        <v>721</v>
      </c>
      <c r="SI20" s="476">
        <v>0</v>
      </c>
      <c r="SJ20" s="476" t="s">
        <v>721</v>
      </c>
      <c r="SK20" s="476" t="s">
        <v>721</v>
      </c>
      <c r="SL20" s="476" t="s">
        <v>721</v>
      </c>
      <c r="SM20" s="476" t="s">
        <v>721</v>
      </c>
      <c r="SN20" s="476" t="s">
        <v>721</v>
      </c>
      <c r="SO20" s="476" t="s">
        <v>721</v>
      </c>
      <c r="SP20" s="476">
        <v>8.9999999999999993E-3</v>
      </c>
      <c r="SQ20" s="476">
        <v>0.71099999999999997</v>
      </c>
      <c r="SR20" s="476">
        <v>0.152</v>
      </c>
      <c r="SS20" s="476" t="s">
        <v>721</v>
      </c>
      <c r="ST20" s="476" t="s">
        <v>721</v>
      </c>
      <c r="SU20" s="476" t="s">
        <v>721</v>
      </c>
      <c r="SV20" s="476" t="s">
        <v>721</v>
      </c>
      <c r="SW20" s="476">
        <v>6.5000000000000002E-2</v>
      </c>
      <c r="SX20" s="476" t="s">
        <v>721</v>
      </c>
      <c r="SY20" s="476" t="s">
        <v>721</v>
      </c>
      <c r="SZ20" s="476" t="s">
        <v>721</v>
      </c>
      <c r="TA20" s="476" t="s">
        <v>721</v>
      </c>
      <c r="TB20" s="476" t="s">
        <v>721</v>
      </c>
      <c r="TC20" s="476" t="s">
        <v>721</v>
      </c>
      <c r="TD20" s="476" t="s">
        <v>721</v>
      </c>
      <c r="TE20" s="476" t="s">
        <v>721</v>
      </c>
      <c r="TF20" s="476" t="s">
        <v>721</v>
      </c>
      <c r="TG20" s="476" t="s">
        <v>721</v>
      </c>
      <c r="TH20" s="476" t="s">
        <v>721</v>
      </c>
      <c r="TI20" s="476" t="s">
        <v>721</v>
      </c>
      <c r="TJ20" s="476">
        <v>0.73599999999999999</v>
      </c>
      <c r="TK20" s="476">
        <v>0.123</v>
      </c>
      <c r="TL20" s="476" t="s">
        <v>721</v>
      </c>
      <c r="TM20" s="476" t="s">
        <v>721</v>
      </c>
      <c r="TN20" s="476" t="s">
        <v>721</v>
      </c>
      <c r="TO20" s="476" t="s">
        <v>721</v>
      </c>
      <c r="TP20" s="476" t="s">
        <v>721</v>
      </c>
      <c r="TQ20" s="476" t="s">
        <v>721</v>
      </c>
      <c r="TR20" s="476" t="s">
        <v>721</v>
      </c>
      <c r="TS20" s="476" t="s">
        <v>721</v>
      </c>
      <c r="TT20" s="476" t="s">
        <v>721</v>
      </c>
      <c r="TU20" s="476" t="s">
        <v>721</v>
      </c>
      <c r="TV20" s="476" t="s">
        <v>721</v>
      </c>
      <c r="TW20" s="476" t="s">
        <v>721</v>
      </c>
      <c r="TX20" s="476" t="s">
        <v>721</v>
      </c>
      <c r="TY20" s="476" t="s">
        <v>721</v>
      </c>
      <c r="TZ20" s="476" t="s">
        <v>721</v>
      </c>
      <c r="UA20" s="476" t="s">
        <v>721</v>
      </c>
      <c r="UB20" s="476" t="s">
        <v>721</v>
      </c>
      <c r="UC20" s="476">
        <v>0.79100000000000004</v>
      </c>
      <c r="UD20" s="476">
        <v>7.3999999999999996E-2</v>
      </c>
      <c r="UE20" s="476">
        <v>3.1E-2</v>
      </c>
      <c r="UF20" s="476" t="s">
        <v>721</v>
      </c>
      <c r="UG20" s="476">
        <v>1.7999999999999999E-2</v>
      </c>
      <c r="UH20" s="476" t="s">
        <v>721</v>
      </c>
      <c r="UI20" s="476">
        <v>7.6999999999999999E-2</v>
      </c>
      <c r="UJ20" s="476" t="s">
        <v>721</v>
      </c>
      <c r="UK20" s="476" t="s">
        <v>721</v>
      </c>
      <c r="UL20" s="476" t="s">
        <v>721</v>
      </c>
      <c r="UM20" s="476" t="s">
        <v>721</v>
      </c>
      <c r="UN20" s="476" t="s">
        <v>721</v>
      </c>
      <c r="UO20" s="476" t="s">
        <v>721</v>
      </c>
      <c r="UP20" s="476" t="s">
        <v>721</v>
      </c>
      <c r="UQ20" s="476" t="s">
        <v>721</v>
      </c>
      <c r="UR20" s="476" t="s">
        <v>721</v>
      </c>
      <c r="US20" s="476" t="s">
        <v>721</v>
      </c>
      <c r="UT20" s="476" t="s">
        <v>721</v>
      </c>
      <c r="UU20" s="476" t="s">
        <v>721</v>
      </c>
      <c r="UV20" s="476">
        <v>0.75</v>
      </c>
      <c r="UW20" s="476">
        <v>0.104</v>
      </c>
      <c r="UX20" s="476">
        <v>4.4999999999999998E-2</v>
      </c>
      <c r="UY20" s="476" t="s">
        <v>721</v>
      </c>
      <c r="UZ20" s="476">
        <v>2.5999999999999999E-2</v>
      </c>
      <c r="VA20" s="476" t="s">
        <v>721</v>
      </c>
      <c r="VB20" s="476">
        <v>5.3999999999999999E-2</v>
      </c>
      <c r="VC20" s="476" t="s">
        <v>721</v>
      </c>
      <c r="VD20" s="476" t="s">
        <v>721</v>
      </c>
      <c r="VE20" s="476" t="s">
        <v>721</v>
      </c>
      <c r="VF20" s="476" t="s">
        <v>721</v>
      </c>
      <c r="VG20" s="476" t="s">
        <v>721</v>
      </c>
      <c r="VH20" s="476" t="s">
        <v>721</v>
      </c>
      <c r="VI20" s="476" t="s">
        <v>721</v>
      </c>
      <c r="VJ20" s="476" t="s">
        <v>721</v>
      </c>
      <c r="VK20" s="476" t="s">
        <v>721</v>
      </c>
      <c r="VL20" s="476" t="s">
        <v>721</v>
      </c>
      <c r="VM20" s="476" t="s">
        <v>721</v>
      </c>
      <c r="VN20" s="476" t="s">
        <v>721</v>
      </c>
      <c r="VO20" s="28"/>
      <c r="VP20" s="28"/>
      <c r="VQ20" s="28"/>
      <c r="VR20" s="28"/>
      <c r="VS20" s="28"/>
      <c r="VT20" s="28"/>
      <c r="VU20" s="28"/>
      <c r="VV20" s="28"/>
      <c r="VW20" s="28"/>
      <c r="VX20" s="28"/>
      <c r="VY20" s="28"/>
      <c r="VZ20" s="28"/>
      <c r="WA20" s="28"/>
      <c r="WB20" s="28"/>
      <c r="WC20" s="28"/>
      <c r="WD20" s="28"/>
      <c r="WE20" s="28"/>
      <c r="WF20" s="28"/>
      <c r="WG20" s="28"/>
      <c r="WH20" s="28"/>
      <c r="WI20" s="28"/>
      <c r="WJ20" s="28"/>
      <c r="WK20" s="28"/>
      <c r="WL20" s="28"/>
      <c r="WM20" s="28"/>
      <c r="WN20" s="28"/>
      <c r="WO20" s="28"/>
      <c r="WP20" s="28"/>
      <c r="WQ20" s="28"/>
      <c r="WR20" s="28"/>
      <c r="WS20" s="28"/>
      <c r="WT20" s="28"/>
      <c r="WU20" s="28"/>
      <c r="WV20" s="28"/>
      <c r="WW20" s="28"/>
    </row>
    <row r="21" spans="1:621" s="151" customFormat="1" ht="15.75" customHeight="1" x14ac:dyDescent="0.35">
      <c r="A21" s="477" t="s">
        <v>31</v>
      </c>
      <c r="B21" s="492" t="s">
        <v>15</v>
      </c>
      <c r="C21" s="493">
        <v>16.149999999999999</v>
      </c>
      <c r="D21" s="494">
        <v>296</v>
      </c>
      <c r="E21" s="473">
        <v>29794.799999999999</v>
      </c>
      <c r="F21" s="473">
        <v>100.7</v>
      </c>
      <c r="G21" s="474">
        <v>272</v>
      </c>
      <c r="H21" s="474">
        <v>223</v>
      </c>
      <c r="I21" s="474">
        <v>157</v>
      </c>
      <c r="J21" s="474">
        <v>123</v>
      </c>
      <c r="K21" s="474">
        <v>53</v>
      </c>
      <c r="L21" s="473">
        <v>9406.7000000000007</v>
      </c>
      <c r="M21" s="474">
        <v>236</v>
      </c>
      <c r="N21" s="473">
        <v>20388.099999999999</v>
      </c>
      <c r="O21" s="494">
        <v>41</v>
      </c>
      <c r="P21" s="495">
        <v>7471.1</v>
      </c>
      <c r="Q21" s="494">
        <v>27</v>
      </c>
      <c r="R21" s="495">
        <v>1527.4</v>
      </c>
      <c r="S21" s="480">
        <v>19</v>
      </c>
      <c r="T21" s="481">
        <v>1260.4000000000001</v>
      </c>
      <c r="U21" s="480">
        <v>6</v>
      </c>
      <c r="V21" s="481">
        <v>874</v>
      </c>
      <c r="W21" s="480">
        <v>271</v>
      </c>
      <c r="X21" s="481">
        <v>27660.400000000001</v>
      </c>
      <c r="Y21" s="494">
        <v>238</v>
      </c>
      <c r="Z21" s="494">
        <v>126</v>
      </c>
      <c r="AA21" s="494">
        <v>157</v>
      </c>
      <c r="AB21" s="494">
        <v>110</v>
      </c>
      <c r="AC21" s="494">
        <v>19</v>
      </c>
      <c r="AD21" s="494">
        <v>59</v>
      </c>
      <c r="AE21" s="494">
        <v>165</v>
      </c>
      <c r="AF21" s="495">
        <v>10246.200000000001</v>
      </c>
      <c r="AG21" s="494">
        <v>112</v>
      </c>
      <c r="AH21" s="495">
        <v>18839</v>
      </c>
      <c r="AI21" s="494">
        <v>5</v>
      </c>
      <c r="AJ21" s="495">
        <v>285.60000000000002</v>
      </c>
      <c r="AK21" s="494">
        <v>7</v>
      </c>
      <c r="AL21" s="495">
        <v>424</v>
      </c>
      <c r="AM21" s="496">
        <v>167</v>
      </c>
      <c r="AN21" s="496">
        <v>129</v>
      </c>
      <c r="AO21" s="496">
        <v>240</v>
      </c>
      <c r="AP21" s="496">
        <v>16</v>
      </c>
      <c r="AQ21" s="496" t="s">
        <v>721</v>
      </c>
      <c r="AR21" s="496" t="s">
        <v>721</v>
      </c>
      <c r="AS21" s="496">
        <v>13</v>
      </c>
      <c r="AT21" s="496" t="s">
        <v>721</v>
      </c>
      <c r="AU21" s="496" t="s">
        <v>721</v>
      </c>
      <c r="AV21" s="496" t="s">
        <v>721</v>
      </c>
      <c r="AW21" s="496" t="s">
        <v>721</v>
      </c>
      <c r="AX21" s="496" t="s">
        <v>721</v>
      </c>
      <c r="AY21" s="496" t="s">
        <v>721</v>
      </c>
      <c r="AZ21" s="496" t="s">
        <v>721</v>
      </c>
      <c r="BA21" s="496" t="s">
        <v>721</v>
      </c>
      <c r="BB21" s="496" t="s">
        <v>721</v>
      </c>
      <c r="BC21" s="496" t="s">
        <v>721</v>
      </c>
      <c r="BD21" s="496" t="s">
        <v>721</v>
      </c>
      <c r="BE21" s="496" t="s">
        <v>721</v>
      </c>
      <c r="BF21" s="496" t="s">
        <v>721</v>
      </c>
      <c r="BG21" s="496" t="s">
        <v>721</v>
      </c>
      <c r="BH21" s="496" t="s">
        <v>721</v>
      </c>
      <c r="BI21" s="496" t="s">
        <v>721</v>
      </c>
      <c r="BJ21" s="496" t="s">
        <v>721</v>
      </c>
      <c r="BK21" s="496" t="s">
        <v>721</v>
      </c>
      <c r="BL21" s="496" t="s">
        <v>721</v>
      </c>
      <c r="BM21" s="496" t="s">
        <v>721</v>
      </c>
      <c r="BN21" s="496" t="s">
        <v>721</v>
      </c>
      <c r="BO21" s="496">
        <v>287</v>
      </c>
      <c r="BP21" s="496" t="s">
        <v>721</v>
      </c>
      <c r="BQ21" s="496" t="s">
        <v>721</v>
      </c>
      <c r="BR21" s="496" t="s">
        <v>721</v>
      </c>
      <c r="BS21" s="496" t="s">
        <v>721</v>
      </c>
      <c r="BT21" s="496" t="s">
        <v>721</v>
      </c>
      <c r="BU21" s="496" t="s">
        <v>721</v>
      </c>
      <c r="BV21" s="496" t="s">
        <v>721</v>
      </c>
      <c r="BW21" s="496" t="s">
        <v>721</v>
      </c>
      <c r="BX21" s="496" t="s">
        <v>721</v>
      </c>
      <c r="BY21" s="496" t="s">
        <v>721</v>
      </c>
      <c r="BZ21" s="496" t="s">
        <v>721</v>
      </c>
      <c r="CA21" s="496" t="s">
        <v>721</v>
      </c>
      <c r="CB21" s="496" t="s">
        <v>721</v>
      </c>
      <c r="CC21" s="496" t="s">
        <v>721</v>
      </c>
      <c r="CD21" s="496" t="s">
        <v>721</v>
      </c>
      <c r="CE21" s="496" t="s">
        <v>721</v>
      </c>
      <c r="CF21" s="496" t="s">
        <v>721</v>
      </c>
      <c r="CG21" s="496" t="s">
        <v>721</v>
      </c>
      <c r="CH21" s="496" t="s">
        <v>721</v>
      </c>
      <c r="CI21" s="496" t="s">
        <v>721</v>
      </c>
      <c r="CJ21" s="496" t="s">
        <v>721</v>
      </c>
      <c r="CK21" s="496" t="s">
        <v>721</v>
      </c>
      <c r="CL21" s="496" t="s">
        <v>721</v>
      </c>
      <c r="CM21" s="496" t="s">
        <v>721</v>
      </c>
      <c r="CN21" s="496" t="s">
        <v>721</v>
      </c>
      <c r="CO21" s="496" t="s">
        <v>721</v>
      </c>
      <c r="CP21" s="496" t="s">
        <v>721</v>
      </c>
      <c r="CQ21" s="496" t="s">
        <v>721</v>
      </c>
      <c r="CR21" s="496" t="s">
        <v>721</v>
      </c>
      <c r="CS21" s="496" t="s">
        <v>721</v>
      </c>
      <c r="CT21" s="496" t="s">
        <v>721</v>
      </c>
      <c r="CU21" s="496" t="s">
        <v>721</v>
      </c>
      <c r="CV21" s="496">
        <v>230</v>
      </c>
      <c r="CW21" s="496" t="s">
        <v>721</v>
      </c>
      <c r="CX21" s="496" t="s">
        <v>721</v>
      </c>
      <c r="CY21" s="496" t="s">
        <v>721</v>
      </c>
      <c r="CZ21" s="496" t="s">
        <v>721</v>
      </c>
      <c r="DA21" s="496" t="s">
        <v>721</v>
      </c>
      <c r="DB21" s="496" t="s">
        <v>721</v>
      </c>
      <c r="DC21" s="496" t="s">
        <v>721</v>
      </c>
      <c r="DD21" s="496" t="s">
        <v>721</v>
      </c>
      <c r="DE21" s="496" t="s">
        <v>721</v>
      </c>
      <c r="DF21" s="496" t="s">
        <v>721</v>
      </c>
      <c r="DG21" s="496" t="s">
        <v>721</v>
      </c>
      <c r="DH21" s="496" t="s">
        <v>721</v>
      </c>
      <c r="DI21" s="496" t="s">
        <v>721</v>
      </c>
      <c r="DJ21" s="496" t="s">
        <v>721</v>
      </c>
      <c r="DK21" s="496" t="s">
        <v>721</v>
      </c>
      <c r="DL21" s="496" t="s">
        <v>721</v>
      </c>
      <c r="DM21" s="496" t="s">
        <v>721</v>
      </c>
      <c r="DN21" s="496" t="s">
        <v>721</v>
      </c>
      <c r="DO21" s="496" t="s">
        <v>721</v>
      </c>
      <c r="DP21" s="496" t="s">
        <v>721</v>
      </c>
      <c r="DQ21" s="496" t="s">
        <v>721</v>
      </c>
      <c r="DR21" s="496" t="s">
        <v>721</v>
      </c>
      <c r="DS21" s="483" t="s">
        <v>721</v>
      </c>
      <c r="DT21" s="483" t="s">
        <v>721</v>
      </c>
      <c r="DU21" s="483" t="s">
        <v>721</v>
      </c>
      <c r="DV21" s="496">
        <v>26</v>
      </c>
      <c r="DW21" s="497">
        <v>4222.7</v>
      </c>
      <c r="DX21" s="496">
        <v>46</v>
      </c>
      <c r="DY21" s="497">
        <v>6976.9</v>
      </c>
      <c r="DZ21" s="496">
        <v>105</v>
      </c>
      <c r="EA21" s="497">
        <v>9700.2999999999993</v>
      </c>
      <c r="EB21" s="496">
        <v>68</v>
      </c>
      <c r="EC21" s="497">
        <v>5161.5</v>
      </c>
      <c r="ED21" s="496">
        <v>36</v>
      </c>
      <c r="EE21" s="497">
        <v>2522.8000000000002</v>
      </c>
      <c r="EF21" s="496">
        <v>15</v>
      </c>
      <c r="EG21" s="497">
        <v>1210.5999999999999</v>
      </c>
      <c r="EH21" s="485">
        <v>238</v>
      </c>
      <c r="EI21" s="486">
        <v>753.3</v>
      </c>
      <c r="EJ21" s="485">
        <v>226</v>
      </c>
      <c r="EK21" s="486">
        <v>5002.2</v>
      </c>
      <c r="EL21" s="485">
        <v>227</v>
      </c>
      <c r="EM21" s="486">
        <v>2312.1</v>
      </c>
      <c r="EN21" s="485">
        <v>228</v>
      </c>
      <c r="EO21" s="486">
        <v>1199.8</v>
      </c>
      <c r="EP21" s="485">
        <v>237</v>
      </c>
      <c r="EQ21" s="486">
        <v>955.5</v>
      </c>
      <c r="ER21" s="485">
        <v>231</v>
      </c>
      <c r="ES21" s="486">
        <v>411.7</v>
      </c>
      <c r="ET21" s="485">
        <v>0</v>
      </c>
      <c r="EU21" s="485">
        <v>153</v>
      </c>
      <c r="EV21" s="486">
        <v>2035.3</v>
      </c>
      <c r="EW21" s="485">
        <v>44</v>
      </c>
      <c r="EX21" s="486">
        <v>103.6</v>
      </c>
      <c r="EY21" s="485">
        <v>45</v>
      </c>
      <c r="EZ21" s="486">
        <v>537.4</v>
      </c>
      <c r="FA21" s="485">
        <v>31</v>
      </c>
      <c r="FB21" s="486">
        <v>268.7</v>
      </c>
      <c r="FC21" s="485">
        <v>229</v>
      </c>
      <c r="FD21" s="486">
        <v>2481.6</v>
      </c>
      <c r="FE21" s="485">
        <v>212</v>
      </c>
      <c r="FF21" s="486">
        <v>1406.8</v>
      </c>
      <c r="FG21" s="485">
        <v>114</v>
      </c>
      <c r="FH21" s="486">
        <v>967.4</v>
      </c>
      <c r="FI21" s="485">
        <v>134</v>
      </c>
      <c r="FJ21" s="486">
        <v>740.2</v>
      </c>
      <c r="FK21" s="485">
        <v>166</v>
      </c>
      <c r="FL21" s="486">
        <v>425.9</v>
      </c>
      <c r="FM21" s="485">
        <v>8</v>
      </c>
      <c r="FN21" s="486">
        <v>16.8</v>
      </c>
      <c r="FO21" s="485">
        <v>140</v>
      </c>
      <c r="FP21" s="486">
        <v>745.1</v>
      </c>
      <c r="FQ21" s="485">
        <v>135</v>
      </c>
      <c r="FR21" s="486">
        <v>521.79999999999995</v>
      </c>
      <c r="FS21" s="485">
        <v>6</v>
      </c>
      <c r="FT21" s="486">
        <v>42.5</v>
      </c>
      <c r="FU21" s="485">
        <v>0</v>
      </c>
      <c r="FV21" s="486">
        <v>0</v>
      </c>
      <c r="FW21" s="485">
        <v>0</v>
      </c>
      <c r="FX21" s="486">
        <v>0</v>
      </c>
      <c r="FY21" s="485">
        <v>13</v>
      </c>
      <c r="FZ21" s="486">
        <v>29.4</v>
      </c>
      <c r="GA21" s="485">
        <v>0</v>
      </c>
      <c r="GB21" s="485">
        <v>0</v>
      </c>
      <c r="GC21" s="487">
        <v>0</v>
      </c>
      <c r="GD21" s="488">
        <v>2</v>
      </c>
      <c r="GE21" s="488">
        <v>5</v>
      </c>
      <c r="GF21" s="488">
        <v>35</v>
      </c>
      <c r="GG21" s="488">
        <v>0</v>
      </c>
      <c r="GH21" s="488">
        <v>0</v>
      </c>
      <c r="GI21" s="488">
        <v>0</v>
      </c>
      <c r="GJ21" s="488">
        <v>0</v>
      </c>
      <c r="GK21" s="488">
        <v>33</v>
      </c>
      <c r="GL21" s="488">
        <v>9</v>
      </c>
      <c r="GM21" s="488">
        <v>42</v>
      </c>
      <c r="GN21" s="488">
        <v>2</v>
      </c>
      <c r="GO21" s="488">
        <v>14</v>
      </c>
      <c r="GP21" s="488">
        <v>3</v>
      </c>
      <c r="GQ21" s="488">
        <v>0</v>
      </c>
      <c r="GR21" s="488">
        <v>0</v>
      </c>
      <c r="GS21" s="488">
        <v>3</v>
      </c>
      <c r="GT21" s="489">
        <v>173</v>
      </c>
      <c r="GU21" s="488">
        <v>0</v>
      </c>
      <c r="GV21" s="490">
        <v>0</v>
      </c>
      <c r="GW21" s="490">
        <v>0</v>
      </c>
      <c r="GX21" s="490">
        <v>0</v>
      </c>
      <c r="GY21" s="491">
        <v>0</v>
      </c>
      <c r="GZ21" s="491">
        <v>2</v>
      </c>
      <c r="HA21" s="491">
        <v>2</v>
      </c>
      <c r="HB21" s="475">
        <v>0</v>
      </c>
      <c r="HC21" s="475">
        <v>0</v>
      </c>
      <c r="HD21" s="475">
        <v>0</v>
      </c>
      <c r="HE21" s="475">
        <v>0</v>
      </c>
      <c r="HF21" s="475">
        <v>0</v>
      </c>
      <c r="HG21" s="475">
        <v>0</v>
      </c>
      <c r="HH21" s="475">
        <v>0</v>
      </c>
      <c r="HI21" s="475">
        <v>0</v>
      </c>
      <c r="HJ21" s="475">
        <v>0</v>
      </c>
      <c r="HK21" s="475">
        <v>0</v>
      </c>
      <c r="HL21" s="475">
        <v>0</v>
      </c>
      <c r="HM21" s="475">
        <v>0</v>
      </c>
      <c r="HN21" s="475">
        <v>0</v>
      </c>
      <c r="HO21" s="475">
        <v>0</v>
      </c>
      <c r="HP21" s="475">
        <v>0</v>
      </c>
      <c r="HQ21" s="475">
        <v>1</v>
      </c>
      <c r="HR21" s="475">
        <v>0</v>
      </c>
      <c r="HS21" s="475">
        <v>0</v>
      </c>
      <c r="HT21" s="475">
        <v>0</v>
      </c>
      <c r="HU21" s="475">
        <v>0</v>
      </c>
      <c r="HV21" s="475">
        <v>0</v>
      </c>
      <c r="HW21" s="475">
        <v>0</v>
      </c>
      <c r="HX21" s="475">
        <v>0</v>
      </c>
      <c r="HY21" s="475">
        <v>0</v>
      </c>
      <c r="HZ21" s="475">
        <v>11</v>
      </c>
      <c r="IA21" s="475" t="s">
        <v>721</v>
      </c>
      <c r="IB21" s="475" t="s">
        <v>721</v>
      </c>
      <c r="IC21" s="475" t="s">
        <v>721</v>
      </c>
      <c r="ID21" s="475" t="s">
        <v>721</v>
      </c>
      <c r="IE21" s="475" t="s">
        <v>721</v>
      </c>
      <c r="IF21" s="475" t="s">
        <v>721</v>
      </c>
      <c r="IG21" s="475" t="s">
        <v>721</v>
      </c>
      <c r="IH21" s="475" t="s">
        <v>721</v>
      </c>
      <c r="II21" s="475" t="s">
        <v>721</v>
      </c>
      <c r="IJ21" s="475" t="s">
        <v>721</v>
      </c>
      <c r="IK21" s="475" t="s">
        <v>721</v>
      </c>
      <c r="IL21" s="475" t="s">
        <v>721</v>
      </c>
      <c r="IM21" s="475" t="s">
        <v>721</v>
      </c>
      <c r="IN21" s="475" t="s">
        <v>721</v>
      </c>
      <c r="IO21" s="475" t="s">
        <v>721</v>
      </c>
      <c r="IP21" s="475" t="s">
        <v>721</v>
      </c>
      <c r="IQ21" s="475" t="s">
        <v>721</v>
      </c>
      <c r="IR21" s="475" t="s">
        <v>721</v>
      </c>
      <c r="IS21" s="475" t="s">
        <v>721</v>
      </c>
      <c r="IT21" s="475" t="s">
        <v>721</v>
      </c>
      <c r="IU21" s="475" t="s">
        <v>721</v>
      </c>
      <c r="IV21" s="475" t="s">
        <v>721</v>
      </c>
      <c r="IW21" s="475" t="s">
        <v>721</v>
      </c>
      <c r="IX21" s="475" t="s">
        <v>721</v>
      </c>
      <c r="IY21" s="475" t="s">
        <v>721</v>
      </c>
      <c r="IZ21" s="475" t="s">
        <v>721</v>
      </c>
      <c r="JA21" s="475" t="s">
        <v>721</v>
      </c>
      <c r="JB21" s="475" t="s">
        <v>721</v>
      </c>
      <c r="JC21" s="475" t="s">
        <v>721</v>
      </c>
      <c r="JD21" s="475" t="s">
        <v>721</v>
      </c>
      <c r="JE21" s="475" t="s">
        <v>721</v>
      </c>
      <c r="JF21" s="475" t="s">
        <v>721</v>
      </c>
      <c r="JG21" s="475" t="s">
        <v>721</v>
      </c>
      <c r="JH21" s="475" t="s">
        <v>721</v>
      </c>
      <c r="JI21" s="475" t="s">
        <v>721</v>
      </c>
      <c r="JJ21" s="475" t="s">
        <v>721</v>
      </c>
      <c r="JK21" s="475" t="s">
        <v>721</v>
      </c>
      <c r="JL21" s="755">
        <v>24629.599999999999</v>
      </c>
      <c r="JM21" s="755">
        <v>2161.9</v>
      </c>
      <c r="JN21" s="755">
        <v>586</v>
      </c>
      <c r="JO21" s="755">
        <v>236.1</v>
      </c>
      <c r="JP21" s="755">
        <v>1095.9000000000001</v>
      </c>
      <c r="JQ21" s="755">
        <v>20.9</v>
      </c>
      <c r="JR21" s="755">
        <v>533.29999999999995</v>
      </c>
      <c r="JS21" s="755" t="s">
        <v>721</v>
      </c>
      <c r="JT21" s="755" t="s">
        <v>721</v>
      </c>
      <c r="JU21" s="755" t="s">
        <v>721</v>
      </c>
      <c r="JV21" s="755" t="s">
        <v>721</v>
      </c>
      <c r="JW21" s="755" t="s">
        <v>721</v>
      </c>
      <c r="JX21" s="755" t="s">
        <v>721</v>
      </c>
      <c r="JY21" s="755" t="s">
        <v>721</v>
      </c>
      <c r="JZ21" s="755" t="s">
        <v>721</v>
      </c>
      <c r="KA21" s="755" t="s">
        <v>721</v>
      </c>
      <c r="KB21" s="755">
        <v>142.5</v>
      </c>
      <c r="KC21" s="755">
        <v>76.599999999999994</v>
      </c>
      <c r="KD21" s="755">
        <v>312</v>
      </c>
      <c r="KE21" s="475">
        <v>37</v>
      </c>
      <c r="KF21" s="475" t="s">
        <v>721</v>
      </c>
      <c r="KG21" s="475" t="s">
        <v>721</v>
      </c>
      <c r="KH21" s="475" t="s">
        <v>721</v>
      </c>
      <c r="KI21" s="475" t="s">
        <v>721</v>
      </c>
      <c r="KJ21" s="475" t="s">
        <v>721</v>
      </c>
      <c r="KK21" s="475" t="s">
        <v>721</v>
      </c>
      <c r="KL21" s="475" t="s">
        <v>721</v>
      </c>
      <c r="KM21" s="475" t="s">
        <v>721</v>
      </c>
      <c r="KN21" s="475" t="s">
        <v>721</v>
      </c>
      <c r="KO21" s="475" t="s">
        <v>721</v>
      </c>
      <c r="KP21" s="475" t="s">
        <v>721</v>
      </c>
      <c r="KQ21" s="475" t="s">
        <v>721</v>
      </c>
      <c r="KR21" s="475" t="s">
        <v>721</v>
      </c>
      <c r="KS21" s="475" t="s">
        <v>721</v>
      </c>
      <c r="KT21" s="475" t="s">
        <v>721</v>
      </c>
      <c r="KU21" s="475" t="s">
        <v>721</v>
      </c>
      <c r="KV21" s="475" t="s">
        <v>721</v>
      </c>
      <c r="KW21" s="475" t="s">
        <v>721</v>
      </c>
      <c r="KX21" s="475">
        <v>20</v>
      </c>
      <c r="KY21" s="475" t="s">
        <v>721</v>
      </c>
      <c r="KZ21" s="475" t="s">
        <v>721</v>
      </c>
      <c r="LA21" s="475" t="s">
        <v>721</v>
      </c>
      <c r="LB21" s="475" t="s">
        <v>721</v>
      </c>
      <c r="LC21" s="475" t="s">
        <v>721</v>
      </c>
      <c r="LD21" s="475" t="s">
        <v>721</v>
      </c>
      <c r="LE21" s="475" t="s">
        <v>721</v>
      </c>
      <c r="LF21" s="475" t="s">
        <v>721</v>
      </c>
      <c r="LG21" s="475" t="s">
        <v>721</v>
      </c>
      <c r="LH21" s="475" t="s">
        <v>721</v>
      </c>
      <c r="LI21" s="475" t="s">
        <v>721</v>
      </c>
      <c r="LJ21" s="475" t="s">
        <v>721</v>
      </c>
      <c r="LK21" s="475" t="s">
        <v>721</v>
      </c>
      <c r="LL21" s="475" t="s">
        <v>721</v>
      </c>
      <c r="LM21" s="475" t="s">
        <v>721</v>
      </c>
      <c r="LN21" s="475" t="s">
        <v>721</v>
      </c>
      <c r="LO21" s="475" t="s">
        <v>721</v>
      </c>
      <c r="LP21" s="475" t="s">
        <v>721</v>
      </c>
      <c r="LQ21" s="475">
        <v>190</v>
      </c>
      <c r="LR21" s="475">
        <v>11</v>
      </c>
      <c r="LS21" s="475" t="s">
        <v>721</v>
      </c>
      <c r="LT21" s="475" t="s">
        <v>721</v>
      </c>
      <c r="LU21" s="475">
        <v>11</v>
      </c>
      <c r="LV21" s="475" t="s">
        <v>721</v>
      </c>
      <c r="LW21" s="475" t="s">
        <v>721</v>
      </c>
      <c r="LX21" s="475" t="s">
        <v>721</v>
      </c>
      <c r="LY21" s="475" t="s">
        <v>721</v>
      </c>
      <c r="LZ21" s="475" t="s">
        <v>721</v>
      </c>
      <c r="MA21" s="475" t="s">
        <v>721</v>
      </c>
      <c r="MB21" s="475" t="s">
        <v>721</v>
      </c>
      <c r="MC21" s="475" t="s">
        <v>721</v>
      </c>
      <c r="MD21" s="475" t="s">
        <v>721</v>
      </c>
      <c r="ME21" s="475" t="s">
        <v>721</v>
      </c>
      <c r="MF21" s="475" t="s">
        <v>721</v>
      </c>
      <c r="MG21" s="475" t="s">
        <v>721</v>
      </c>
      <c r="MH21" s="475" t="s">
        <v>721</v>
      </c>
      <c r="MI21" s="475" t="s">
        <v>721</v>
      </c>
      <c r="MJ21" s="475">
        <v>43</v>
      </c>
      <c r="MK21" s="475" t="s">
        <v>721</v>
      </c>
      <c r="ML21" s="475" t="s">
        <v>721</v>
      </c>
      <c r="MM21" s="475" t="s">
        <v>721</v>
      </c>
      <c r="MN21" s="475" t="s">
        <v>721</v>
      </c>
      <c r="MO21" s="475" t="s">
        <v>721</v>
      </c>
      <c r="MP21" s="475" t="s">
        <v>721</v>
      </c>
      <c r="MQ21" s="475" t="s">
        <v>721</v>
      </c>
      <c r="MR21" s="475" t="s">
        <v>721</v>
      </c>
      <c r="MS21" s="475" t="s">
        <v>721</v>
      </c>
      <c r="MT21" s="475" t="s">
        <v>721</v>
      </c>
      <c r="MU21" s="475" t="s">
        <v>721</v>
      </c>
      <c r="MV21" s="475" t="s">
        <v>721</v>
      </c>
      <c r="MW21" s="475" t="s">
        <v>721</v>
      </c>
      <c r="MX21" s="475" t="s">
        <v>721</v>
      </c>
      <c r="MY21" s="475" t="s">
        <v>721</v>
      </c>
      <c r="MZ21" s="475" t="s">
        <v>721</v>
      </c>
      <c r="NA21" s="475" t="s">
        <v>721</v>
      </c>
      <c r="NB21" s="475" t="s">
        <v>721</v>
      </c>
      <c r="NC21" s="476">
        <v>0.56399999999999995</v>
      </c>
      <c r="ND21" s="476">
        <v>0.436</v>
      </c>
      <c r="NE21" s="476">
        <v>0.81100000000000005</v>
      </c>
      <c r="NF21" s="476">
        <v>5.3999999999999999E-2</v>
      </c>
      <c r="NG21" s="476" t="s">
        <v>721</v>
      </c>
      <c r="NH21" s="476" t="s">
        <v>721</v>
      </c>
      <c r="NI21" s="476">
        <v>4.3999999999999997E-2</v>
      </c>
      <c r="NJ21" s="476" t="s">
        <v>721</v>
      </c>
      <c r="NK21" s="476" t="s">
        <v>721</v>
      </c>
      <c r="NL21" s="476" t="s">
        <v>721</v>
      </c>
      <c r="NM21" s="476" t="s">
        <v>721</v>
      </c>
      <c r="NN21" s="476" t="s">
        <v>721</v>
      </c>
      <c r="NO21" s="476" t="s">
        <v>721</v>
      </c>
      <c r="NP21" s="476" t="s">
        <v>721</v>
      </c>
      <c r="NQ21" s="476" t="s">
        <v>721</v>
      </c>
      <c r="NR21" s="476" t="s">
        <v>721</v>
      </c>
      <c r="NS21" s="476" t="s">
        <v>721</v>
      </c>
      <c r="NT21" s="476" t="s">
        <v>721</v>
      </c>
      <c r="NU21" s="476" t="s">
        <v>721</v>
      </c>
      <c r="NV21" s="476" t="s">
        <v>721</v>
      </c>
      <c r="NW21" s="476" t="s">
        <v>721</v>
      </c>
      <c r="NX21" s="476" t="s">
        <v>721</v>
      </c>
      <c r="NY21" s="476" t="s">
        <v>721</v>
      </c>
      <c r="NZ21" s="476" t="s">
        <v>721</v>
      </c>
      <c r="OA21" s="476" t="s">
        <v>721</v>
      </c>
      <c r="OB21" s="476" t="s">
        <v>721</v>
      </c>
      <c r="OC21" s="476" t="s">
        <v>721</v>
      </c>
      <c r="OD21" s="476" t="s">
        <v>721</v>
      </c>
      <c r="OE21" s="476">
        <v>0.97</v>
      </c>
      <c r="OF21" s="476" t="s">
        <v>721</v>
      </c>
      <c r="OG21" s="476" t="s">
        <v>721</v>
      </c>
      <c r="OH21" s="476" t="s">
        <v>721</v>
      </c>
      <c r="OI21" s="476" t="s">
        <v>721</v>
      </c>
      <c r="OJ21" s="476" t="s">
        <v>721</v>
      </c>
      <c r="OK21" s="476" t="s">
        <v>721</v>
      </c>
      <c r="OL21" s="476" t="s">
        <v>721</v>
      </c>
      <c r="OM21" s="476" t="s">
        <v>721</v>
      </c>
      <c r="ON21" s="476" t="s">
        <v>721</v>
      </c>
      <c r="OO21" s="476" t="s">
        <v>721</v>
      </c>
      <c r="OP21" s="476" t="s">
        <v>721</v>
      </c>
      <c r="OQ21" s="476" t="s">
        <v>721</v>
      </c>
      <c r="OR21" s="476" t="s">
        <v>721</v>
      </c>
      <c r="OS21" s="476" t="s">
        <v>721</v>
      </c>
      <c r="OT21" s="476" t="s">
        <v>721</v>
      </c>
      <c r="OU21" s="476" t="s">
        <v>721</v>
      </c>
      <c r="OV21" s="476" t="s">
        <v>721</v>
      </c>
      <c r="OW21" s="476" t="s">
        <v>721</v>
      </c>
      <c r="OX21" s="476" t="s">
        <v>721</v>
      </c>
      <c r="OY21" s="476" t="s">
        <v>721</v>
      </c>
      <c r="OZ21" s="476" t="s">
        <v>721</v>
      </c>
      <c r="PA21" s="476" t="s">
        <v>721</v>
      </c>
      <c r="PB21" s="476" t="s">
        <v>721</v>
      </c>
      <c r="PC21" s="476" t="s">
        <v>721</v>
      </c>
      <c r="PD21" s="476" t="s">
        <v>721</v>
      </c>
      <c r="PE21" s="476" t="s">
        <v>721</v>
      </c>
      <c r="PF21" s="476" t="s">
        <v>721</v>
      </c>
      <c r="PG21" s="476" t="s">
        <v>721</v>
      </c>
      <c r="PH21" s="476" t="s">
        <v>721</v>
      </c>
      <c r="PI21" s="476" t="s">
        <v>721</v>
      </c>
      <c r="PJ21" s="476" t="s">
        <v>721</v>
      </c>
      <c r="PK21" s="476" t="s">
        <v>721</v>
      </c>
      <c r="PL21" s="476">
        <v>0.96599999999999997</v>
      </c>
      <c r="PM21" s="476" t="s">
        <v>721</v>
      </c>
      <c r="PN21" s="476" t="s">
        <v>721</v>
      </c>
      <c r="PO21" s="476" t="s">
        <v>721</v>
      </c>
      <c r="PP21" s="476" t="s">
        <v>721</v>
      </c>
      <c r="PQ21" s="476" t="s">
        <v>721</v>
      </c>
      <c r="PR21" s="476" t="s">
        <v>721</v>
      </c>
      <c r="PS21" s="476" t="s">
        <v>721</v>
      </c>
      <c r="PT21" s="476" t="s">
        <v>721</v>
      </c>
      <c r="PU21" s="476" t="s">
        <v>721</v>
      </c>
      <c r="PV21" s="476" t="s">
        <v>721</v>
      </c>
      <c r="PW21" s="476" t="s">
        <v>721</v>
      </c>
      <c r="PX21" s="476" t="s">
        <v>721</v>
      </c>
      <c r="PY21" s="476" t="s">
        <v>721</v>
      </c>
      <c r="PZ21" s="476" t="s">
        <v>721</v>
      </c>
      <c r="QA21" s="476" t="s">
        <v>721</v>
      </c>
      <c r="QB21" s="476" t="s">
        <v>721</v>
      </c>
      <c r="QC21" s="476" t="s">
        <v>721</v>
      </c>
      <c r="QD21" s="476" t="s">
        <v>721</v>
      </c>
      <c r="QE21" s="476" t="s">
        <v>721</v>
      </c>
      <c r="QF21" s="476" t="s">
        <v>721</v>
      </c>
      <c r="QG21" s="476" t="s">
        <v>721</v>
      </c>
      <c r="QH21" s="476" t="s">
        <v>721</v>
      </c>
      <c r="QI21" s="476" t="s">
        <v>721</v>
      </c>
      <c r="QJ21" s="476" t="s">
        <v>721</v>
      </c>
      <c r="QK21" s="476" t="s">
        <v>721</v>
      </c>
      <c r="QL21" s="476">
        <v>0.78600000000000003</v>
      </c>
      <c r="QM21" s="476" t="s">
        <v>721</v>
      </c>
      <c r="QN21" s="476" t="s">
        <v>721</v>
      </c>
      <c r="QO21" s="476" t="s">
        <v>721</v>
      </c>
      <c r="QP21" s="476" t="s">
        <v>721</v>
      </c>
      <c r="QQ21" s="476" t="s">
        <v>721</v>
      </c>
      <c r="QR21" s="476" t="s">
        <v>721</v>
      </c>
      <c r="QS21" s="476" t="s">
        <v>721</v>
      </c>
      <c r="QT21" s="476" t="s">
        <v>721</v>
      </c>
      <c r="QU21" s="476" t="s">
        <v>721</v>
      </c>
      <c r="QV21" s="476" t="s">
        <v>721</v>
      </c>
      <c r="QW21" s="476" t="s">
        <v>721</v>
      </c>
      <c r="QX21" s="476" t="s">
        <v>721</v>
      </c>
      <c r="QY21" s="476" t="s">
        <v>721</v>
      </c>
      <c r="QZ21" s="476" t="s">
        <v>721</v>
      </c>
      <c r="RA21" s="476" t="s">
        <v>721</v>
      </c>
      <c r="RB21" s="476" t="s">
        <v>721</v>
      </c>
      <c r="RC21" s="476" t="s">
        <v>721</v>
      </c>
      <c r="RD21" s="476" t="s">
        <v>721</v>
      </c>
      <c r="RE21" s="476" t="s">
        <v>721</v>
      </c>
      <c r="RF21" s="476" t="s">
        <v>721</v>
      </c>
      <c r="RG21" s="476" t="s">
        <v>721</v>
      </c>
      <c r="RH21" s="476" t="s">
        <v>721</v>
      </c>
      <c r="RI21" s="476" t="s">
        <v>721</v>
      </c>
      <c r="RJ21" s="476" t="s">
        <v>721</v>
      </c>
      <c r="RK21" s="476" t="s">
        <v>721</v>
      </c>
      <c r="RL21" s="476" t="s">
        <v>721</v>
      </c>
      <c r="RM21" s="476" t="s">
        <v>721</v>
      </c>
      <c r="RN21" s="476" t="s">
        <v>721</v>
      </c>
      <c r="RO21" s="476" t="s">
        <v>721</v>
      </c>
      <c r="RP21" s="476" t="s">
        <v>721</v>
      </c>
      <c r="RQ21" s="476" t="s">
        <v>721</v>
      </c>
      <c r="RR21" s="476" t="s">
        <v>721</v>
      </c>
      <c r="RS21" s="476" t="s">
        <v>721</v>
      </c>
      <c r="RT21" s="476" t="s">
        <v>721</v>
      </c>
      <c r="RU21" s="476" t="s">
        <v>721</v>
      </c>
      <c r="RV21" s="476" t="s">
        <v>721</v>
      </c>
      <c r="RW21" s="476" t="s">
        <v>721</v>
      </c>
      <c r="RX21" s="476">
        <v>0.82699999999999996</v>
      </c>
      <c r="RY21" s="476">
        <v>7.2999999999999995E-2</v>
      </c>
      <c r="RZ21" s="476">
        <v>0.02</v>
      </c>
      <c r="SA21" s="476">
        <v>8.0000000000000002E-3</v>
      </c>
      <c r="SB21" s="476">
        <v>3.6999999999999998E-2</v>
      </c>
      <c r="SC21" s="476">
        <v>1E-3</v>
      </c>
      <c r="SD21" s="476">
        <v>1.7999999999999999E-2</v>
      </c>
      <c r="SE21" s="476" t="s">
        <v>721</v>
      </c>
      <c r="SF21" s="476" t="s">
        <v>721</v>
      </c>
      <c r="SG21" s="476" t="s">
        <v>721</v>
      </c>
      <c r="SH21" s="476" t="s">
        <v>721</v>
      </c>
      <c r="SI21" s="476" t="s">
        <v>721</v>
      </c>
      <c r="SJ21" s="476" t="s">
        <v>721</v>
      </c>
      <c r="SK21" s="476" t="s">
        <v>721</v>
      </c>
      <c r="SL21" s="476" t="s">
        <v>721</v>
      </c>
      <c r="SM21" s="476" t="s">
        <v>721</v>
      </c>
      <c r="SN21" s="476">
        <v>5.0000000000000001E-3</v>
      </c>
      <c r="SO21" s="476">
        <v>3.0000000000000001E-3</v>
      </c>
      <c r="SP21" s="476">
        <v>0.01</v>
      </c>
      <c r="SQ21" s="476">
        <v>0.90200000000000002</v>
      </c>
      <c r="SR21" s="476" t="s">
        <v>721</v>
      </c>
      <c r="SS21" s="476" t="s">
        <v>721</v>
      </c>
      <c r="ST21" s="476" t="s">
        <v>721</v>
      </c>
      <c r="SU21" s="476" t="s">
        <v>721</v>
      </c>
      <c r="SV21" s="476" t="s">
        <v>721</v>
      </c>
      <c r="SW21" s="476" t="s">
        <v>721</v>
      </c>
      <c r="SX21" s="476" t="s">
        <v>721</v>
      </c>
      <c r="SY21" s="476" t="s">
        <v>721</v>
      </c>
      <c r="SZ21" s="476" t="s">
        <v>721</v>
      </c>
      <c r="TA21" s="476" t="s">
        <v>721</v>
      </c>
      <c r="TB21" s="476" t="s">
        <v>721</v>
      </c>
      <c r="TC21" s="476" t="s">
        <v>721</v>
      </c>
      <c r="TD21" s="476" t="s">
        <v>721</v>
      </c>
      <c r="TE21" s="476" t="s">
        <v>721</v>
      </c>
      <c r="TF21" s="476" t="s">
        <v>721</v>
      </c>
      <c r="TG21" s="476" t="s">
        <v>721</v>
      </c>
      <c r="TH21" s="476" t="s">
        <v>721</v>
      </c>
      <c r="TI21" s="476" t="s">
        <v>721</v>
      </c>
      <c r="TJ21" s="476">
        <v>0.74099999999999999</v>
      </c>
      <c r="TK21" s="476" t="s">
        <v>721</v>
      </c>
      <c r="TL21" s="476" t="s">
        <v>721</v>
      </c>
      <c r="TM21" s="476" t="s">
        <v>721</v>
      </c>
      <c r="TN21" s="476" t="s">
        <v>721</v>
      </c>
      <c r="TO21" s="476" t="s">
        <v>721</v>
      </c>
      <c r="TP21" s="476" t="s">
        <v>721</v>
      </c>
      <c r="TQ21" s="476" t="s">
        <v>721</v>
      </c>
      <c r="TR21" s="476" t="s">
        <v>721</v>
      </c>
      <c r="TS21" s="476" t="s">
        <v>721</v>
      </c>
      <c r="TT21" s="476" t="s">
        <v>721</v>
      </c>
      <c r="TU21" s="476" t="s">
        <v>721</v>
      </c>
      <c r="TV21" s="476" t="s">
        <v>721</v>
      </c>
      <c r="TW21" s="476" t="s">
        <v>721</v>
      </c>
      <c r="TX21" s="476" t="s">
        <v>721</v>
      </c>
      <c r="TY21" s="476" t="s">
        <v>721</v>
      </c>
      <c r="TZ21" s="476" t="s">
        <v>721</v>
      </c>
      <c r="UA21" s="476" t="s">
        <v>721</v>
      </c>
      <c r="UB21" s="476" t="s">
        <v>721</v>
      </c>
      <c r="UC21" s="476">
        <v>0.80500000000000005</v>
      </c>
      <c r="UD21" s="476">
        <v>4.7E-2</v>
      </c>
      <c r="UE21" s="476" t="s">
        <v>721</v>
      </c>
      <c r="UF21" s="476" t="s">
        <v>721</v>
      </c>
      <c r="UG21" s="476">
        <v>4.7E-2</v>
      </c>
      <c r="UH21" s="476" t="s">
        <v>721</v>
      </c>
      <c r="UI21" s="476" t="s">
        <v>721</v>
      </c>
      <c r="UJ21" s="476" t="s">
        <v>721</v>
      </c>
      <c r="UK21" s="476" t="s">
        <v>721</v>
      </c>
      <c r="UL21" s="476" t="s">
        <v>721</v>
      </c>
      <c r="UM21" s="476" t="s">
        <v>721</v>
      </c>
      <c r="UN21" s="476" t="s">
        <v>721</v>
      </c>
      <c r="UO21" s="476" t="s">
        <v>721</v>
      </c>
      <c r="UP21" s="476" t="s">
        <v>721</v>
      </c>
      <c r="UQ21" s="476" t="s">
        <v>721</v>
      </c>
      <c r="UR21" s="476" t="s">
        <v>721</v>
      </c>
      <c r="US21" s="476" t="s">
        <v>721</v>
      </c>
      <c r="UT21" s="476" t="s">
        <v>721</v>
      </c>
      <c r="UU21" s="476" t="s">
        <v>721</v>
      </c>
      <c r="UV21" s="476">
        <v>0.81100000000000005</v>
      </c>
      <c r="UW21" s="476" t="s">
        <v>721</v>
      </c>
      <c r="UX21" s="476" t="s">
        <v>721</v>
      </c>
      <c r="UY21" s="476" t="s">
        <v>721</v>
      </c>
      <c r="UZ21" s="476" t="s">
        <v>721</v>
      </c>
      <c r="VA21" s="476" t="s">
        <v>721</v>
      </c>
      <c r="VB21" s="476" t="s">
        <v>721</v>
      </c>
      <c r="VC21" s="476" t="s">
        <v>721</v>
      </c>
      <c r="VD21" s="476" t="s">
        <v>721</v>
      </c>
      <c r="VE21" s="476" t="s">
        <v>721</v>
      </c>
      <c r="VF21" s="476" t="s">
        <v>721</v>
      </c>
      <c r="VG21" s="476" t="s">
        <v>721</v>
      </c>
      <c r="VH21" s="476" t="s">
        <v>721</v>
      </c>
      <c r="VI21" s="476" t="s">
        <v>721</v>
      </c>
      <c r="VJ21" s="476" t="s">
        <v>721</v>
      </c>
      <c r="VK21" s="476" t="s">
        <v>721</v>
      </c>
      <c r="VL21" s="476" t="s">
        <v>721</v>
      </c>
      <c r="VM21" s="476" t="s">
        <v>721</v>
      </c>
      <c r="VN21" s="476" t="s">
        <v>721</v>
      </c>
      <c r="VO21" s="28"/>
      <c r="VP21" s="28"/>
      <c r="VQ21" s="28"/>
      <c r="VR21" s="28"/>
      <c r="VS21" s="28"/>
      <c r="VT21" s="28"/>
      <c r="VU21" s="28"/>
      <c r="VV21" s="28"/>
      <c r="VW21" s="28"/>
      <c r="VX21" s="28"/>
      <c r="VY21" s="28"/>
      <c r="VZ21" s="28"/>
      <c r="WA21" s="28"/>
      <c r="WB21" s="28"/>
      <c r="WC21" s="28"/>
      <c r="WD21" s="28"/>
      <c r="WE21" s="28"/>
      <c r="WF21" s="28"/>
      <c r="WG21" s="28"/>
      <c r="WH21" s="28"/>
      <c r="WI21" s="28"/>
      <c r="WJ21" s="28"/>
      <c r="WK21" s="28"/>
      <c r="WL21" s="28"/>
      <c r="WM21" s="28"/>
      <c r="WN21" s="28"/>
      <c r="WO21" s="28"/>
      <c r="WP21" s="28"/>
      <c r="WQ21" s="28"/>
      <c r="WR21" s="28"/>
      <c r="WS21" s="28"/>
      <c r="WT21" s="28"/>
      <c r="WU21" s="28"/>
      <c r="WV21" s="28"/>
      <c r="WW21" s="28"/>
    </row>
    <row r="22" spans="1:621" s="151" customFormat="1" ht="15.75" customHeight="1" x14ac:dyDescent="0.35">
      <c r="A22" s="477" t="s">
        <v>2</v>
      </c>
      <c r="B22" s="492" t="s">
        <v>32</v>
      </c>
      <c r="C22" s="493">
        <v>17.25</v>
      </c>
      <c r="D22" s="494">
        <v>258278</v>
      </c>
      <c r="E22" s="473">
        <v>28929094.600000001</v>
      </c>
      <c r="F22" s="473">
        <v>112</v>
      </c>
      <c r="G22" s="474">
        <v>258202</v>
      </c>
      <c r="H22" s="474">
        <v>212509</v>
      </c>
      <c r="I22" s="474">
        <v>150769</v>
      </c>
      <c r="J22" s="474">
        <v>122458</v>
      </c>
      <c r="K22" s="474">
        <v>96988</v>
      </c>
      <c r="L22" s="473">
        <v>14534283.5</v>
      </c>
      <c r="M22" s="474">
        <v>161281</v>
      </c>
      <c r="N22" s="473">
        <v>14394811.1</v>
      </c>
      <c r="O22" s="494">
        <v>18153</v>
      </c>
      <c r="P22" s="495">
        <v>3274512.6</v>
      </c>
      <c r="Q22" s="494">
        <v>17408</v>
      </c>
      <c r="R22" s="495">
        <v>589041.6</v>
      </c>
      <c r="S22" s="494">
        <v>102605</v>
      </c>
      <c r="T22" s="495">
        <v>10891369.800000001</v>
      </c>
      <c r="U22" s="494">
        <v>2970</v>
      </c>
      <c r="V22" s="495">
        <v>391530</v>
      </c>
      <c r="W22" s="494">
        <v>152703</v>
      </c>
      <c r="X22" s="495">
        <v>17646194.800000001</v>
      </c>
      <c r="Y22" s="494">
        <v>212946</v>
      </c>
      <c r="Z22" s="494">
        <v>119782</v>
      </c>
      <c r="AA22" s="494">
        <v>152596</v>
      </c>
      <c r="AB22" s="494">
        <v>101740</v>
      </c>
      <c r="AC22" s="494">
        <v>9235</v>
      </c>
      <c r="AD22" s="494">
        <v>35225</v>
      </c>
      <c r="AE22" s="494">
        <v>118574</v>
      </c>
      <c r="AF22" s="495">
        <v>9060343.9000000004</v>
      </c>
      <c r="AG22" s="494">
        <v>126548</v>
      </c>
      <c r="AH22" s="495">
        <v>18945928.5</v>
      </c>
      <c r="AI22" s="494">
        <v>7048</v>
      </c>
      <c r="AJ22" s="495">
        <v>322955.90000000002</v>
      </c>
      <c r="AK22" s="494">
        <v>6099</v>
      </c>
      <c r="AL22" s="495">
        <v>599866.30000000005</v>
      </c>
      <c r="AM22" s="496">
        <v>152184</v>
      </c>
      <c r="AN22" s="496">
        <v>106094</v>
      </c>
      <c r="AO22" s="496">
        <v>76858</v>
      </c>
      <c r="AP22" s="496">
        <v>86705</v>
      </c>
      <c r="AQ22" s="496">
        <v>41804</v>
      </c>
      <c r="AR22" s="496">
        <v>2623</v>
      </c>
      <c r="AS22" s="496">
        <v>410</v>
      </c>
      <c r="AT22" s="496">
        <v>7472</v>
      </c>
      <c r="AU22" s="496">
        <v>766</v>
      </c>
      <c r="AV22" s="496">
        <v>274</v>
      </c>
      <c r="AW22" s="496">
        <v>16920</v>
      </c>
      <c r="AX22" s="496">
        <v>3316</v>
      </c>
      <c r="AY22" s="496">
        <v>363</v>
      </c>
      <c r="AZ22" s="496">
        <v>9321</v>
      </c>
      <c r="BA22" s="496">
        <v>191</v>
      </c>
      <c r="BB22" s="496">
        <v>1070</v>
      </c>
      <c r="BC22" s="496">
        <v>45</v>
      </c>
      <c r="BD22" s="496">
        <v>13</v>
      </c>
      <c r="BE22" s="496">
        <v>84</v>
      </c>
      <c r="BF22" s="496">
        <v>3813</v>
      </c>
      <c r="BG22" s="496">
        <v>6230</v>
      </c>
      <c r="BH22" s="496">
        <v>140</v>
      </c>
      <c r="BI22" s="496">
        <v>58371</v>
      </c>
      <c r="BJ22" s="496">
        <v>8946</v>
      </c>
      <c r="BK22" s="496">
        <v>89</v>
      </c>
      <c r="BL22" s="496">
        <v>8669</v>
      </c>
      <c r="BM22" s="496">
        <v>3934</v>
      </c>
      <c r="BN22" s="496">
        <v>1175</v>
      </c>
      <c r="BO22" s="496">
        <v>108089</v>
      </c>
      <c r="BP22" s="496">
        <v>34</v>
      </c>
      <c r="BQ22" s="496">
        <v>38</v>
      </c>
      <c r="BR22" s="496">
        <v>6567</v>
      </c>
      <c r="BS22" s="496">
        <v>177</v>
      </c>
      <c r="BT22" s="496">
        <v>2972</v>
      </c>
      <c r="BU22" s="496">
        <v>38992</v>
      </c>
      <c r="BV22" s="496">
        <v>16</v>
      </c>
      <c r="BW22" s="496" t="s">
        <v>721</v>
      </c>
      <c r="BX22" s="496" t="s">
        <v>721</v>
      </c>
      <c r="BY22" s="496">
        <v>76</v>
      </c>
      <c r="BZ22" s="496">
        <v>31</v>
      </c>
      <c r="CA22" s="496">
        <v>42</v>
      </c>
      <c r="CB22" s="496">
        <v>12</v>
      </c>
      <c r="CC22" s="496">
        <v>14</v>
      </c>
      <c r="CD22" s="496">
        <v>6907</v>
      </c>
      <c r="CE22" s="496">
        <v>28</v>
      </c>
      <c r="CF22" s="496">
        <v>17</v>
      </c>
      <c r="CG22" s="496">
        <v>1830</v>
      </c>
      <c r="CH22" s="496">
        <v>35</v>
      </c>
      <c r="CI22" s="496">
        <v>303</v>
      </c>
      <c r="CJ22" s="496">
        <v>6905</v>
      </c>
      <c r="CK22" s="496">
        <v>3811</v>
      </c>
      <c r="CL22" s="496">
        <v>25</v>
      </c>
      <c r="CM22" s="496">
        <v>20</v>
      </c>
      <c r="CN22" s="496" t="s">
        <v>721</v>
      </c>
      <c r="CO22" s="496">
        <v>70</v>
      </c>
      <c r="CP22" s="496">
        <v>35003</v>
      </c>
      <c r="CQ22" s="496">
        <v>4830</v>
      </c>
      <c r="CR22" s="496">
        <v>42</v>
      </c>
      <c r="CS22" s="496">
        <v>3795</v>
      </c>
      <c r="CT22" s="496">
        <v>1058</v>
      </c>
      <c r="CU22" s="496">
        <v>241</v>
      </c>
      <c r="CV22" s="496">
        <v>138749</v>
      </c>
      <c r="CW22" s="496">
        <v>1886</v>
      </c>
      <c r="CX22" s="496" t="s">
        <v>721</v>
      </c>
      <c r="CY22" s="496">
        <v>3876</v>
      </c>
      <c r="CZ22" s="496">
        <v>222</v>
      </c>
      <c r="DA22" s="496">
        <v>756</v>
      </c>
      <c r="DB22" s="496">
        <v>15450</v>
      </c>
      <c r="DC22" s="496" t="s">
        <v>721</v>
      </c>
      <c r="DD22" s="496" t="s">
        <v>721</v>
      </c>
      <c r="DE22" s="496" t="s">
        <v>721</v>
      </c>
      <c r="DF22" s="496" t="s">
        <v>721</v>
      </c>
      <c r="DG22" s="496" t="s">
        <v>721</v>
      </c>
      <c r="DH22" s="496">
        <v>16</v>
      </c>
      <c r="DI22" s="496">
        <v>12</v>
      </c>
      <c r="DJ22" s="496" t="s">
        <v>721</v>
      </c>
      <c r="DK22" s="496">
        <v>2352</v>
      </c>
      <c r="DL22" s="496" t="s">
        <v>721</v>
      </c>
      <c r="DM22" s="496" t="s">
        <v>721</v>
      </c>
      <c r="DN22" s="496">
        <v>481</v>
      </c>
      <c r="DO22" s="496">
        <v>18</v>
      </c>
      <c r="DP22" s="496">
        <v>103</v>
      </c>
      <c r="DQ22" s="496">
        <v>2273</v>
      </c>
      <c r="DR22" s="496">
        <v>1651</v>
      </c>
      <c r="DS22" s="483" t="s">
        <v>721</v>
      </c>
      <c r="DT22" s="483" t="s">
        <v>721</v>
      </c>
      <c r="DU22" s="483" t="s">
        <v>721</v>
      </c>
      <c r="DV22" s="496">
        <v>19579</v>
      </c>
      <c r="DW22" s="497">
        <v>2552506.4</v>
      </c>
      <c r="DX22" s="496">
        <v>31510</v>
      </c>
      <c r="DY22" s="497">
        <v>4281801.5</v>
      </c>
      <c r="DZ22" s="496">
        <v>49542</v>
      </c>
      <c r="EA22" s="497">
        <v>5055279.7</v>
      </c>
      <c r="EB22" s="496">
        <v>59587</v>
      </c>
      <c r="EC22" s="497">
        <v>5836711.5999999996</v>
      </c>
      <c r="ED22" s="496">
        <v>57923</v>
      </c>
      <c r="EE22" s="497">
        <v>6095836.5</v>
      </c>
      <c r="EF22" s="496">
        <v>40137</v>
      </c>
      <c r="EG22" s="497">
        <v>5106958.9000000004</v>
      </c>
      <c r="EH22" s="485">
        <v>222592</v>
      </c>
      <c r="EI22" s="486">
        <v>676267.4</v>
      </c>
      <c r="EJ22" s="485">
        <v>224410</v>
      </c>
      <c r="EK22" s="486">
        <v>4978207.2</v>
      </c>
      <c r="EL22" s="485">
        <v>221752</v>
      </c>
      <c r="EM22" s="486">
        <v>1921913.3</v>
      </c>
      <c r="EN22" s="485">
        <v>227612</v>
      </c>
      <c r="EO22" s="486">
        <v>1070449.3</v>
      </c>
      <c r="EP22" s="485">
        <v>221569</v>
      </c>
      <c r="EQ22" s="486">
        <v>611795.19999999995</v>
      </c>
      <c r="ER22" s="485">
        <v>222021</v>
      </c>
      <c r="ES22" s="486">
        <v>438755</v>
      </c>
      <c r="ET22" s="485">
        <v>12</v>
      </c>
      <c r="EU22" s="485">
        <v>190517</v>
      </c>
      <c r="EV22" s="486">
        <v>2842576.2</v>
      </c>
      <c r="EW22" s="485">
        <v>22862</v>
      </c>
      <c r="EX22" s="486">
        <v>154861.29999999999</v>
      </c>
      <c r="EY22" s="485">
        <v>61773</v>
      </c>
      <c r="EZ22" s="486">
        <v>913129.5</v>
      </c>
      <c r="FA22" s="485">
        <v>12230</v>
      </c>
      <c r="FB22" s="486">
        <v>137499.6</v>
      </c>
      <c r="FC22" s="485">
        <v>241814</v>
      </c>
      <c r="FD22" s="486">
        <v>3389898.6</v>
      </c>
      <c r="FE22" s="485">
        <v>239612</v>
      </c>
      <c r="FF22" s="486">
        <v>2057619.3</v>
      </c>
      <c r="FG22" s="485">
        <v>128596</v>
      </c>
      <c r="FH22" s="486">
        <v>1114473.2</v>
      </c>
      <c r="FI22" s="485">
        <v>191618</v>
      </c>
      <c r="FJ22" s="486">
        <v>1361873.2</v>
      </c>
      <c r="FK22" s="485">
        <v>213950</v>
      </c>
      <c r="FL22" s="486">
        <v>782111.2</v>
      </c>
      <c r="FM22" s="485">
        <v>10368</v>
      </c>
      <c r="FN22" s="486">
        <v>29765.1</v>
      </c>
      <c r="FO22" s="485">
        <v>209846</v>
      </c>
      <c r="FP22" s="486">
        <v>1955985.5</v>
      </c>
      <c r="FQ22" s="485">
        <v>216857</v>
      </c>
      <c r="FR22" s="486">
        <v>611675.69999999995</v>
      </c>
      <c r="FS22" s="485">
        <v>2790</v>
      </c>
      <c r="FT22" s="486">
        <v>18660.599999999999</v>
      </c>
      <c r="FU22" s="485">
        <v>2</v>
      </c>
      <c r="FV22" s="486">
        <v>16</v>
      </c>
      <c r="FW22" s="485">
        <v>0</v>
      </c>
      <c r="FX22" s="486">
        <v>0</v>
      </c>
      <c r="FY22" s="485">
        <v>1</v>
      </c>
      <c r="FZ22" s="486">
        <v>0.1</v>
      </c>
      <c r="GA22" s="485">
        <v>0</v>
      </c>
      <c r="GB22" s="485">
        <v>0</v>
      </c>
      <c r="GC22" s="487">
        <v>0</v>
      </c>
      <c r="GD22" s="488">
        <v>764</v>
      </c>
      <c r="GE22" s="488">
        <v>2320</v>
      </c>
      <c r="GF22" s="488">
        <v>50475</v>
      </c>
      <c r="GG22" s="488">
        <v>173</v>
      </c>
      <c r="GH22" s="488">
        <v>60</v>
      </c>
      <c r="GI22" s="488">
        <v>75</v>
      </c>
      <c r="GJ22" s="488">
        <v>10</v>
      </c>
      <c r="GK22" s="488">
        <v>16859</v>
      </c>
      <c r="GL22" s="488">
        <v>36382</v>
      </c>
      <c r="GM22" s="488">
        <v>53559</v>
      </c>
      <c r="GN22" s="488">
        <v>122</v>
      </c>
      <c r="GO22" s="488">
        <v>6625</v>
      </c>
      <c r="GP22" s="488">
        <v>213</v>
      </c>
      <c r="GQ22" s="488">
        <v>2428</v>
      </c>
      <c r="GR22" s="488">
        <v>156</v>
      </c>
      <c r="GS22" s="488">
        <v>2797</v>
      </c>
      <c r="GT22" s="489">
        <v>174078</v>
      </c>
      <c r="GU22" s="488">
        <v>455</v>
      </c>
      <c r="GV22" s="490">
        <v>9</v>
      </c>
      <c r="GW22" s="490">
        <v>270</v>
      </c>
      <c r="GX22" s="490">
        <v>734</v>
      </c>
      <c r="GY22" s="491">
        <v>259</v>
      </c>
      <c r="GZ22" s="491">
        <v>95</v>
      </c>
      <c r="HA22" s="491">
        <v>354</v>
      </c>
      <c r="HB22" s="475">
        <v>31</v>
      </c>
      <c r="HC22" s="475">
        <v>38</v>
      </c>
      <c r="HD22" s="475">
        <v>0</v>
      </c>
      <c r="HE22" s="475">
        <v>13</v>
      </c>
      <c r="HF22" s="475">
        <v>15</v>
      </c>
      <c r="HG22" s="475">
        <v>26</v>
      </c>
      <c r="HH22" s="475">
        <v>65</v>
      </c>
      <c r="HI22" s="475">
        <v>0</v>
      </c>
      <c r="HJ22" s="475">
        <v>0</v>
      </c>
      <c r="HK22" s="475">
        <v>1</v>
      </c>
      <c r="HL22" s="475">
        <v>26</v>
      </c>
      <c r="HM22" s="475">
        <v>12</v>
      </c>
      <c r="HN22" s="475">
        <v>0</v>
      </c>
      <c r="HO22" s="475">
        <v>25</v>
      </c>
      <c r="HP22" s="475">
        <v>4</v>
      </c>
      <c r="HQ22" s="475">
        <v>9</v>
      </c>
      <c r="HR22" s="475">
        <v>857</v>
      </c>
      <c r="HS22" s="475">
        <v>0</v>
      </c>
      <c r="HT22" s="475">
        <v>0</v>
      </c>
      <c r="HU22" s="475">
        <v>0</v>
      </c>
      <c r="HV22" s="475">
        <v>0</v>
      </c>
      <c r="HW22" s="475">
        <v>0</v>
      </c>
      <c r="HX22" s="475">
        <v>0</v>
      </c>
      <c r="HY22" s="475">
        <v>0</v>
      </c>
      <c r="HZ22" s="475">
        <v>1376</v>
      </c>
      <c r="IA22" s="475">
        <v>2755</v>
      </c>
      <c r="IB22" s="475">
        <v>1226</v>
      </c>
      <c r="IC22" s="475">
        <v>113</v>
      </c>
      <c r="ID22" s="475" t="s">
        <v>721</v>
      </c>
      <c r="IE22" s="475">
        <v>188</v>
      </c>
      <c r="IF22" s="475">
        <v>72</v>
      </c>
      <c r="IG22" s="475" t="s">
        <v>721</v>
      </c>
      <c r="IH22" s="475">
        <v>242</v>
      </c>
      <c r="II22" s="475">
        <v>45</v>
      </c>
      <c r="IJ22" s="475">
        <v>17</v>
      </c>
      <c r="IK22" s="475">
        <v>152</v>
      </c>
      <c r="IL22" s="475" t="s">
        <v>721</v>
      </c>
      <c r="IM22" s="475">
        <v>40</v>
      </c>
      <c r="IN22" s="475" t="s">
        <v>721</v>
      </c>
      <c r="IO22" s="475" t="s">
        <v>721</v>
      </c>
      <c r="IP22" s="475" t="s">
        <v>721</v>
      </c>
      <c r="IQ22" s="475">
        <v>56</v>
      </c>
      <c r="IR22" s="475">
        <v>317</v>
      </c>
      <c r="IS22" s="475">
        <v>520</v>
      </c>
      <c r="IT22" s="475">
        <v>1295</v>
      </c>
      <c r="IU22" s="475">
        <v>552</v>
      </c>
      <c r="IV22" s="475">
        <v>40</v>
      </c>
      <c r="IW22" s="475" t="s">
        <v>721</v>
      </c>
      <c r="IX22" s="475">
        <v>69</v>
      </c>
      <c r="IY22" s="475">
        <v>40</v>
      </c>
      <c r="IZ22" s="475" t="s">
        <v>721</v>
      </c>
      <c r="JA22" s="475">
        <v>58</v>
      </c>
      <c r="JB22" s="475" t="s">
        <v>721</v>
      </c>
      <c r="JC22" s="475">
        <v>13</v>
      </c>
      <c r="JD22" s="475">
        <v>35</v>
      </c>
      <c r="JE22" s="475" t="s">
        <v>721</v>
      </c>
      <c r="JF22" s="475">
        <v>19</v>
      </c>
      <c r="JG22" s="475" t="s">
        <v>721</v>
      </c>
      <c r="JH22" s="475" t="s">
        <v>721</v>
      </c>
      <c r="JI22" s="475" t="s">
        <v>721</v>
      </c>
      <c r="JJ22" s="475">
        <v>23</v>
      </c>
      <c r="JK22" s="475">
        <v>115</v>
      </c>
      <c r="JL22" s="755">
        <v>9194384.8000000007</v>
      </c>
      <c r="JM22" s="755">
        <v>9902199.6999999993</v>
      </c>
      <c r="JN22" s="755">
        <v>4727494.3</v>
      </c>
      <c r="JO22" s="755">
        <v>285287.8</v>
      </c>
      <c r="JP22" s="755">
        <v>47151.6</v>
      </c>
      <c r="JQ22" s="755">
        <v>799995.8</v>
      </c>
      <c r="JR22" s="755">
        <v>80128.600000000006</v>
      </c>
      <c r="JS22" s="755">
        <v>28873.7</v>
      </c>
      <c r="JT22" s="755">
        <v>1420866.6</v>
      </c>
      <c r="JU22" s="755">
        <v>312830.40000000002</v>
      </c>
      <c r="JV22" s="755">
        <v>48923.5</v>
      </c>
      <c r="JW22" s="755">
        <v>854588.6</v>
      </c>
      <c r="JX22" s="755">
        <v>21341.9</v>
      </c>
      <c r="JY22" s="755">
        <v>129513.5</v>
      </c>
      <c r="JZ22" s="755">
        <v>5813</v>
      </c>
      <c r="KA22" s="755">
        <v>1457.4</v>
      </c>
      <c r="KB22" s="755">
        <v>8341.2999999999993</v>
      </c>
      <c r="KC22" s="755">
        <v>362122</v>
      </c>
      <c r="KD22" s="755">
        <v>697780.1</v>
      </c>
      <c r="KE22" s="475">
        <v>4638</v>
      </c>
      <c r="KF22" s="475">
        <v>8100</v>
      </c>
      <c r="KG22" s="475">
        <v>2456</v>
      </c>
      <c r="KH22" s="475">
        <v>280</v>
      </c>
      <c r="KI22" s="475">
        <v>28</v>
      </c>
      <c r="KJ22" s="475">
        <v>521</v>
      </c>
      <c r="KK22" s="475">
        <v>52</v>
      </c>
      <c r="KL22" s="475" t="s">
        <v>721</v>
      </c>
      <c r="KM22" s="475">
        <v>394</v>
      </c>
      <c r="KN22" s="475">
        <v>124</v>
      </c>
      <c r="KO22" s="475">
        <v>74</v>
      </c>
      <c r="KP22" s="475">
        <v>362</v>
      </c>
      <c r="KQ22" s="475" t="s">
        <v>721</v>
      </c>
      <c r="KR22" s="475">
        <v>104</v>
      </c>
      <c r="KS22" s="475" t="s">
        <v>721</v>
      </c>
      <c r="KT22" s="475" t="s">
        <v>721</v>
      </c>
      <c r="KU22" s="475" t="s">
        <v>721</v>
      </c>
      <c r="KV22" s="475">
        <v>185</v>
      </c>
      <c r="KW22" s="475">
        <v>815</v>
      </c>
      <c r="KX22" s="475">
        <v>4923</v>
      </c>
      <c r="KY22" s="475">
        <v>7785</v>
      </c>
      <c r="KZ22" s="475">
        <v>1978</v>
      </c>
      <c r="LA22" s="475">
        <v>173</v>
      </c>
      <c r="LB22" s="475">
        <v>41</v>
      </c>
      <c r="LC22" s="475">
        <v>499</v>
      </c>
      <c r="LD22" s="475">
        <v>40</v>
      </c>
      <c r="LE22" s="475">
        <v>12</v>
      </c>
      <c r="LF22" s="475">
        <v>770</v>
      </c>
      <c r="LG22" s="475">
        <v>229</v>
      </c>
      <c r="LH22" s="475">
        <v>24</v>
      </c>
      <c r="LI22" s="475">
        <v>183</v>
      </c>
      <c r="LJ22" s="475">
        <v>15</v>
      </c>
      <c r="LK22" s="475">
        <v>95</v>
      </c>
      <c r="LL22" s="475" t="s">
        <v>721</v>
      </c>
      <c r="LM22" s="475" t="s">
        <v>721</v>
      </c>
      <c r="LN22" s="475" t="s">
        <v>721</v>
      </c>
      <c r="LO22" s="475">
        <v>179</v>
      </c>
      <c r="LP22" s="475">
        <v>448</v>
      </c>
      <c r="LQ22" s="475">
        <v>42013</v>
      </c>
      <c r="LR22" s="475">
        <v>52977</v>
      </c>
      <c r="LS22" s="475">
        <v>27150</v>
      </c>
      <c r="LT22" s="475">
        <v>1818</v>
      </c>
      <c r="LU22" s="475">
        <v>253</v>
      </c>
      <c r="LV22" s="475">
        <v>4798</v>
      </c>
      <c r="LW22" s="475">
        <v>519</v>
      </c>
      <c r="LX22" s="475">
        <v>171</v>
      </c>
      <c r="LY22" s="475">
        <v>13270</v>
      </c>
      <c r="LZ22" s="475">
        <v>2496</v>
      </c>
      <c r="MA22" s="475">
        <v>240</v>
      </c>
      <c r="MB22" s="475">
        <v>7714</v>
      </c>
      <c r="MC22" s="475">
        <v>96</v>
      </c>
      <c r="MD22" s="475">
        <v>589</v>
      </c>
      <c r="ME22" s="475">
        <v>26</v>
      </c>
      <c r="MF22" s="475" t="s">
        <v>721</v>
      </c>
      <c r="MG22" s="475">
        <v>57</v>
      </c>
      <c r="MH22" s="475">
        <v>2643</v>
      </c>
      <c r="MI22" s="475">
        <v>4444</v>
      </c>
      <c r="MJ22" s="475">
        <v>34843</v>
      </c>
      <c r="MK22" s="475">
        <v>33725</v>
      </c>
      <c r="ML22" s="475">
        <v>14652</v>
      </c>
      <c r="MM22" s="475">
        <v>805</v>
      </c>
      <c r="MN22" s="475">
        <v>157</v>
      </c>
      <c r="MO22" s="475">
        <v>2674</v>
      </c>
      <c r="MP22" s="475">
        <v>247</v>
      </c>
      <c r="MQ22" s="475">
        <v>103</v>
      </c>
      <c r="MR22" s="475">
        <v>3650</v>
      </c>
      <c r="MS22" s="475">
        <v>820</v>
      </c>
      <c r="MT22" s="475">
        <v>123</v>
      </c>
      <c r="MU22" s="475">
        <v>1607</v>
      </c>
      <c r="MV22" s="475">
        <v>95</v>
      </c>
      <c r="MW22" s="475">
        <v>481</v>
      </c>
      <c r="MX22" s="475">
        <v>19</v>
      </c>
      <c r="MY22" s="475" t="s">
        <v>721</v>
      </c>
      <c r="MZ22" s="475">
        <v>27</v>
      </c>
      <c r="NA22" s="475">
        <v>1170</v>
      </c>
      <c r="NB22" s="475">
        <v>1784</v>
      </c>
      <c r="NC22" s="476">
        <v>0.58899999999999997</v>
      </c>
      <c r="ND22" s="476">
        <v>0.41099999999999998</v>
      </c>
      <c r="NE22" s="476">
        <v>0.29799999999999999</v>
      </c>
      <c r="NF22" s="476">
        <v>0.33600000000000002</v>
      </c>
      <c r="NG22" s="476">
        <v>0.16200000000000001</v>
      </c>
      <c r="NH22" s="476">
        <v>0.01</v>
      </c>
      <c r="NI22" s="476">
        <v>2E-3</v>
      </c>
      <c r="NJ22" s="476">
        <v>2.9000000000000001E-2</v>
      </c>
      <c r="NK22" s="476">
        <v>3.0000000000000001E-3</v>
      </c>
      <c r="NL22" s="476">
        <v>1E-3</v>
      </c>
      <c r="NM22" s="476">
        <v>6.6000000000000003E-2</v>
      </c>
      <c r="NN22" s="476">
        <v>1.2999999999999999E-2</v>
      </c>
      <c r="NO22" s="476">
        <v>1E-3</v>
      </c>
      <c r="NP22" s="476">
        <v>3.5999999999999997E-2</v>
      </c>
      <c r="NQ22" s="476">
        <v>1E-3</v>
      </c>
      <c r="NR22" s="476">
        <v>4.0000000000000001E-3</v>
      </c>
      <c r="NS22" s="476">
        <v>0</v>
      </c>
      <c r="NT22" s="476">
        <v>0</v>
      </c>
      <c r="NU22" s="476">
        <v>0</v>
      </c>
      <c r="NV22" s="476">
        <v>1.4999999999999999E-2</v>
      </c>
      <c r="NW22" s="476">
        <v>2.4E-2</v>
      </c>
      <c r="NX22" s="476">
        <v>1E-3</v>
      </c>
      <c r="NY22" s="476">
        <v>0.22600000000000001</v>
      </c>
      <c r="NZ22" s="476">
        <v>3.5000000000000003E-2</v>
      </c>
      <c r="OA22" s="476">
        <v>0</v>
      </c>
      <c r="OB22" s="476">
        <v>3.4000000000000002E-2</v>
      </c>
      <c r="OC22" s="476">
        <v>1.4999999999999999E-2</v>
      </c>
      <c r="OD22" s="476">
        <v>5.0000000000000001E-3</v>
      </c>
      <c r="OE22" s="476">
        <v>0.41799999999999998</v>
      </c>
      <c r="OF22" s="476">
        <v>0</v>
      </c>
      <c r="OG22" s="476">
        <v>0</v>
      </c>
      <c r="OH22" s="476">
        <v>2.5000000000000001E-2</v>
      </c>
      <c r="OI22" s="476">
        <v>1E-3</v>
      </c>
      <c r="OJ22" s="476">
        <v>1.2E-2</v>
      </c>
      <c r="OK22" s="476">
        <v>0.151</v>
      </c>
      <c r="OL22" s="476">
        <v>0</v>
      </c>
      <c r="OM22" s="476" t="s">
        <v>721</v>
      </c>
      <c r="ON22" s="476" t="s">
        <v>721</v>
      </c>
      <c r="OO22" s="476">
        <v>0</v>
      </c>
      <c r="OP22" s="476">
        <v>0</v>
      </c>
      <c r="OQ22" s="476">
        <v>0</v>
      </c>
      <c r="OR22" s="476">
        <v>0</v>
      </c>
      <c r="OS22" s="476">
        <v>0</v>
      </c>
      <c r="OT22" s="476">
        <v>2.7E-2</v>
      </c>
      <c r="OU22" s="476">
        <v>0</v>
      </c>
      <c r="OV22" s="476">
        <v>0</v>
      </c>
      <c r="OW22" s="476">
        <v>7.0000000000000001E-3</v>
      </c>
      <c r="OX22" s="476">
        <v>0</v>
      </c>
      <c r="OY22" s="476">
        <v>1E-3</v>
      </c>
      <c r="OZ22" s="476">
        <v>2.7E-2</v>
      </c>
      <c r="PA22" s="476">
        <v>1.4999999999999999E-2</v>
      </c>
      <c r="PB22" s="476">
        <v>0</v>
      </c>
      <c r="PC22" s="476">
        <v>0</v>
      </c>
      <c r="PD22" s="476" t="s">
        <v>721</v>
      </c>
      <c r="PE22" s="476">
        <v>0</v>
      </c>
      <c r="PF22" s="476">
        <v>0.16400000000000001</v>
      </c>
      <c r="PG22" s="476">
        <v>2.3E-2</v>
      </c>
      <c r="PH22" s="476">
        <v>0</v>
      </c>
      <c r="PI22" s="476">
        <v>1.7999999999999999E-2</v>
      </c>
      <c r="PJ22" s="476">
        <v>5.0000000000000001E-3</v>
      </c>
      <c r="PK22" s="476">
        <v>1E-3</v>
      </c>
      <c r="PL22" s="476">
        <v>0.65200000000000002</v>
      </c>
      <c r="PM22" s="476">
        <v>8.9999999999999993E-3</v>
      </c>
      <c r="PN22" s="476" t="s">
        <v>721</v>
      </c>
      <c r="PO22" s="476">
        <v>1.7999999999999999E-2</v>
      </c>
      <c r="PP22" s="476">
        <v>1E-3</v>
      </c>
      <c r="PQ22" s="476">
        <v>4.0000000000000001E-3</v>
      </c>
      <c r="PR22" s="476">
        <v>7.2999999999999995E-2</v>
      </c>
      <c r="PS22" s="476" t="s">
        <v>721</v>
      </c>
      <c r="PT22" s="476" t="s">
        <v>721</v>
      </c>
      <c r="PU22" s="476" t="s">
        <v>721</v>
      </c>
      <c r="PV22" s="476" t="s">
        <v>721</v>
      </c>
      <c r="PW22" s="476" t="s">
        <v>721</v>
      </c>
      <c r="PX22" s="476">
        <v>0</v>
      </c>
      <c r="PY22" s="476">
        <v>0</v>
      </c>
      <c r="PZ22" s="476" t="s">
        <v>721</v>
      </c>
      <c r="QA22" s="476">
        <v>1.0999999999999999E-2</v>
      </c>
      <c r="QB22" s="476" t="s">
        <v>721</v>
      </c>
      <c r="QC22" s="476" t="s">
        <v>721</v>
      </c>
      <c r="QD22" s="476">
        <v>2E-3</v>
      </c>
      <c r="QE22" s="476">
        <v>0</v>
      </c>
      <c r="QF22" s="476">
        <v>0</v>
      </c>
      <c r="QG22" s="476">
        <v>1.0999999999999999E-2</v>
      </c>
      <c r="QH22" s="476">
        <v>8.0000000000000002E-3</v>
      </c>
      <c r="QI22" s="476" t="s">
        <v>721</v>
      </c>
      <c r="QJ22" s="476" t="s">
        <v>721</v>
      </c>
      <c r="QK22" s="476" t="s">
        <v>721</v>
      </c>
      <c r="QL22" s="476">
        <v>0.20799999999999999</v>
      </c>
      <c r="QM22" s="476">
        <v>0.41599999999999998</v>
      </c>
      <c r="QN22" s="476">
        <v>0.185</v>
      </c>
      <c r="QO22" s="476">
        <v>1.7000000000000001E-2</v>
      </c>
      <c r="QP22" s="476" t="s">
        <v>721</v>
      </c>
      <c r="QQ22" s="476">
        <v>2.8000000000000001E-2</v>
      </c>
      <c r="QR22" s="476">
        <v>1.0999999999999999E-2</v>
      </c>
      <c r="QS22" s="476" t="s">
        <v>721</v>
      </c>
      <c r="QT22" s="476">
        <v>3.6999999999999998E-2</v>
      </c>
      <c r="QU22" s="476">
        <v>7.0000000000000001E-3</v>
      </c>
      <c r="QV22" s="476">
        <v>3.0000000000000001E-3</v>
      </c>
      <c r="QW22" s="476">
        <v>2.3E-2</v>
      </c>
      <c r="QX22" s="476" t="s">
        <v>721</v>
      </c>
      <c r="QY22" s="476">
        <v>6.0000000000000001E-3</v>
      </c>
      <c r="QZ22" s="476" t="s">
        <v>721</v>
      </c>
      <c r="RA22" s="476" t="s">
        <v>721</v>
      </c>
      <c r="RB22" s="476" t="s">
        <v>721</v>
      </c>
      <c r="RC22" s="476">
        <v>8.0000000000000002E-3</v>
      </c>
      <c r="RD22" s="476">
        <v>4.8000000000000001E-2</v>
      </c>
      <c r="RE22" s="476">
        <v>0.186</v>
      </c>
      <c r="RF22" s="476">
        <v>0.46300000000000002</v>
      </c>
      <c r="RG22" s="476">
        <v>0.19700000000000001</v>
      </c>
      <c r="RH22" s="476">
        <v>1.4E-2</v>
      </c>
      <c r="RI22" s="476" t="s">
        <v>721</v>
      </c>
      <c r="RJ22" s="476">
        <v>2.5000000000000001E-2</v>
      </c>
      <c r="RK22" s="476">
        <v>1.4E-2</v>
      </c>
      <c r="RL22" s="476" t="s">
        <v>721</v>
      </c>
      <c r="RM22" s="476">
        <v>2.1000000000000001E-2</v>
      </c>
      <c r="RN22" s="476" t="s">
        <v>721</v>
      </c>
      <c r="RO22" s="476">
        <v>5.0000000000000001E-3</v>
      </c>
      <c r="RP22" s="476">
        <v>1.2999999999999999E-2</v>
      </c>
      <c r="RQ22" s="476" t="s">
        <v>721</v>
      </c>
      <c r="RR22" s="476">
        <v>7.0000000000000001E-3</v>
      </c>
      <c r="RS22" s="476" t="s">
        <v>721</v>
      </c>
      <c r="RT22" s="476" t="s">
        <v>721</v>
      </c>
      <c r="RU22" s="476" t="s">
        <v>721</v>
      </c>
      <c r="RV22" s="476">
        <v>8.0000000000000002E-3</v>
      </c>
      <c r="RW22" s="476">
        <v>4.1000000000000002E-2</v>
      </c>
      <c r="RX22" s="476">
        <v>0.318</v>
      </c>
      <c r="RY22" s="476">
        <v>0.34200000000000003</v>
      </c>
      <c r="RZ22" s="476">
        <v>0.16300000000000001</v>
      </c>
      <c r="SA22" s="476">
        <v>0.01</v>
      </c>
      <c r="SB22" s="476">
        <v>2E-3</v>
      </c>
      <c r="SC22" s="476">
        <v>2.8000000000000001E-2</v>
      </c>
      <c r="SD22" s="476">
        <v>3.0000000000000001E-3</v>
      </c>
      <c r="SE22" s="476">
        <v>1E-3</v>
      </c>
      <c r="SF22" s="476">
        <v>4.9000000000000002E-2</v>
      </c>
      <c r="SG22" s="476">
        <v>1.0999999999999999E-2</v>
      </c>
      <c r="SH22" s="476">
        <v>2E-3</v>
      </c>
      <c r="SI22" s="476">
        <v>0.03</v>
      </c>
      <c r="SJ22" s="476">
        <v>1E-3</v>
      </c>
      <c r="SK22" s="476">
        <v>4.0000000000000001E-3</v>
      </c>
      <c r="SL22" s="476">
        <v>0</v>
      </c>
      <c r="SM22" s="476">
        <v>0</v>
      </c>
      <c r="SN22" s="476">
        <v>0</v>
      </c>
      <c r="SO22" s="476">
        <v>1.2999999999999999E-2</v>
      </c>
      <c r="SP22" s="476">
        <v>2.4E-2</v>
      </c>
      <c r="SQ22" s="476">
        <v>0.255</v>
      </c>
      <c r="SR22" s="476">
        <v>0.44600000000000001</v>
      </c>
      <c r="SS22" s="476">
        <v>0.13500000000000001</v>
      </c>
      <c r="ST22" s="476">
        <v>1.4999999999999999E-2</v>
      </c>
      <c r="SU22" s="476">
        <v>2E-3</v>
      </c>
      <c r="SV22" s="476">
        <v>2.9000000000000001E-2</v>
      </c>
      <c r="SW22" s="476">
        <v>3.0000000000000001E-3</v>
      </c>
      <c r="SX22" s="476" t="s">
        <v>721</v>
      </c>
      <c r="SY22" s="476">
        <v>2.1999999999999999E-2</v>
      </c>
      <c r="SZ22" s="476">
        <v>7.0000000000000001E-3</v>
      </c>
      <c r="TA22" s="476">
        <v>4.0000000000000001E-3</v>
      </c>
      <c r="TB22" s="476">
        <v>0.02</v>
      </c>
      <c r="TC22" s="476" t="s">
        <v>721</v>
      </c>
      <c r="TD22" s="476">
        <v>6.0000000000000001E-3</v>
      </c>
      <c r="TE22" s="476" t="s">
        <v>721</v>
      </c>
      <c r="TF22" s="476" t="s">
        <v>721</v>
      </c>
      <c r="TG22" s="476" t="s">
        <v>721</v>
      </c>
      <c r="TH22" s="476">
        <v>0.01</v>
      </c>
      <c r="TI22" s="476">
        <v>4.4999999999999998E-2</v>
      </c>
      <c r="TJ22" s="476">
        <v>0.28299999999999997</v>
      </c>
      <c r="TK22" s="476">
        <v>0.44700000000000001</v>
      </c>
      <c r="TL22" s="476">
        <v>0.114</v>
      </c>
      <c r="TM22" s="476">
        <v>0.01</v>
      </c>
      <c r="TN22" s="476">
        <v>2E-3</v>
      </c>
      <c r="TO22" s="476">
        <v>2.9000000000000001E-2</v>
      </c>
      <c r="TP22" s="476">
        <v>2E-3</v>
      </c>
      <c r="TQ22" s="476">
        <v>1E-3</v>
      </c>
      <c r="TR22" s="476">
        <v>4.3999999999999997E-2</v>
      </c>
      <c r="TS22" s="476">
        <v>1.2999999999999999E-2</v>
      </c>
      <c r="TT22" s="476">
        <v>1E-3</v>
      </c>
      <c r="TU22" s="476">
        <v>1.0999999999999999E-2</v>
      </c>
      <c r="TV22" s="476">
        <v>1E-3</v>
      </c>
      <c r="TW22" s="476">
        <v>5.0000000000000001E-3</v>
      </c>
      <c r="TX22" s="476" t="s">
        <v>721</v>
      </c>
      <c r="TY22" s="476" t="s">
        <v>721</v>
      </c>
      <c r="TZ22" s="476" t="s">
        <v>721</v>
      </c>
      <c r="UA22" s="476">
        <v>0.01</v>
      </c>
      <c r="UB22" s="476">
        <v>2.5999999999999999E-2</v>
      </c>
      <c r="UC22" s="476">
        <v>0.26</v>
      </c>
      <c r="UD22" s="476">
        <v>0.32800000000000001</v>
      </c>
      <c r="UE22" s="476">
        <v>0.16800000000000001</v>
      </c>
      <c r="UF22" s="476">
        <v>1.0999999999999999E-2</v>
      </c>
      <c r="UG22" s="476">
        <v>2E-3</v>
      </c>
      <c r="UH22" s="476">
        <v>0.03</v>
      </c>
      <c r="UI22" s="476">
        <v>3.0000000000000001E-3</v>
      </c>
      <c r="UJ22" s="476">
        <v>1E-3</v>
      </c>
      <c r="UK22" s="476">
        <v>8.2000000000000003E-2</v>
      </c>
      <c r="UL22" s="476">
        <v>1.4999999999999999E-2</v>
      </c>
      <c r="UM22" s="476">
        <v>1E-3</v>
      </c>
      <c r="UN22" s="476">
        <v>4.8000000000000001E-2</v>
      </c>
      <c r="UO22" s="476">
        <v>1E-3</v>
      </c>
      <c r="UP22" s="476">
        <v>4.0000000000000001E-3</v>
      </c>
      <c r="UQ22" s="476">
        <v>0</v>
      </c>
      <c r="UR22" s="476" t="s">
        <v>721</v>
      </c>
      <c r="US22" s="476">
        <v>0</v>
      </c>
      <c r="UT22" s="476">
        <v>1.6E-2</v>
      </c>
      <c r="UU22" s="476">
        <v>2.8000000000000001E-2</v>
      </c>
      <c r="UV22" s="476">
        <v>0.35899999999999999</v>
      </c>
      <c r="UW22" s="476">
        <v>0.34799999999999998</v>
      </c>
      <c r="UX22" s="476">
        <v>0.151</v>
      </c>
      <c r="UY22" s="476">
        <v>8.0000000000000002E-3</v>
      </c>
      <c r="UZ22" s="476">
        <v>2E-3</v>
      </c>
      <c r="VA22" s="476">
        <v>2.8000000000000001E-2</v>
      </c>
      <c r="VB22" s="476">
        <v>3.0000000000000001E-3</v>
      </c>
      <c r="VC22" s="476">
        <v>1E-3</v>
      </c>
      <c r="VD22" s="476">
        <v>3.7999999999999999E-2</v>
      </c>
      <c r="VE22" s="476">
        <v>8.0000000000000002E-3</v>
      </c>
      <c r="VF22" s="476">
        <v>1E-3</v>
      </c>
      <c r="VG22" s="476">
        <v>1.7000000000000001E-2</v>
      </c>
      <c r="VH22" s="476">
        <v>1E-3</v>
      </c>
      <c r="VI22" s="476">
        <v>5.0000000000000001E-3</v>
      </c>
      <c r="VJ22" s="476">
        <v>0</v>
      </c>
      <c r="VK22" s="476" t="s">
        <v>721</v>
      </c>
      <c r="VL22" s="476">
        <v>0</v>
      </c>
      <c r="VM22" s="476">
        <v>1.2E-2</v>
      </c>
      <c r="VN22" s="476">
        <v>1.7999999999999999E-2</v>
      </c>
      <c r="VO22" s="28"/>
      <c r="VP22" s="28"/>
      <c r="VQ22" s="28"/>
      <c r="VR22" s="28"/>
      <c r="VS22" s="28"/>
      <c r="VT22" s="28"/>
      <c r="VU22" s="28"/>
      <c r="VV22" s="28"/>
      <c r="VW22" s="28"/>
      <c r="VX22" s="28"/>
      <c r="VY22" s="28"/>
      <c r="VZ22" s="28"/>
      <c r="WA22" s="28"/>
      <c r="WB22" s="28"/>
      <c r="WC22" s="28"/>
      <c r="WD22" s="28"/>
      <c r="WE22" s="28"/>
      <c r="WF22" s="28"/>
      <c r="WG22" s="28"/>
      <c r="WH22" s="28"/>
      <c r="WI22" s="28"/>
      <c r="WJ22" s="28"/>
      <c r="WK22" s="28"/>
      <c r="WL22" s="28"/>
      <c r="WM22" s="28"/>
      <c r="WN22" s="28"/>
      <c r="WO22" s="28"/>
      <c r="WP22" s="28"/>
      <c r="WQ22" s="28"/>
      <c r="WR22" s="28"/>
      <c r="WS22" s="28"/>
      <c r="WT22" s="28"/>
      <c r="WU22" s="28"/>
      <c r="WV22" s="28"/>
      <c r="WW22" s="28"/>
    </row>
    <row r="23" spans="1:621" s="151" customFormat="1" ht="15.75" customHeight="1" x14ac:dyDescent="0.35">
      <c r="A23" s="477" t="s">
        <v>33</v>
      </c>
      <c r="B23" s="492" t="s">
        <v>17</v>
      </c>
      <c r="C23" s="493">
        <v>16</v>
      </c>
      <c r="D23" s="494">
        <v>2894</v>
      </c>
      <c r="E23" s="473">
        <v>332648</v>
      </c>
      <c r="F23" s="473">
        <v>114.9</v>
      </c>
      <c r="G23" s="474">
        <v>2859</v>
      </c>
      <c r="H23" s="474">
        <v>2710</v>
      </c>
      <c r="I23" s="474">
        <v>2062</v>
      </c>
      <c r="J23" s="474">
        <v>1681</v>
      </c>
      <c r="K23" s="474">
        <v>1090</v>
      </c>
      <c r="L23" s="473">
        <v>179335.1</v>
      </c>
      <c r="M23" s="474">
        <v>1796</v>
      </c>
      <c r="N23" s="473">
        <v>153312.9</v>
      </c>
      <c r="O23" s="494">
        <v>230</v>
      </c>
      <c r="P23" s="495">
        <v>40627.300000000003</v>
      </c>
      <c r="Q23" s="494">
        <v>394</v>
      </c>
      <c r="R23" s="495">
        <v>14682.7</v>
      </c>
      <c r="S23" s="494">
        <v>916</v>
      </c>
      <c r="T23" s="495">
        <v>98835.1</v>
      </c>
      <c r="U23" s="494">
        <v>32</v>
      </c>
      <c r="V23" s="495">
        <v>4087.2</v>
      </c>
      <c r="W23" s="494">
        <v>1946</v>
      </c>
      <c r="X23" s="495">
        <v>229725.7</v>
      </c>
      <c r="Y23" s="494">
        <v>2739</v>
      </c>
      <c r="Z23" s="494">
        <v>1623</v>
      </c>
      <c r="AA23" s="494">
        <v>1766</v>
      </c>
      <c r="AB23" s="494">
        <v>1274</v>
      </c>
      <c r="AC23" s="494">
        <v>178</v>
      </c>
      <c r="AD23" s="494">
        <v>475</v>
      </c>
      <c r="AE23" s="494">
        <v>1315</v>
      </c>
      <c r="AF23" s="495">
        <v>94430.3</v>
      </c>
      <c r="AG23" s="494">
        <v>1415</v>
      </c>
      <c r="AH23" s="495">
        <v>225994.8</v>
      </c>
      <c r="AI23" s="494">
        <v>83</v>
      </c>
      <c r="AJ23" s="495">
        <v>3583.1</v>
      </c>
      <c r="AK23" s="494">
        <v>73</v>
      </c>
      <c r="AL23" s="495">
        <v>8639.7999999999993</v>
      </c>
      <c r="AM23" s="496">
        <v>1580</v>
      </c>
      <c r="AN23" s="496">
        <v>1314</v>
      </c>
      <c r="AO23" s="496">
        <v>848</v>
      </c>
      <c r="AP23" s="496">
        <v>1627</v>
      </c>
      <c r="AQ23" s="496">
        <v>185</v>
      </c>
      <c r="AR23" s="496">
        <v>18</v>
      </c>
      <c r="AS23" s="496">
        <v>34</v>
      </c>
      <c r="AT23" s="496">
        <v>12</v>
      </c>
      <c r="AU23" s="496">
        <v>53</v>
      </c>
      <c r="AV23" s="496" t="s">
        <v>721</v>
      </c>
      <c r="AW23" s="496" t="s">
        <v>721</v>
      </c>
      <c r="AX23" s="496" t="s">
        <v>721</v>
      </c>
      <c r="AY23" s="496" t="s">
        <v>721</v>
      </c>
      <c r="AZ23" s="496" t="s">
        <v>721</v>
      </c>
      <c r="BA23" s="496" t="s">
        <v>721</v>
      </c>
      <c r="BB23" s="496">
        <v>53</v>
      </c>
      <c r="BC23" s="496" t="s">
        <v>721</v>
      </c>
      <c r="BD23" s="496" t="s">
        <v>721</v>
      </c>
      <c r="BE23" s="496" t="s">
        <v>721</v>
      </c>
      <c r="BF23" s="496" t="s">
        <v>721</v>
      </c>
      <c r="BG23" s="496">
        <v>34</v>
      </c>
      <c r="BH23" s="496" t="s">
        <v>721</v>
      </c>
      <c r="BI23" s="496">
        <v>843</v>
      </c>
      <c r="BJ23" s="496" t="s">
        <v>721</v>
      </c>
      <c r="BK23" s="496" t="s">
        <v>721</v>
      </c>
      <c r="BL23" s="496" t="s">
        <v>721</v>
      </c>
      <c r="BM23" s="496" t="s">
        <v>721</v>
      </c>
      <c r="BN23" s="496">
        <v>24</v>
      </c>
      <c r="BO23" s="496">
        <v>1947</v>
      </c>
      <c r="BP23" s="496" t="s">
        <v>721</v>
      </c>
      <c r="BQ23" s="496" t="s">
        <v>721</v>
      </c>
      <c r="BR23" s="496" t="s">
        <v>721</v>
      </c>
      <c r="BS23" s="496" t="s">
        <v>721</v>
      </c>
      <c r="BT23" s="496" t="s">
        <v>721</v>
      </c>
      <c r="BU23" s="496" t="s">
        <v>721</v>
      </c>
      <c r="BV23" s="496" t="s">
        <v>721</v>
      </c>
      <c r="BW23" s="496" t="s">
        <v>721</v>
      </c>
      <c r="BX23" s="496" t="s">
        <v>721</v>
      </c>
      <c r="BY23" s="496" t="s">
        <v>721</v>
      </c>
      <c r="BZ23" s="496" t="s">
        <v>721</v>
      </c>
      <c r="CA23" s="496" t="s">
        <v>721</v>
      </c>
      <c r="CB23" s="496" t="s">
        <v>721</v>
      </c>
      <c r="CC23" s="496" t="s">
        <v>721</v>
      </c>
      <c r="CD23" s="496" t="s">
        <v>721</v>
      </c>
      <c r="CE23" s="496" t="s">
        <v>721</v>
      </c>
      <c r="CF23" s="496" t="s">
        <v>721</v>
      </c>
      <c r="CG23" s="496" t="s">
        <v>721</v>
      </c>
      <c r="CH23" s="496" t="s">
        <v>721</v>
      </c>
      <c r="CI23" s="496" t="s">
        <v>721</v>
      </c>
      <c r="CJ23" s="496" t="s">
        <v>721</v>
      </c>
      <c r="CK23" s="496" t="s">
        <v>721</v>
      </c>
      <c r="CL23" s="496" t="s">
        <v>721</v>
      </c>
      <c r="CM23" s="496">
        <v>28</v>
      </c>
      <c r="CN23" s="496" t="s">
        <v>721</v>
      </c>
      <c r="CO23" s="496" t="s">
        <v>721</v>
      </c>
      <c r="CP23" s="496">
        <v>422</v>
      </c>
      <c r="CQ23" s="496" t="s">
        <v>721</v>
      </c>
      <c r="CR23" s="496" t="s">
        <v>721</v>
      </c>
      <c r="CS23" s="496" t="s">
        <v>721</v>
      </c>
      <c r="CT23" s="496" t="s">
        <v>721</v>
      </c>
      <c r="CU23" s="496" t="s">
        <v>721</v>
      </c>
      <c r="CV23" s="496">
        <v>2284</v>
      </c>
      <c r="CW23" s="496">
        <v>20</v>
      </c>
      <c r="CX23" s="496" t="s">
        <v>721</v>
      </c>
      <c r="CY23" s="496" t="s">
        <v>721</v>
      </c>
      <c r="CZ23" s="496" t="s">
        <v>721</v>
      </c>
      <c r="DA23" s="496" t="s">
        <v>721</v>
      </c>
      <c r="DB23" s="496" t="s">
        <v>721</v>
      </c>
      <c r="DC23" s="496" t="s">
        <v>721</v>
      </c>
      <c r="DD23" s="496" t="s">
        <v>721</v>
      </c>
      <c r="DE23" s="496" t="s">
        <v>721</v>
      </c>
      <c r="DF23" s="496" t="s">
        <v>721</v>
      </c>
      <c r="DG23" s="496" t="s">
        <v>721</v>
      </c>
      <c r="DH23" s="496" t="s">
        <v>721</v>
      </c>
      <c r="DI23" s="496" t="s">
        <v>721</v>
      </c>
      <c r="DJ23" s="496" t="s">
        <v>721</v>
      </c>
      <c r="DK23" s="496" t="s">
        <v>721</v>
      </c>
      <c r="DL23" s="496" t="s">
        <v>721</v>
      </c>
      <c r="DM23" s="496" t="s">
        <v>721</v>
      </c>
      <c r="DN23" s="496" t="s">
        <v>721</v>
      </c>
      <c r="DO23" s="496" t="s">
        <v>721</v>
      </c>
      <c r="DP23" s="496" t="s">
        <v>721</v>
      </c>
      <c r="DQ23" s="496" t="s">
        <v>721</v>
      </c>
      <c r="DR23" s="496" t="s">
        <v>721</v>
      </c>
      <c r="DS23" s="483" t="s">
        <v>721</v>
      </c>
      <c r="DT23" s="483" t="s">
        <v>721</v>
      </c>
      <c r="DU23" s="483" t="s">
        <v>721</v>
      </c>
      <c r="DV23" s="496">
        <v>257</v>
      </c>
      <c r="DW23" s="497">
        <v>38152.300000000003</v>
      </c>
      <c r="DX23" s="496">
        <v>503</v>
      </c>
      <c r="DY23" s="497">
        <v>66611</v>
      </c>
      <c r="DZ23" s="496">
        <v>725</v>
      </c>
      <c r="EA23" s="497">
        <v>76418.2</v>
      </c>
      <c r="EB23" s="496">
        <v>574</v>
      </c>
      <c r="EC23" s="497">
        <v>56706</v>
      </c>
      <c r="ED23" s="496">
        <v>539</v>
      </c>
      <c r="EE23" s="497">
        <v>56464.7</v>
      </c>
      <c r="EF23" s="496">
        <v>296</v>
      </c>
      <c r="EG23" s="497">
        <v>38295.800000000003</v>
      </c>
      <c r="EH23" s="485">
        <v>2358</v>
      </c>
      <c r="EI23" s="486">
        <v>8135.6</v>
      </c>
      <c r="EJ23" s="485">
        <v>2383</v>
      </c>
      <c r="EK23" s="486">
        <v>55788.4</v>
      </c>
      <c r="EL23" s="485">
        <v>2353</v>
      </c>
      <c r="EM23" s="486">
        <v>21918.6</v>
      </c>
      <c r="EN23" s="485">
        <v>2409</v>
      </c>
      <c r="EO23" s="486">
        <v>12633.1</v>
      </c>
      <c r="EP23" s="485">
        <v>2358</v>
      </c>
      <c r="EQ23" s="486">
        <v>7197.8</v>
      </c>
      <c r="ER23" s="485">
        <v>2367</v>
      </c>
      <c r="ES23" s="486">
        <v>4641.3999999999996</v>
      </c>
      <c r="ET23" s="485">
        <v>0</v>
      </c>
      <c r="EU23" s="485">
        <v>2024</v>
      </c>
      <c r="EV23" s="486">
        <v>34641.699999999997</v>
      </c>
      <c r="EW23" s="485">
        <v>500</v>
      </c>
      <c r="EX23" s="486">
        <v>3091</v>
      </c>
      <c r="EY23" s="485">
        <v>838</v>
      </c>
      <c r="EZ23" s="486">
        <v>11228</v>
      </c>
      <c r="FA23" s="485">
        <v>454</v>
      </c>
      <c r="FB23" s="486">
        <v>4876.3</v>
      </c>
      <c r="FC23" s="485">
        <v>2474</v>
      </c>
      <c r="FD23" s="486">
        <v>31050.400000000001</v>
      </c>
      <c r="FE23" s="485">
        <v>2468</v>
      </c>
      <c r="FF23" s="486">
        <v>21117.3</v>
      </c>
      <c r="FG23" s="485">
        <v>1531</v>
      </c>
      <c r="FH23" s="486">
        <v>13120.1</v>
      </c>
      <c r="FI23" s="485">
        <v>2061</v>
      </c>
      <c r="FJ23" s="486">
        <v>13207.1</v>
      </c>
      <c r="FK23" s="485">
        <v>2109</v>
      </c>
      <c r="FL23" s="486">
        <v>6729.9</v>
      </c>
      <c r="FM23" s="485">
        <v>126</v>
      </c>
      <c r="FN23" s="486">
        <v>313.10000000000002</v>
      </c>
      <c r="FO23" s="485">
        <v>2396</v>
      </c>
      <c r="FP23" s="486">
        <v>18871.8</v>
      </c>
      <c r="FQ23" s="485">
        <v>2228</v>
      </c>
      <c r="FR23" s="486">
        <v>8821.5</v>
      </c>
      <c r="FS23" s="485">
        <v>7</v>
      </c>
      <c r="FT23" s="486">
        <v>30.2</v>
      </c>
      <c r="FU23" s="485">
        <v>0</v>
      </c>
      <c r="FV23" s="486">
        <v>0</v>
      </c>
      <c r="FW23" s="485">
        <v>0</v>
      </c>
      <c r="FX23" s="486">
        <v>0</v>
      </c>
      <c r="FY23" s="485">
        <v>1</v>
      </c>
      <c r="FZ23" s="486">
        <v>2</v>
      </c>
      <c r="GA23" s="485">
        <v>0</v>
      </c>
      <c r="GB23" s="485">
        <v>0</v>
      </c>
      <c r="GC23" s="487">
        <v>0</v>
      </c>
      <c r="GD23" s="488">
        <v>11</v>
      </c>
      <c r="GE23" s="488">
        <v>320</v>
      </c>
      <c r="GF23" s="488">
        <v>1787</v>
      </c>
      <c r="GG23" s="488">
        <v>1</v>
      </c>
      <c r="GH23" s="488">
        <v>1</v>
      </c>
      <c r="GI23" s="488">
        <v>0</v>
      </c>
      <c r="GJ23" s="488">
        <v>0</v>
      </c>
      <c r="GK23" s="488">
        <v>972</v>
      </c>
      <c r="GL23" s="488">
        <v>1144</v>
      </c>
      <c r="GM23" s="488">
        <v>2118</v>
      </c>
      <c r="GN23" s="488">
        <v>72</v>
      </c>
      <c r="GO23" s="488">
        <v>102</v>
      </c>
      <c r="GP23" s="488">
        <v>10</v>
      </c>
      <c r="GQ23" s="488">
        <v>12</v>
      </c>
      <c r="GR23" s="488">
        <v>7</v>
      </c>
      <c r="GS23" s="488">
        <v>29</v>
      </c>
      <c r="GT23" s="489">
        <v>2111</v>
      </c>
      <c r="GU23" s="488">
        <v>4</v>
      </c>
      <c r="GV23" s="490">
        <v>0</v>
      </c>
      <c r="GW23" s="490">
        <v>3</v>
      </c>
      <c r="GX23" s="490">
        <v>7</v>
      </c>
      <c r="GY23" s="491">
        <v>3</v>
      </c>
      <c r="GZ23" s="491">
        <v>1</v>
      </c>
      <c r="HA23" s="491">
        <v>4</v>
      </c>
      <c r="HB23" s="475">
        <v>0</v>
      </c>
      <c r="HC23" s="475">
        <v>1</v>
      </c>
      <c r="HD23" s="475">
        <v>0</v>
      </c>
      <c r="HE23" s="475">
        <v>0</v>
      </c>
      <c r="HF23" s="475">
        <v>0</v>
      </c>
      <c r="HG23" s="475">
        <v>0</v>
      </c>
      <c r="HH23" s="475">
        <v>0</v>
      </c>
      <c r="HI23" s="475">
        <v>0</v>
      </c>
      <c r="HJ23" s="475">
        <v>0</v>
      </c>
      <c r="HK23" s="475">
        <v>0</v>
      </c>
      <c r="HL23" s="475">
        <v>0</v>
      </c>
      <c r="HM23" s="475">
        <v>0</v>
      </c>
      <c r="HN23" s="475">
        <v>0</v>
      </c>
      <c r="HO23" s="475">
        <v>0</v>
      </c>
      <c r="HP23" s="475">
        <v>0</v>
      </c>
      <c r="HQ23" s="475">
        <v>0</v>
      </c>
      <c r="HR23" s="475">
        <v>13</v>
      </c>
      <c r="HS23" s="475">
        <v>0</v>
      </c>
      <c r="HT23" s="475">
        <v>0</v>
      </c>
      <c r="HU23" s="475">
        <v>0</v>
      </c>
      <c r="HV23" s="475">
        <v>0</v>
      </c>
      <c r="HW23" s="475">
        <v>0</v>
      </c>
      <c r="HX23" s="475">
        <v>0</v>
      </c>
      <c r="HY23" s="475">
        <v>0</v>
      </c>
      <c r="HZ23" s="475">
        <v>30</v>
      </c>
      <c r="IA23" s="475">
        <v>49</v>
      </c>
      <c r="IB23" s="475" t="s">
        <v>721</v>
      </c>
      <c r="IC23" s="475" t="s">
        <v>721</v>
      </c>
      <c r="ID23" s="475" t="s">
        <v>721</v>
      </c>
      <c r="IE23" s="475" t="s">
        <v>721</v>
      </c>
      <c r="IF23" s="475" t="s">
        <v>721</v>
      </c>
      <c r="IG23" s="475" t="s">
        <v>721</v>
      </c>
      <c r="IH23" s="475" t="s">
        <v>721</v>
      </c>
      <c r="II23" s="475" t="s">
        <v>721</v>
      </c>
      <c r="IJ23" s="475" t="s">
        <v>721</v>
      </c>
      <c r="IK23" s="475" t="s">
        <v>721</v>
      </c>
      <c r="IL23" s="475" t="s">
        <v>721</v>
      </c>
      <c r="IM23" s="475" t="s">
        <v>721</v>
      </c>
      <c r="IN23" s="475" t="s">
        <v>721</v>
      </c>
      <c r="IO23" s="475" t="s">
        <v>721</v>
      </c>
      <c r="IP23" s="475" t="s">
        <v>721</v>
      </c>
      <c r="IQ23" s="475" t="s">
        <v>721</v>
      </c>
      <c r="IR23" s="475">
        <v>14</v>
      </c>
      <c r="IS23" s="475">
        <v>12</v>
      </c>
      <c r="IT23" s="475" t="s">
        <v>721</v>
      </c>
      <c r="IU23" s="475" t="s">
        <v>721</v>
      </c>
      <c r="IV23" s="475" t="s">
        <v>721</v>
      </c>
      <c r="IW23" s="475" t="s">
        <v>721</v>
      </c>
      <c r="IX23" s="475" t="s">
        <v>721</v>
      </c>
      <c r="IY23" s="475" t="s">
        <v>721</v>
      </c>
      <c r="IZ23" s="475" t="s">
        <v>721</v>
      </c>
      <c r="JA23" s="475" t="s">
        <v>721</v>
      </c>
      <c r="JB23" s="475" t="s">
        <v>721</v>
      </c>
      <c r="JC23" s="475" t="s">
        <v>721</v>
      </c>
      <c r="JD23" s="475" t="s">
        <v>721</v>
      </c>
      <c r="JE23" s="475" t="s">
        <v>721</v>
      </c>
      <c r="JF23" s="475" t="s">
        <v>721</v>
      </c>
      <c r="JG23" s="475" t="s">
        <v>721</v>
      </c>
      <c r="JH23" s="475" t="s">
        <v>721</v>
      </c>
      <c r="JI23" s="475" t="s">
        <v>721</v>
      </c>
      <c r="JJ23" s="475" t="s">
        <v>721</v>
      </c>
      <c r="JK23" s="475" t="s">
        <v>721</v>
      </c>
      <c r="JL23" s="755">
        <v>99094.3</v>
      </c>
      <c r="JM23" s="755">
        <v>184748.6</v>
      </c>
      <c r="JN23" s="755">
        <v>22099.5</v>
      </c>
      <c r="JO23" s="755">
        <v>2369.3000000000002</v>
      </c>
      <c r="JP23" s="755">
        <v>4079.2</v>
      </c>
      <c r="JQ23" s="755">
        <v>1184.5999999999999</v>
      </c>
      <c r="JR23" s="755">
        <v>5720</v>
      </c>
      <c r="JS23" s="755">
        <v>169.2</v>
      </c>
      <c r="JT23" s="755">
        <v>1198.4000000000001</v>
      </c>
      <c r="JU23" s="755">
        <v>559.6</v>
      </c>
      <c r="JV23" s="755">
        <v>388</v>
      </c>
      <c r="JW23" s="755">
        <v>194.6</v>
      </c>
      <c r="JX23" s="755" t="s">
        <v>721</v>
      </c>
      <c r="JY23" s="755">
        <v>6011.1</v>
      </c>
      <c r="JZ23" s="755" t="s">
        <v>721</v>
      </c>
      <c r="KA23" s="755">
        <v>215.2</v>
      </c>
      <c r="KB23" s="755">
        <v>689.1</v>
      </c>
      <c r="KC23" s="755">
        <v>283</v>
      </c>
      <c r="KD23" s="755">
        <v>3644.3</v>
      </c>
      <c r="KE23" s="475">
        <v>86</v>
      </c>
      <c r="KF23" s="475">
        <v>119</v>
      </c>
      <c r="KG23" s="475">
        <v>11</v>
      </c>
      <c r="KH23" s="475" t="s">
        <v>721</v>
      </c>
      <c r="KI23" s="475" t="s">
        <v>721</v>
      </c>
      <c r="KJ23" s="475" t="s">
        <v>721</v>
      </c>
      <c r="KK23" s="475" t="s">
        <v>721</v>
      </c>
      <c r="KL23" s="475" t="s">
        <v>721</v>
      </c>
      <c r="KM23" s="475" t="s">
        <v>721</v>
      </c>
      <c r="KN23" s="475" t="s">
        <v>721</v>
      </c>
      <c r="KO23" s="475" t="s">
        <v>721</v>
      </c>
      <c r="KP23" s="475" t="s">
        <v>721</v>
      </c>
      <c r="KQ23" s="475" t="s">
        <v>721</v>
      </c>
      <c r="KR23" s="475" t="s">
        <v>721</v>
      </c>
      <c r="KS23" s="475" t="s">
        <v>721</v>
      </c>
      <c r="KT23" s="475" t="s">
        <v>721</v>
      </c>
      <c r="KU23" s="475" t="s">
        <v>721</v>
      </c>
      <c r="KV23" s="475" t="s">
        <v>721</v>
      </c>
      <c r="KW23" s="475" t="s">
        <v>721</v>
      </c>
      <c r="KX23" s="475">
        <v>77</v>
      </c>
      <c r="KY23" s="475">
        <v>268</v>
      </c>
      <c r="KZ23" s="475">
        <v>19</v>
      </c>
      <c r="LA23" s="475" t="s">
        <v>721</v>
      </c>
      <c r="LB23" s="475" t="s">
        <v>721</v>
      </c>
      <c r="LC23" s="475" t="s">
        <v>721</v>
      </c>
      <c r="LD23" s="475" t="s">
        <v>721</v>
      </c>
      <c r="LE23" s="475" t="s">
        <v>721</v>
      </c>
      <c r="LF23" s="475" t="s">
        <v>721</v>
      </c>
      <c r="LG23" s="475" t="s">
        <v>721</v>
      </c>
      <c r="LH23" s="475" t="s">
        <v>721</v>
      </c>
      <c r="LI23" s="475" t="s">
        <v>721</v>
      </c>
      <c r="LJ23" s="475" t="s">
        <v>721</v>
      </c>
      <c r="LK23" s="475" t="s">
        <v>721</v>
      </c>
      <c r="LL23" s="475" t="s">
        <v>721</v>
      </c>
      <c r="LM23" s="475" t="s">
        <v>721</v>
      </c>
      <c r="LN23" s="475" t="s">
        <v>721</v>
      </c>
      <c r="LO23" s="475" t="s">
        <v>721</v>
      </c>
      <c r="LP23" s="475" t="s">
        <v>721</v>
      </c>
      <c r="LQ23" s="475">
        <v>567</v>
      </c>
      <c r="LR23" s="475">
        <v>974</v>
      </c>
      <c r="LS23" s="475">
        <v>111</v>
      </c>
      <c r="LT23" s="475">
        <v>12</v>
      </c>
      <c r="LU23" s="475">
        <v>20</v>
      </c>
      <c r="LV23" s="475" t="s">
        <v>721</v>
      </c>
      <c r="LW23" s="475">
        <v>40</v>
      </c>
      <c r="LX23" s="475" t="s">
        <v>721</v>
      </c>
      <c r="LY23" s="475" t="s">
        <v>721</v>
      </c>
      <c r="LZ23" s="475" t="s">
        <v>721</v>
      </c>
      <c r="MA23" s="475" t="s">
        <v>721</v>
      </c>
      <c r="MB23" s="475" t="s">
        <v>721</v>
      </c>
      <c r="MC23" s="475" t="s">
        <v>721</v>
      </c>
      <c r="MD23" s="475">
        <v>25</v>
      </c>
      <c r="ME23" s="475" t="s">
        <v>721</v>
      </c>
      <c r="MF23" s="475" t="s">
        <v>721</v>
      </c>
      <c r="MG23" s="475" t="s">
        <v>721</v>
      </c>
      <c r="MH23" s="475" t="s">
        <v>721</v>
      </c>
      <c r="MI23" s="475">
        <v>22</v>
      </c>
      <c r="MJ23" s="475">
        <v>279</v>
      </c>
      <c r="MK23" s="475">
        <v>648</v>
      </c>
      <c r="ML23" s="475">
        <v>73</v>
      </c>
      <c r="MM23" s="475" t="s">
        <v>721</v>
      </c>
      <c r="MN23" s="475">
        <v>14</v>
      </c>
      <c r="MO23" s="475" t="s">
        <v>721</v>
      </c>
      <c r="MP23" s="475">
        <v>13</v>
      </c>
      <c r="MQ23" s="475" t="s">
        <v>721</v>
      </c>
      <c r="MR23" s="475" t="s">
        <v>721</v>
      </c>
      <c r="MS23" s="475" t="s">
        <v>721</v>
      </c>
      <c r="MT23" s="475" t="s">
        <v>721</v>
      </c>
      <c r="MU23" s="475" t="s">
        <v>721</v>
      </c>
      <c r="MV23" s="475" t="s">
        <v>721</v>
      </c>
      <c r="MW23" s="475">
        <v>28</v>
      </c>
      <c r="MX23" s="475" t="s">
        <v>721</v>
      </c>
      <c r="MY23" s="475" t="s">
        <v>721</v>
      </c>
      <c r="MZ23" s="475" t="s">
        <v>721</v>
      </c>
      <c r="NA23" s="475" t="s">
        <v>721</v>
      </c>
      <c r="NB23" s="475">
        <v>12</v>
      </c>
      <c r="NC23" s="476">
        <v>0.54600000000000004</v>
      </c>
      <c r="ND23" s="476">
        <v>0.45400000000000001</v>
      </c>
      <c r="NE23" s="476">
        <v>0.29299999999999998</v>
      </c>
      <c r="NF23" s="476">
        <v>0.56200000000000006</v>
      </c>
      <c r="NG23" s="476">
        <v>6.5000000000000002E-2</v>
      </c>
      <c r="NH23" s="476">
        <v>6.0000000000000001E-3</v>
      </c>
      <c r="NI23" s="476">
        <v>1.2E-2</v>
      </c>
      <c r="NJ23" s="476">
        <v>4.0000000000000001E-3</v>
      </c>
      <c r="NK23" s="476">
        <v>1.7999999999999999E-2</v>
      </c>
      <c r="NL23" s="476" t="s">
        <v>721</v>
      </c>
      <c r="NM23" s="476" t="s">
        <v>721</v>
      </c>
      <c r="NN23" s="476" t="s">
        <v>721</v>
      </c>
      <c r="NO23" s="476" t="s">
        <v>721</v>
      </c>
      <c r="NP23" s="476" t="s">
        <v>721</v>
      </c>
      <c r="NQ23" s="476" t="s">
        <v>721</v>
      </c>
      <c r="NR23" s="476">
        <v>1.7999999999999999E-2</v>
      </c>
      <c r="NS23" s="476" t="s">
        <v>721</v>
      </c>
      <c r="NT23" s="476" t="s">
        <v>721</v>
      </c>
      <c r="NU23" s="476" t="s">
        <v>721</v>
      </c>
      <c r="NV23" s="476" t="s">
        <v>721</v>
      </c>
      <c r="NW23" s="476">
        <v>1.2E-2</v>
      </c>
      <c r="NX23" s="476" t="s">
        <v>721</v>
      </c>
      <c r="NY23" s="476">
        <v>0.29099999999999998</v>
      </c>
      <c r="NZ23" s="476" t="s">
        <v>721</v>
      </c>
      <c r="OA23" s="476" t="s">
        <v>721</v>
      </c>
      <c r="OB23" s="476" t="s">
        <v>721</v>
      </c>
      <c r="OC23" s="476" t="s">
        <v>721</v>
      </c>
      <c r="OD23" s="476">
        <v>8.0000000000000002E-3</v>
      </c>
      <c r="OE23" s="476">
        <v>0.67300000000000004</v>
      </c>
      <c r="OF23" s="476" t="s">
        <v>721</v>
      </c>
      <c r="OG23" s="476" t="s">
        <v>721</v>
      </c>
      <c r="OH23" s="476" t="s">
        <v>721</v>
      </c>
      <c r="OI23" s="476" t="s">
        <v>721</v>
      </c>
      <c r="OJ23" s="476" t="s">
        <v>721</v>
      </c>
      <c r="OK23" s="476" t="s">
        <v>721</v>
      </c>
      <c r="OL23" s="476" t="s">
        <v>721</v>
      </c>
      <c r="OM23" s="476" t="s">
        <v>721</v>
      </c>
      <c r="ON23" s="476" t="s">
        <v>721</v>
      </c>
      <c r="OO23" s="476" t="s">
        <v>721</v>
      </c>
      <c r="OP23" s="476" t="s">
        <v>721</v>
      </c>
      <c r="OQ23" s="476" t="s">
        <v>721</v>
      </c>
      <c r="OR23" s="476" t="s">
        <v>721</v>
      </c>
      <c r="OS23" s="476" t="s">
        <v>721</v>
      </c>
      <c r="OT23" s="476" t="s">
        <v>721</v>
      </c>
      <c r="OU23" s="476" t="s">
        <v>721</v>
      </c>
      <c r="OV23" s="476" t="s">
        <v>721</v>
      </c>
      <c r="OW23" s="476" t="s">
        <v>721</v>
      </c>
      <c r="OX23" s="476" t="s">
        <v>721</v>
      </c>
      <c r="OY23" s="476" t="s">
        <v>721</v>
      </c>
      <c r="OZ23" s="476" t="s">
        <v>721</v>
      </c>
      <c r="PA23" s="476" t="s">
        <v>721</v>
      </c>
      <c r="PB23" s="476" t="s">
        <v>721</v>
      </c>
      <c r="PC23" s="476">
        <v>0.01</v>
      </c>
      <c r="PD23" s="476" t="s">
        <v>721</v>
      </c>
      <c r="PE23" s="476" t="s">
        <v>721</v>
      </c>
      <c r="PF23" s="476">
        <v>0.154</v>
      </c>
      <c r="PG23" s="476" t="s">
        <v>721</v>
      </c>
      <c r="PH23" s="476" t="s">
        <v>721</v>
      </c>
      <c r="PI23" s="476" t="s">
        <v>721</v>
      </c>
      <c r="PJ23" s="476" t="s">
        <v>721</v>
      </c>
      <c r="PK23" s="476" t="s">
        <v>721</v>
      </c>
      <c r="PL23" s="476">
        <v>0.83399999999999996</v>
      </c>
      <c r="PM23" s="476">
        <v>7.0000000000000001E-3</v>
      </c>
      <c r="PN23" s="476" t="s">
        <v>721</v>
      </c>
      <c r="PO23" s="476" t="s">
        <v>721</v>
      </c>
      <c r="PP23" s="476" t="s">
        <v>721</v>
      </c>
      <c r="PQ23" s="476" t="s">
        <v>721</v>
      </c>
      <c r="PR23" s="476" t="s">
        <v>721</v>
      </c>
      <c r="PS23" s="476" t="s">
        <v>721</v>
      </c>
      <c r="PT23" s="476" t="s">
        <v>721</v>
      </c>
      <c r="PU23" s="476" t="s">
        <v>721</v>
      </c>
      <c r="PV23" s="476" t="s">
        <v>721</v>
      </c>
      <c r="PW23" s="476" t="s">
        <v>721</v>
      </c>
      <c r="PX23" s="476" t="s">
        <v>721</v>
      </c>
      <c r="PY23" s="476" t="s">
        <v>721</v>
      </c>
      <c r="PZ23" s="476" t="s">
        <v>721</v>
      </c>
      <c r="QA23" s="476" t="s">
        <v>721</v>
      </c>
      <c r="QB23" s="476" t="s">
        <v>721</v>
      </c>
      <c r="QC23" s="476" t="s">
        <v>721</v>
      </c>
      <c r="QD23" s="476" t="s">
        <v>721</v>
      </c>
      <c r="QE23" s="476" t="s">
        <v>721</v>
      </c>
      <c r="QF23" s="476" t="s">
        <v>721</v>
      </c>
      <c r="QG23" s="476" t="s">
        <v>721</v>
      </c>
      <c r="QH23" s="476" t="s">
        <v>721</v>
      </c>
      <c r="QI23" s="476" t="s">
        <v>721</v>
      </c>
      <c r="QJ23" s="476" t="s">
        <v>721</v>
      </c>
      <c r="QK23" s="476" t="s">
        <v>721</v>
      </c>
      <c r="QL23" s="476">
        <v>0.29399999999999998</v>
      </c>
      <c r="QM23" s="476">
        <v>0.48</v>
      </c>
      <c r="QN23" s="476" t="s">
        <v>721</v>
      </c>
      <c r="QO23" s="476" t="s">
        <v>721</v>
      </c>
      <c r="QP23" s="476" t="s">
        <v>721</v>
      </c>
      <c r="QQ23" s="476" t="s">
        <v>721</v>
      </c>
      <c r="QR23" s="476" t="s">
        <v>721</v>
      </c>
      <c r="QS23" s="476" t="s">
        <v>721</v>
      </c>
      <c r="QT23" s="476" t="s">
        <v>721</v>
      </c>
      <c r="QU23" s="476" t="s">
        <v>721</v>
      </c>
      <c r="QV23" s="476" t="s">
        <v>721</v>
      </c>
      <c r="QW23" s="476" t="s">
        <v>721</v>
      </c>
      <c r="QX23" s="476" t="s">
        <v>721</v>
      </c>
      <c r="QY23" s="476" t="s">
        <v>721</v>
      </c>
      <c r="QZ23" s="476" t="s">
        <v>721</v>
      </c>
      <c r="RA23" s="476" t="s">
        <v>721</v>
      </c>
      <c r="RB23" s="476" t="s">
        <v>721</v>
      </c>
      <c r="RC23" s="476" t="s">
        <v>721</v>
      </c>
      <c r="RD23" s="476">
        <v>0.13700000000000001</v>
      </c>
      <c r="RE23" s="476">
        <v>0.41399999999999998</v>
      </c>
      <c r="RF23" s="476" t="s">
        <v>721</v>
      </c>
      <c r="RG23" s="476" t="s">
        <v>721</v>
      </c>
      <c r="RH23" s="476" t="s">
        <v>721</v>
      </c>
      <c r="RI23" s="476" t="s">
        <v>721</v>
      </c>
      <c r="RJ23" s="476" t="s">
        <v>721</v>
      </c>
      <c r="RK23" s="476" t="s">
        <v>721</v>
      </c>
      <c r="RL23" s="476" t="s">
        <v>721</v>
      </c>
      <c r="RM23" s="476" t="s">
        <v>721</v>
      </c>
      <c r="RN23" s="476" t="s">
        <v>721</v>
      </c>
      <c r="RO23" s="476" t="s">
        <v>721</v>
      </c>
      <c r="RP23" s="476" t="s">
        <v>721</v>
      </c>
      <c r="RQ23" s="476" t="s">
        <v>721</v>
      </c>
      <c r="RR23" s="476" t="s">
        <v>721</v>
      </c>
      <c r="RS23" s="476" t="s">
        <v>721</v>
      </c>
      <c r="RT23" s="476" t="s">
        <v>721</v>
      </c>
      <c r="RU23" s="476" t="s">
        <v>721</v>
      </c>
      <c r="RV23" s="476" t="s">
        <v>721</v>
      </c>
      <c r="RW23" s="476" t="s">
        <v>721</v>
      </c>
      <c r="RX23" s="476">
        <v>0.29799999999999999</v>
      </c>
      <c r="RY23" s="476">
        <v>0.55500000000000005</v>
      </c>
      <c r="RZ23" s="476">
        <v>6.6000000000000003E-2</v>
      </c>
      <c r="SA23" s="476">
        <v>7.0000000000000001E-3</v>
      </c>
      <c r="SB23" s="476">
        <v>1.2E-2</v>
      </c>
      <c r="SC23" s="476">
        <v>4.0000000000000001E-3</v>
      </c>
      <c r="SD23" s="476">
        <v>1.7000000000000001E-2</v>
      </c>
      <c r="SE23" s="476">
        <v>1E-3</v>
      </c>
      <c r="SF23" s="476">
        <v>4.0000000000000001E-3</v>
      </c>
      <c r="SG23" s="476">
        <v>2E-3</v>
      </c>
      <c r="SH23" s="476">
        <v>1E-3</v>
      </c>
      <c r="SI23" s="476">
        <v>1E-3</v>
      </c>
      <c r="SJ23" s="476" t="s">
        <v>721</v>
      </c>
      <c r="SK23" s="476">
        <v>1.7999999999999999E-2</v>
      </c>
      <c r="SL23" s="476" t="s">
        <v>721</v>
      </c>
      <c r="SM23" s="476">
        <v>1E-3</v>
      </c>
      <c r="SN23" s="476">
        <v>2E-3</v>
      </c>
      <c r="SO23" s="476">
        <v>1E-3</v>
      </c>
      <c r="SP23" s="476">
        <v>1.0999999999999999E-2</v>
      </c>
      <c r="SQ23" s="476">
        <v>0.374</v>
      </c>
      <c r="SR23" s="476">
        <v>0.51700000000000002</v>
      </c>
      <c r="SS23" s="476">
        <v>4.8000000000000001E-2</v>
      </c>
      <c r="ST23" s="476" t="s">
        <v>721</v>
      </c>
      <c r="SU23" s="476" t="s">
        <v>721</v>
      </c>
      <c r="SV23" s="476" t="s">
        <v>721</v>
      </c>
      <c r="SW23" s="476" t="s">
        <v>721</v>
      </c>
      <c r="SX23" s="476" t="s">
        <v>721</v>
      </c>
      <c r="SY23" s="476" t="s">
        <v>721</v>
      </c>
      <c r="SZ23" s="476" t="s">
        <v>721</v>
      </c>
      <c r="TA23" s="476" t="s">
        <v>721</v>
      </c>
      <c r="TB23" s="476" t="s">
        <v>721</v>
      </c>
      <c r="TC23" s="476" t="s">
        <v>721</v>
      </c>
      <c r="TD23" s="476" t="s">
        <v>721</v>
      </c>
      <c r="TE23" s="476" t="s">
        <v>721</v>
      </c>
      <c r="TF23" s="476" t="s">
        <v>721</v>
      </c>
      <c r="TG23" s="476" t="s">
        <v>721</v>
      </c>
      <c r="TH23" s="476" t="s">
        <v>721</v>
      </c>
      <c r="TI23" s="476" t="s">
        <v>721</v>
      </c>
      <c r="TJ23" s="476">
        <v>0.19500000000000001</v>
      </c>
      <c r="TK23" s="476">
        <v>0.68</v>
      </c>
      <c r="TL23" s="476">
        <v>4.8000000000000001E-2</v>
      </c>
      <c r="TM23" s="476" t="s">
        <v>721</v>
      </c>
      <c r="TN23" s="476" t="s">
        <v>721</v>
      </c>
      <c r="TO23" s="476" t="s">
        <v>721</v>
      </c>
      <c r="TP23" s="476" t="s">
        <v>721</v>
      </c>
      <c r="TQ23" s="476" t="s">
        <v>721</v>
      </c>
      <c r="TR23" s="476" t="s">
        <v>721</v>
      </c>
      <c r="TS23" s="476" t="s">
        <v>721</v>
      </c>
      <c r="TT23" s="476" t="s">
        <v>721</v>
      </c>
      <c r="TU23" s="476" t="s">
        <v>721</v>
      </c>
      <c r="TV23" s="476" t="s">
        <v>721</v>
      </c>
      <c r="TW23" s="476" t="s">
        <v>721</v>
      </c>
      <c r="TX23" s="476" t="s">
        <v>721</v>
      </c>
      <c r="TY23" s="476" t="s">
        <v>721</v>
      </c>
      <c r="TZ23" s="476" t="s">
        <v>721</v>
      </c>
      <c r="UA23" s="476" t="s">
        <v>721</v>
      </c>
      <c r="UB23" s="476" t="s">
        <v>721</v>
      </c>
      <c r="UC23" s="476">
        <v>0.316</v>
      </c>
      <c r="UD23" s="476">
        <v>0.54200000000000004</v>
      </c>
      <c r="UE23" s="476">
        <v>6.2E-2</v>
      </c>
      <c r="UF23" s="476">
        <v>7.0000000000000001E-3</v>
      </c>
      <c r="UG23" s="476">
        <v>1.0999999999999999E-2</v>
      </c>
      <c r="UH23" s="476" t="s">
        <v>721</v>
      </c>
      <c r="UI23" s="476">
        <v>2.1999999999999999E-2</v>
      </c>
      <c r="UJ23" s="476" t="s">
        <v>721</v>
      </c>
      <c r="UK23" s="476" t="s">
        <v>721</v>
      </c>
      <c r="UL23" s="476" t="s">
        <v>721</v>
      </c>
      <c r="UM23" s="476" t="s">
        <v>721</v>
      </c>
      <c r="UN23" s="476" t="s">
        <v>721</v>
      </c>
      <c r="UO23" s="476" t="s">
        <v>721</v>
      </c>
      <c r="UP23" s="476">
        <v>1.4E-2</v>
      </c>
      <c r="UQ23" s="476" t="s">
        <v>721</v>
      </c>
      <c r="UR23" s="476" t="s">
        <v>721</v>
      </c>
      <c r="US23" s="476" t="s">
        <v>721</v>
      </c>
      <c r="UT23" s="476" t="s">
        <v>721</v>
      </c>
      <c r="UU23" s="476">
        <v>1.2E-2</v>
      </c>
      <c r="UV23" s="476">
        <v>0.25600000000000001</v>
      </c>
      <c r="UW23" s="476">
        <v>0.59399999999999997</v>
      </c>
      <c r="UX23" s="476">
        <v>6.7000000000000004E-2</v>
      </c>
      <c r="UY23" s="476" t="s">
        <v>721</v>
      </c>
      <c r="UZ23" s="476">
        <v>1.2999999999999999E-2</v>
      </c>
      <c r="VA23" s="476" t="s">
        <v>721</v>
      </c>
      <c r="VB23" s="476">
        <v>1.2E-2</v>
      </c>
      <c r="VC23" s="476" t="s">
        <v>721</v>
      </c>
      <c r="VD23" s="476" t="s">
        <v>721</v>
      </c>
      <c r="VE23" s="476" t="s">
        <v>721</v>
      </c>
      <c r="VF23" s="476" t="s">
        <v>721</v>
      </c>
      <c r="VG23" s="476" t="s">
        <v>721</v>
      </c>
      <c r="VH23" s="476" t="s">
        <v>721</v>
      </c>
      <c r="VI23" s="476">
        <v>2.5999999999999999E-2</v>
      </c>
      <c r="VJ23" s="476" t="s">
        <v>721</v>
      </c>
      <c r="VK23" s="476" t="s">
        <v>721</v>
      </c>
      <c r="VL23" s="476" t="s">
        <v>721</v>
      </c>
      <c r="VM23" s="476" t="s">
        <v>721</v>
      </c>
      <c r="VN23" s="476">
        <v>1.0999999999999999E-2</v>
      </c>
      <c r="VO23" s="28"/>
      <c r="VP23" s="28"/>
      <c r="VQ23" s="28"/>
      <c r="VR23" s="28"/>
      <c r="VS23" s="28"/>
      <c r="VT23" s="28"/>
      <c r="VU23" s="28"/>
      <c r="VV23" s="28"/>
      <c r="VW23" s="28"/>
      <c r="VX23" s="28"/>
      <c r="VY23" s="28"/>
      <c r="VZ23" s="28"/>
      <c r="WA23" s="28"/>
      <c r="WB23" s="28"/>
      <c r="WC23" s="28"/>
      <c r="WD23" s="28"/>
      <c r="WE23" s="28"/>
      <c r="WF23" s="28"/>
      <c r="WG23" s="28"/>
      <c r="WH23" s="28"/>
      <c r="WI23" s="28"/>
      <c r="WJ23" s="28"/>
      <c r="WK23" s="28"/>
      <c r="WL23" s="28"/>
      <c r="WM23" s="28"/>
      <c r="WN23" s="28"/>
      <c r="WO23" s="28"/>
      <c r="WP23" s="28"/>
      <c r="WQ23" s="28"/>
      <c r="WR23" s="28"/>
      <c r="WS23" s="28"/>
      <c r="WT23" s="28"/>
      <c r="WU23" s="28"/>
      <c r="WV23" s="28"/>
      <c r="WW23" s="28"/>
    </row>
    <row r="24" spans="1:621" s="151" customFormat="1" ht="15.75" customHeight="1" x14ac:dyDescent="0.35">
      <c r="A24" s="477" t="s">
        <v>34</v>
      </c>
      <c r="B24" s="492" t="s">
        <v>17</v>
      </c>
      <c r="C24" s="493">
        <v>16.95</v>
      </c>
      <c r="D24" s="494">
        <v>2146</v>
      </c>
      <c r="E24" s="473">
        <v>245896.5</v>
      </c>
      <c r="F24" s="473">
        <v>114.6</v>
      </c>
      <c r="G24" s="474">
        <v>2072</v>
      </c>
      <c r="H24" s="474">
        <v>1922</v>
      </c>
      <c r="I24" s="474">
        <v>1643</v>
      </c>
      <c r="J24" s="474">
        <v>1155</v>
      </c>
      <c r="K24" s="474">
        <v>690</v>
      </c>
      <c r="L24" s="473">
        <v>125417.8</v>
      </c>
      <c r="M24" s="474">
        <v>1433</v>
      </c>
      <c r="N24" s="473">
        <v>120478.7</v>
      </c>
      <c r="O24" s="494">
        <v>247</v>
      </c>
      <c r="P24" s="495">
        <v>43053.7</v>
      </c>
      <c r="Q24" s="494">
        <v>163</v>
      </c>
      <c r="R24" s="495">
        <v>8319.7999999999993</v>
      </c>
      <c r="S24" s="494">
        <v>709</v>
      </c>
      <c r="T24" s="495">
        <v>71962.3</v>
      </c>
      <c r="U24" s="494">
        <v>25</v>
      </c>
      <c r="V24" s="495">
        <v>3760.2</v>
      </c>
      <c r="W24" s="494">
        <v>1412</v>
      </c>
      <c r="X24" s="495">
        <v>170174</v>
      </c>
      <c r="Y24" s="494">
        <v>1923</v>
      </c>
      <c r="Z24" s="494">
        <v>868</v>
      </c>
      <c r="AA24" s="494">
        <v>1121</v>
      </c>
      <c r="AB24" s="494">
        <v>737</v>
      </c>
      <c r="AC24" s="494">
        <v>77</v>
      </c>
      <c r="AD24" s="494">
        <v>448</v>
      </c>
      <c r="AE24" s="494">
        <v>1018</v>
      </c>
      <c r="AF24" s="495">
        <v>66072.5</v>
      </c>
      <c r="AG24" s="494">
        <v>995</v>
      </c>
      <c r="AH24" s="495">
        <v>170307.8</v>
      </c>
      <c r="AI24" s="494">
        <v>39</v>
      </c>
      <c r="AJ24" s="495">
        <v>1778.6</v>
      </c>
      <c r="AK24" s="494">
        <v>71</v>
      </c>
      <c r="AL24" s="495">
        <v>7737.6</v>
      </c>
      <c r="AM24" s="496">
        <v>1264</v>
      </c>
      <c r="AN24" s="496">
        <v>882</v>
      </c>
      <c r="AO24" s="496">
        <v>1255</v>
      </c>
      <c r="AP24" s="496">
        <v>306</v>
      </c>
      <c r="AQ24" s="496">
        <v>198</v>
      </c>
      <c r="AR24" s="496">
        <v>62</v>
      </c>
      <c r="AS24" s="496" t="s">
        <v>721</v>
      </c>
      <c r="AT24" s="496">
        <v>19</v>
      </c>
      <c r="AU24" s="496">
        <v>30</v>
      </c>
      <c r="AV24" s="496" t="s">
        <v>721</v>
      </c>
      <c r="AW24" s="496">
        <v>32</v>
      </c>
      <c r="AX24" s="496" t="s">
        <v>721</v>
      </c>
      <c r="AY24" s="496" t="s">
        <v>721</v>
      </c>
      <c r="AZ24" s="496" t="s">
        <v>721</v>
      </c>
      <c r="BA24" s="496" t="s">
        <v>721</v>
      </c>
      <c r="BB24" s="496">
        <v>23</v>
      </c>
      <c r="BC24" s="496" t="s">
        <v>721</v>
      </c>
      <c r="BD24" s="496" t="s">
        <v>721</v>
      </c>
      <c r="BE24" s="496" t="s">
        <v>721</v>
      </c>
      <c r="BF24" s="496">
        <v>70</v>
      </c>
      <c r="BG24" s="496">
        <v>127</v>
      </c>
      <c r="BH24" s="496" t="s">
        <v>721</v>
      </c>
      <c r="BI24" s="496">
        <v>231</v>
      </c>
      <c r="BJ24" s="496">
        <v>15</v>
      </c>
      <c r="BK24" s="496" t="s">
        <v>721</v>
      </c>
      <c r="BL24" s="496" t="s">
        <v>721</v>
      </c>
      <c r="BM24" s="496" t="s">
        <v>721</v>
      </c>
      <c r="BN24" s="496">
        <v>23</v>
      </c>
      <c r="BO24" s="496">
        <v>1600</v>
      </c>
      <c r="BP24" s="496" t="s">
        <v>721</v>
      </c>
      <c r="BQ24" s="496" t="s">
        <v>721</v>
      </c>
      <c r="BR24" s="496">
        <v>13</v>
      </c>
      <c r="BS24" s="496" t="s">
        <v>721</v>
      </c>
      <c r="BT24" s="496" t="s">
        <v>721</v>
      </c>
      <c r="BU24" s="496" t="s">
        <v>721</v>
      </c>
      <c r="BV24" s="496" t="s">
        <v>721</v>
      </c>
      <c r="BW24" s="496" t="s">
        <v>721</v>
      </c>
      <c r="BX24" s="496" t="s">
        <v>721</v>
      </c>
      <c r="BY24" s="496" t="s">
        <v>721</v>
      </c>
      <c r="BZ24" s="496" t="s">
        <v>721</v>
      </c>
      <c r="CA24" s="496" t="s">
        <v>721</v>
      </c>
      <c r="CB24" s="496" t="s">
        <v>721</v>
      </c>
      <c r="CC24" s="496" t="s">
        <v>721</v>
      </c>
      <c r="CD24" s="496">
        <v>91</v>
      </c>
      <c r="CE24" s="496" t="s">
        <v>721</v>
      </c>
      <c r="CF24" s="496" t="s">
        <v>721</v>
      </c>
      <c r="CG24" s="496" t="s">
        <v>721</v>
      </c>
      <c r="CH24" s="496" t="s">
        <v>721</v>
      </c>
      <c r="CI24" s="496" t="s">
        <v>721</v>
      </c>
      <c r="CJ24" s="496">
        <v>60</v>
      </c>
      <c r="CK24" s="496">
        <v>74</v>
      </c>
      <c r="CL24" s="496" t="s">
        <v>721</v>
      </c>
      <c r="CM24" s="496" t="s">
        <v>721</v>
      </c>
      <c r="CN24" s="496" t="s">
        <v>721</v>
      </c>
      <c r="CO24" s="496" t="s">
        <v>721</v>
      </c>
      <c r="CP24" s="496">
        <v>260</v>
      </c>
      <c r="CQ24" s="496" t="s">
        <v>721</v>
      </c>
      <c r="CR24" s="496" t="s">
        <v>721</v>
      </c>
      <c r="CS24" s="496" t="s">
        <v>721</v>
      </c>
      <c r="CT24" s="496" t="s">
        <v>721</v>
      </c>
      <c r="CU24" s="496" t="s">
        <v>721</v>
      </c>
      <c r="CV24" s="496">
        <v>1500</v>
      </c>
      <c r="CW24" s="496">
        <v>75</v>
      </c>
      <c r="CX24" s="496" t="s">
        <v>721</v>
      </c>
      <c r="CY24" s="496" t="s">
        <v>721</v>
      </c>
      <c r="CZ24" s="496" t="s">
        <v>721</v>
      </c>
      <c r="DA24" s="496" t="s">
        <v>721</v>
      </c>
      <c r="DB24" s="496" t="s">
        <v>721</v>
      </c>
      <c r="DC24" s="496" t="s">
        <v>721</v>
      </c>
      <c r="DD24" s="496" t="s">
        <v>721</v>
      </c>
      <c r="DE24" s="496" t="s">
        <v>721</v>
      </c>
      <c r="DF24" s="496" t="s">
        <v>721</v>
      </c>
      <c r="DG24" s="496" t="s">
        <v>721</v>
      </c>
      <c r="DH24" s="496" t="s">
        <v>721</v>
      </c>
      <c r="DI24" s="496" t="s">
        <v>721</v>
      </c>
      <c r="DJ24" s="496" t="s">
        <v>721</v>
      </c>
      <c r="DK24" s="496">
        <v>38</v>
      </c>
      <c r="DL24" s="496" t="s">
        <v>721</v>
      </c>
      <c r="DM24" s="496" t="s">
        <v>721</v>
      </c>
      <c r="DN24" s="496" t="s">
        <v>721</v>
      </c>
      <c r="DO24" s="496" t="s">
        <v>721</v>
      </c>
      <c r="DP24" s="496" t="s">
        <v>721</v>
      </c>
      <c r="DQ24" s="496" t="s">
        <v>721</v>
      </c>
      <c r="DR24" s="496">
        <v>28</v>
      </c>
      <c r="DS24" s="483" t="s">
        <v>721</v>
      </c>
      <c r="DT24" s="483" t="s">
        <v>721</v>
      </c>
      <c r="DU24" s="483" t="s">
        <v>721</v>
      </c>
      <c r="DV24" s="496">
        <v>184</v>
      </c>
      <c r="DW24" s="497">
        <v>34501.300000000003</v>
      </c>
      <c r="DX24" s="496">
        <v>354</v>
      </c>
      <c r="DY24" s="497">
        <v>54581.9</v>
      </c>
      <c r="DZ24" s="496">
        <v>489</v>
      </c>
      <c r="EA24" s="497">
        <v>46830.3</v>
      </c>
      <c r="EB24" s="496">
        <v>439</v>
      </c>
      <c r="EC24" s="497">
        <v>37121.800000000003</v>
      </c>
      <c r="ED24" s="496">
        <v>403</v>
      </c>
      <c r="EE24" s="497">
        <v>37648</v>
      </c>
      <c r="EF24" s="496">
        <v>277</v>
      </c>
      <c r="EG24" s="497">
        <v>35213.199999999997</v>
      </c>
      <c r="EH24" s="485">
        <v>1854</v>
      </c>
      <c r="EI24" s="486">
        <v>6575.5</v>
      </c>
      <c r="EJ24" s="485">
        <v>1841</v>
      </c>
      <c r="EK24" s="486">
        <v>40711.800000000003</v>
      </c>
      <c r="EL24" s="485">
        <v>1817</v>
      </c>
      <c r="EM24" s="486">
        <v>19699.7</v>
      </c>
      <c r="EN24" s="485">
        <v>1903</v>
      </c>
      <c r="EO24" s="486">
        <v>9666.7000000000007</v>
      </c>
      <c r="EP24" s="485">
        <v>1828</v>
      </c>
      <c r="EQ24" s="486">
        <v>6080.5</v>
      </c>
      <c r="ER24" s="485">
        <v>1808</v>
      </c>
      <c r="ES24" s="486">
        <v>3789</v>
      </c>
      <c r="ET24" s="485">
        <v>0</v>
      </c>
      <c r="EU24" s="485">
        <v>1177</v>
      </c>
      <c r="EV24" s="486">
        <v>19450.5</v>
      </c>
      <c r="EW24" s="485">
        <v>176</v>
      </c>
      <c r="EX24" s="486">
        <v>938</v>
      </c>
      <c r="EY24" s="485">
        <v>696</v>
      </c>
      <c r="EZ24" s="486">
        <v>9428.7000000000007</v>
      </c>
      <c r="FA24" s="485">
        <v>234</v>
      </c>
      <c r="FB24" s="486">
        <v>2513.6</v>
      </c>
      <c r="FC24" s="485">
        <v>1669</v>
      </c>
      <c r="FD24" s="486">
        <v>21954.799999999999</v>
      </c>
      <c r="FE24" s="485">
        <v>1581</v>
      </c>
      <c r="FF24" s="486">
        <v>13177.6</v>
      </c>
      <c r="FG24" s="485">
        <v>1010</v>
      </c>
      <c r="FH24" s="486">
        <v>11243.1</v>
      </c>
      <c r="FI24" s="485">
        <v>1074</v>
      </c>
      <c r="FJ24" s="486">
        <v>7802</v>
      </c>
      <c r="FK24" s="485">
        <v>1288</v>
      </c>
      <c r="FL24" s="486">
        <v>4285</v>
      </c>
      <c r="FM24" s="485">
        <v>106</v>
      </c>
      <c r="FN24" s="486">
        <v>224.3</v>
      </c>
      <c r="FO24" s="485">
        <v>1553</v>
      </c>
      <c r="FP24" s="486">
        <v>13143.9</v>
      </c>
      <c r="FQ24" s="485">
        <v>1588</v>
      </c>
      <c r="FR24" s="486">
        <v>3633.7</v>
      </c>
      <c r="FS24" s="485">
        <v>34</v>
      </c>
      <c r="FT24" s="486">
        <v>350.4</v>
      </c>
      <c r="FU24" s="485">
        <v>0</v>
      </c>
      <c r="FV24" s="486">
        <v>0</v>
      </c>
      <c r="FW24" s="485">
        <v>0</v>
      </c>
      <c r="FX24" s="486">
        <v>0</v>
      </c>
      <c r="FY24" s="485">
        <v>0</v>
      </c>
      <c r="FZ24" s="486">
        <v>0</v>
      </c>
      <c r="GA24" s="485">
        <v>0</v>
      </c>
      <c r="GB24" s="485">
        <v>0</v>
      </c>
      <c r="GC24" s="487">
        <v>0</v>
      </c>
      <c r="GD24" s="488">
        <v>19</v>
      </c>
      <c r="GE24" s="488">
        <v>13</v>
      </c>
      <c r="GF24" s="488">
        <v>578</v>
      </c>
      <c r="GG24" s="488">
        <v>0</v>
      </c>
      <c r="GH24" s="488">
        <v>2</v>
      </c>
      <c r="GI24" s="488">
        <v>0</v>
      </c>
      <c r="GJ24" s="488">
        <v>0</v>
      </c>
      <c r="GK24" s="488">
        <v>122</v>
      </c>
      <c r="GL24" s="488">
        <v>486</v>
      </c>
      <c r="GM24" s="488">
        <v>610</v>
      </c>
      <c r="GN24" s="488">
        <v>28</v>
      </c>
      <c r="GO24" s="488">
        <v>67</v>
      </c>
      <c r="GP24" s="488">
        <v>7</v>
      </c>
      <c r="GQ24" s="488">
        <v>19</v>
      </c>
      <c r="GR24" s="488">
        <v>1</v>
      </c>
      <c r="GS24" s="488">
        <v>27</v>
      </c>
      <c r="GT24" s="489">
        <v>1335</v>
      </c>
      <c r="GU24" s="488">
        <v>3</v>
      </c>
      <c r="GV24" s="490">
        <v>1</v>
      </c>
      <c r="GW24" s="490">
        <v>1</v>
      </c>
      <c r="GX24" s="490">
        <v>5</v>
      </c>
      <c r="GY24" s="491">
        <v>4</v>
      </c>
      <c r="GZ24" s="491">
        <v>0</v>
      </c>
      <c r="HA24" s="491">
        <v>4</v>
      </c>
      <c r="HB24" s="475">
        <v>0</v>
      </c>
      <c r="HC24" s="475">
        <v>1</v>
      </c>
      <c r="HD24" s="475">
        <v>0</v>
      </c>
      <c r="HE24" s="475">
        <v>0</v>
      </c>
      <c r="HF24" s="475">
        <v>0</v>
      </c>
      <c r="HG24" s="475">
        <v>0</v>
      </c>
      <c r="HH24" s="475">
        <v>0</v>
      </c>
      <c r="HI24" s="475">
        <v>0</v>
      </c>
      <c r="HJ24" s="475">
        <v>0</v>
      </c>
      <c r="HK24" s="475">
        <v>0</v>
      </c>
      <c r="HL24" s="475">
        <v>0</v>
      </c>
      <c r="HM24" s="475">
        <v>0</v>
      </c>
      <c r="HN24" s="475">
        <v>0</v>
      </c>
      <c r="HO24" s="475">
        <v>1</v>
      </c>
      <c r="HP24" s="475">
        <v>0</v>
      </c>
      <c r="HQ24" s="475">
        <v>0</v>
      </c>
      <c r="HR24" s="475">
        <v>10</v>
      </c>
      <c r="HS24" s="475">
        <v>0</v>
      </c>
      <c r="HT24" s="475">
        <v>0</v>
      </c>
      <c r="HU24" s="475">
        <v>0</v>
      </c>
      <c r="HV24" s="475">
        <v>0</v>
      </c>
      <c r="HW24" s="475">
        <v>0</v>
      </c>
      <c r="HX24" s="475">
        <v>0</v>
      </c>
      <c r="HY24" s="475">
        <v>0</v>
      </c>
      <c r="HZ24" s="475">
        <v>38</v>
      </c>
      <c r="IA24" s="475">
        <v>13</v>
      </c>
      <c r="IB24" s="475" t="s">
        <v>721</v>
      </c>
      <c r="IC24" s="475" t="s">
        <v>721</v>
      </c>
      <c r="ID24" s="475" t="s">
        <v>721</v>
      </c>
      <c r="IE24" s="475" t="s">
        <v>721</v>
      </c>
      <c r="IF24" s="475" t="s">
        <v>721</v>
      </c>
      <c r="IG24" s="475" t="s">
        <v>721</v>
      </c>
      <c r="IH24" s="475" t="s">
        <v>721</v>
      </c>
      <c r="II24" s="475" t="s">
        <v>721</v>
      </c>
      <c r="IJ24" s="475" t="s">
        <v>721</v>
      </c>
      <c r="IK24" s="475" t="s">
        <v>721</v>
      </c>
      <c r="IL24" s="475" t="s">
        <v>721</v>
      </c>
      <c r="IM24" s="475" t="s">
        <v>721</v>
      </c>
      <c r="IN24" s="475" t="s">
        <v>721</v>
      </c>
      <c r="IO24" s="475" t="s">
        <v>721</v>
      </c>
      <c r="IP24" s="475" t="s">
        <v>721</v>
      </c>
      <c r="IQ24" s="475" t="s">
        <v>721</v>
      </c>
      <c r="IR24" s="475" t="s">
        <v>721</v>
      </c>
      <c r="IS24" s="475">
        <v>16</v>
      </c>
      <c r="IT24" s="475" t="s">
        <v>721</v>
      </c>
      <c r="IU24" s="475" t="s">
        <v>721</v>
      </c>
      <c r="IV24" s="475" t="s">
        <v>721</v>
      </c>
      <c r="IW24" s="475" t="s">
        <v>721</v>
      </c>
      <c r="IX24" s="475" t="s">
        <v>721</v>
      </c>
      <c r="IY24" s="475" t="s">
        <v>721</v>
      </c>
      <c r="IZ24" s="475" t="s">
        <v>721</v>
      </c>
      <c r="JA24" s="475" t="s">
        <v>721</v>
      </c>
      <c r="JB24" s="475" t="s">
        <v>721</v>
      </c>
      <c r="JC24" s="475" t="s">
        <v>721</v>
      </c>
      <c r="JD24" s="475" t="s">
        <v>721</v>
      </c>
      <c r="JE24" s="475" t="s">
        <v>721</v>
      </c>
      <c r="JF24" s="475" t="s">
        <v>721</v>
      </c>
      <c r="JG24" s="475" t="s">
        <v>721</v>
      </c>
      <c r="JH24" s="475" t="s">
        <v>721</v>
      </c>
      <c r="JI24" s="475" t="s">
        <v>721</v>
      </c>
      <c r="JJ24" s="475" t="s">
        <v>721</v>
      </c>
      <c r="JK24" s="475" t="s">
        <v>721</v>
      </c>
      <c r="JL24" s="755">
        <v>143397.79999999999</v>
      </c>
      <c r="JM24" s="755">
        <v>37918.6</v>
      </c>
      <c r="JN24" s="755">
        <v>19547.099999999999</v>
      </c>
      <c r="JO24" s="755">
        <v>7465.2</v>
      </c>
      <c r="JP24" s="755">
        <v>737.6</v>
      </c>
      <c r="JQ24" s="755">
        <v>2143.6</v>
      </c>
      <c r="JR24" s="755">
        <v>3024.5</v>
      </c>
      <c r="JS24" s="755">
        <v>369.2</v>
      </c>
      <c r="JT24" s="755">
        <v>4646.7</v>
      </c>
      <c r="JU24" s="755">
        <v>112.8</v>
      </c>
      <c r="JV24" s="755">
        <v>586.5</v>
      </c>
      <c r="JW24" s="755">
        <v>500.6</v>
      </c>
      <c r="JX24" s="755" t="s">
        <v>721</v>
      </c>
      <c r="JY24" s="755">
        <v>2589.5</v>
      </c>
      <c r="JZ24" s="755">
        <v>352.8</v>
      </c>
      <c r="KA24" s="755" t="s">
        <v>721</v>
      </c>
      <c r="KB24" s="755" t="s">
        <v>721</v>
      </c>
      <c r="KC24" s="755">
        <v>7402.7</v>
      </c>
      <c r="KD24" s="755">
        <v>15101.3</v>
      </c>
      <c r="KE24" s="475">
        <v>143</v>
      </c>
      <c r="KF24" s="475">
        <v>42</v>
      </c>
      <c r="KG24" s="475">
        <v>13</v>
      </c>
      <c r="KH24" s="475" t="s">
        <v>721</v>
      </c>
      <c r="KI24" s="475" t="s">
        <v>721</v>
      </c>
      <c r="KJ24" s="475" t="s">
        <v>721</v>
      </c>
      <c r="KK24" s="475" t="s">
        <v>721</v>
      </c>
      <c r="KL24" s="475" t="s">
        <v>721</v>
      </c>
      <c r="KM24" s="475" t="s">
        <v>721</v>
      </c>
      <c r="KN24" s="475" t="s">
        <v>721</v>
      </c>
      <c r="KO24" s="475" t="s">
        <v>721</v>
      </c>
      <c r="KP24" s="475" t="s">
        <v>721</v>
      </c>
      <c r="KQ24" s="475" t="s">
        <v>721</v>
      </c>
      <c r="KR24" s="475" t="s">
        <v>721</v>
      </c>
      <c r="KS24" s="475" t="s">
        <v>721</v>
      </c>
      <c r="KT24" s="475" t="s">
        <v>721</v>
      </c>
      <c r="KU24" s="475" t="s">
        <v>721</v>
      </c>
      <c r="KV24" s="475" t="s">
        <v>721</v>
      </c>
      <c r="KW24" s="475">
        <v>18</v>
      </c>
      <c r="KX24" s="475">
        <v>85</v>
      </c>
      <c r="KY24" s="475">
        <v>34</v>
      </c>
      <c r="KZ24" s="475">
        <v>11</v>
      </c>
      <c r="LA24" s="475" t="s">
        <v>721</v>
      </c>
      <c r="LB24" s="475" t="s">
        <v>721</v>
      </c>
      <c r="LC24" s="475" t="s">
        <v>721</v>
      </c>
      <c r="LD24" s="475" t="s">
        <v>721</v>
      </c>
      <c r="LE24" s="475" t="s">
        <v>721</v>
      </c>
      <c r="LF24" s="475" t="s">
        <v>721</v>
      </c>
      <c r="LG24" s="475" t="s">
        <v>721</v>
      </c>
      <c r="LH24" s="475" t="s">
        <v>721</v>
      </c>
      <c r="LI24" s="475" t="s">
        <v>721</v>
      </c>
      <c r="LJ24" s="475" t="s">
        <v>721</v>
      </c>
      <c r="LK24" s="475" t="s">
        <v>721</v>
      </c>
      <c r="LL24" s="475" t="s">
        <v>721</v>
      </c>
      <c r="LM24" s="475" t="s">
        <v>721</v>
      </c>
      <c r="LN24" s="475" t="s">
        <v>721</v>
      </c>
      <c r="LO24" s="475" t="s">
        <v>721</v>
      </c>
      <c r="LP24" s="475">
        <v>14</v>
      </c>
      <c r="LQ24" s="475">
        <v>855</v>
      </c>
      <c r="LR24" s="475">
        <v>184</v>
      </c>
      <c r="LS24" s="475">
        <v>151</v>
      </c>
      <c r="LT24" s="475">
        <v>31</v>
      </c>
      <c r="LU24" s="475" t="s">
        <v>721</v>
      </c>
      <c r="LV24" s="475" t="s">
        <v>721</v>
      </c>
      <c r="LW24" s="475">
        <v>26</v>
      </c>
      <c r="LX24" s="475" t="s">
        <v>721</v>
      </c>
      <c r="LY24" s="475">
        <v>12</v>
      </c>
      <c r="LZ24" s="475" t="s">
        <v>721</v>
      </c>
      <c r="MA24" s="475" t="s">
        <v>721</v>
      </c>
      <c r="MB24" s="475" t="s">
        <v>721</v>
      </c>
      <c r="MC24" s="475" t="s">
        <v>721</v>
      </c>
      <c r="MD24" s="475">
        <v>14</v>
      </c>
      <c r="ME24" s="475" t="s">
        <v>721</v>
      </c>
      <c r="MF24" s="475" t="s">
        <v>721</v>
      </c>
      <c r="MG24" s="475" t="s">
        <v>721</v>
      </c>
      <c r="MH24" s="475">
        <v>50</v>
      </c>
      <c r="MI24" s="475">
        <v>84</v>
      </c>
      <c r="MJ24" s="475">
        <v>386</v>
      </c>
      <c r="MK24" s="475">
        <v>120</v>
      </c>
      <c r="ML24" s="475">
        <v>44</v>
      </c>
      <c r="MM24" s="475">
        <v>30</v>
      </c>
      <c r="MN24" s="475" t="s">
        <v>721</v>
      </c>
      <c r="MO24" s="475">
        <v>11</v>
      </c>
      <c r="MP24" s="475" t="s">
        <v>721</v>
      </c>
      <c r="MQ24" s="475" t="s">
        <v>721</v>
      </c>
      <c r="MR24" s="475">
        <v>20</v>
      </c>
      <c r="MS24" s="475" t="s">
        <v>721</v>
      </c>
      <c r="MT24" s="475" t="s">
        <v>721</v>
      </c>
      <c r="MU24" s="475" t="s">
        <v>721</v>
      </c>
      <c r="MV24" s="475" t="s">
        <v>721</v>
      </c>
      <c r="MW24" s="475" t="s">
        <v>721</v>
      </c>
      <c r="MX24" s="475" t="s">
        <v>721</v>
      </c>
      <c r="MY24" s="475" t="s">
        <v>721</v>
      </c>
      <c r="MZ24" s="475" t="s">
        <v>721</v>
      </c>
      <c r="NA24" s="475">
        <v>19</v>
      </c>
      <c r="NB24" s="475">
        <v>41</v>
      </c>
      <c r="NC24" s="476">
        <v>0.58899999999999997</v>
      </c>
      <c r="ND24" s="476">
        <v>0.41099999999999998</v>
      </c>
      <c r="NE24" s="476">
        <v>0.58499999999999996</v>
      </c>
      <c r="NF24" s="476">
        <v>0.14299999999999999</v>
      </c>
      <c r="NG24" s="476">
        <v>9.2999999999999999E-2</v>
      </c>
      <c r="NH24" s="476">
        <v>2.9000000000000001E-2</v>
      </c>
      <c r="NI24" s="476" t="s">
        <v>721</v>
      </c>
      <c r="NJ24" s="476">
        <v>8.9999999999999993E-3</v>
      </c>
      <c r="NK24" s="476">
        <v>1.4E-2</v>
      </c>
      <c r="NL24" s="476" t="s">
        <v>721</v>
      </c>
      <c r="NM24" s="476">
        <v>1.4999999999999999E-2</v>
      </c>
      <c r="NN24" s="476" t="s">
        <v>721</v>
      </c>
      <c r="NO24" s="476" t="s">
        <v>721</v>
      </c>
      <c r="NP24" s="476" t="s">
        <v>721</v>
      </c>
      <c r="NQ24" s="476" t="s">
        <v>721</v>
      </c>
      <c r="NR24" s="476">
        <v>1.0999999999999999E-2</v>
      </c>
      <c r="NS24" s="476" t="s">
        <v>721</v>
      </c>
      <c r="NT24" s="476" t="s">
        <v>721</v>
      </c>
      <c r="NU24" s="476" t="s">
        <v>721</v>
      </c>
      <c r="NV24" s="476">
        <v>3.3000000000000002E-2</v>
      </c>
      <c r="NW24" s="476">
        <v>5.8999999999999997E-2</v>
      </c>
      <c r="NX24" s="476" t="s">
        <v>721</v>
      </c>
      <c r="NY24" s="476">
        <v>0.108</v>
      </c>
      <c r="NZ24" s="476">
        <v>7.0000000000000001E-3</v>
      </c>
      <c r="OA24" s="476" t="s">
        <v>721</v>
      </c>
      <c r="OB24" s="476" t="s">
        <v>721</v>
      </c>
      <c r="OC24" s="476" t="s">
        <v>721</v>
      </c>
      <c r="OD24" s="476">
        <v>1.0999999999999999E-2</v>
      </c>
      <c r="OE24" s="476">
        <v>0.746</v>
      </c>
      <c r="OF24" s="476" t="s">
        <v>721</v>
      </c>
      <c r="OG24" s="476" t="s">
        <v>721</v>
      </c>
      <c r="OH24" s="476">
        <v>6.0000000000000001E-3</v>
      </c>
      <c r="OI24" s="476" t="s">
        <v>721</v>
      </c>
      <c r="OJ24" s="476" t="s">
        <v>721</v>
      </c>
      <c r="OK24" s="476" t="s">
        <v>721</v>
      </c>
      <c r="OL24" s="476" t="s">
        <v>721</v>
      </c>
      <c r="OM24" s="476" t="s">
        <v>721</v>
      </c>
      <c r="ON24" s="476" t="s">
        <v>721</v>
      </c>
      <c r="OO24" s="476" t="s">
        <v>721</v>
      </c>
      <c r="OP24" s="476" t="s">
        <v>721</v>
      </c>
      <c r="OQ24" s="476" t="s">
        <v>721</v>
      </c>
      <c r="OR24" s="476" t="s">
        <v>721</v>
      </c>
      <c r="OS24" s="476" t="s">
        <v>721</v>
      </c>
      <c r="OT24" s="476">
        <v>4.2000000000000003E-2</v>
      </c>
      <c r="OU24" s="476" t="s">
        <v>721</v>
      </c>
      <c r="OV24" s="476" t="s">
        <v>721</v>
      </c>
      <c r="OW24" s="476" t="s">
        <v>721</v>
      </c>
      <c r="OX24" s="476" t="s">
        <v>721</v>
      </c>
      <c r="OY24" s="476" t="s">
        <v>721</v>
      </c>
      <c r="OZ24" s="476">
        <v>2.8000000000000001E-2</v>
      </c>
      <c r="PA24" s="476">
        <v>3.4000000000000002E-2</v>
      </c>
      <c r="PB24" s="476" t="s">
        <v>721</v>
      </c>
      <c r="PC24" s="476" t="s">
        <v>721</v>
      </c>
      <c r="PD24" s="476" t="s">
        <v>721</v>
      </c>
      <c r="PE24" s="476" t="s">
        <v>721</v>
      </c>
      <c r="PF24" s="476">
        <v>0.13500000000000001</v>
      </c>
      <c r="PG24" s="476" t="s">
        <v>721</v>
      </c>
      <c r="PH24" s="476" t="s">
        <v>721</v>
      </c>
      <c r="PI24" s="476" t="s">
        <v>721</v>
      </c>
      <c r="PJ24" s="476" t="s">
        <v>721</v>
      </c>
      <c r="PK24" s="476" t="s">
        <v>721</v>
      </c>
      <c r="PL24" s="476">
        <v>0.78</v>
      </c>
      <c r="PM24" s="476">
        <v>3.9E-2</v>
      </c>
      <c r="PN24" s="476" t="s">
        <v>721</v>
      </c>
      <c r="PO24" s="476" t="s">
        <v>721</v>
      </c>
      <c r="PP24" s="476" t="s">
        <v>721</v>
      </c>
      <c r="PQ24" s="476" t="s">
        <v>721</v>
      </c>
      <c r="PR24" s="476" t="s">
        <v>721</v>
      </c>
      <c r="PS24" s="476" t="s">
        <v>721</v>
      </c>
      <c r="PT24" s="476" t="s">
        <v>721</v>
      </c>
      <c r="PU24" s="476" t="s">
        <v>721</v>
      </c>
      <c r="PV24" s="476" t="s">
        <v>721</v>
      </c>
      <c r="PW24" s="476" t="s">
        <v>721</v>
      </c>
      <c r="PX24" s="476" t="s">
        <v>721</v>
      </c>
      <c r="PY24" s="476" t="s">
        <v>721</v>
      </c>
      <c r="PZ24" s="476" t="s">
        <v>721</v>
      </c>
      <c r="QA24" s="476">
        <v>0.02</v>
      </c>
      <c r="QB24" s="476" t="s">
        <v>721</v>
      </c>
      <c r="QC24" s="476" t="s">
        <v>721</v>
      </c>
      <c r="QD24" s="476" t="s">
        <v>721</v>
      </c>
      <c r="QE24" s="476" t="s">
        <v>721</v>
      </c>
      <c r="QF24" s="476" t="s">
        <v>721</v>
      </c>
      <c r="QG24" s="476" t="s">
        <v>721</v>
      </c>
      <c r="QH24" s="476">
        <v>1.4999999999999999E-2</v>
      </c>
      <c r="QI24" s="476" t="s">
        <v>721</v>
      </c>
      <c r="QJ24" s="476" t="s">
        <v>721</v>
      </c>
      <c r="QK24" s="476" t="s">
        <v>721</v>
      </c>
      <c r="QL24" s="476">
        <v>0.56699999999999995</v>
      </c>
      <c r="QM24" s="476">
        <v>0.19400000000000001</v>
      </c>
      <c r="QN24" s="476" t="s">
        <v>721</v>
      </c>
      <c r="QO24" s="476" t="s">
        <v>721</v>
      </c>
      <c r="QP24" s="476" t="s">
        <v>721</v>
      </c>
      <c r="QQ24" s="476" t="s">
        <v>721</v>
      </c>
      <c r="QR24" s="476" t="s">
        <v>721</v>
      </c>
      <c r="QS24" s="476" t="s">
        <v>721</v>
      </c>
      <c r="QT24" s="476" t="s">
        <v>721</v>
      </c>
      <c r="QU24" s="476" t="s">
        <v>721</v>
      </c>
      <c r="QV24" s="476" t="s">
        <v>721</v>
      </c>
      <c r="QW24" s="476" t="s">
        <v>721</v>
      </c>
      <c r="QX24" s="476" t="s">
        <v>721</v>
      </c>
      <c r="QY24" s="476" t="s">
        <v>721</v>
      </c>
      <c r="QZ24" s="476" t="s">
        <v>721</v>
      </c>
      <c r="RA24" s="476" t="s">
        <v>721</v>
      </c>
      <c r="RB24" s="476" t="s">
        <v>721</v>
      </c>
      <c r="RC24" s="476" t="s">
        <v>721</v>
      </c>
      <c r="RD24" s="476" t="s">
        <v>721</v>
      </c>
      <c r="RE24" s="476">
        <v>0.59299999999999997</v>
      </c>
      <c r="RF24" s="476" t="s">
        <v>721</v>
      </c>
      <c r="RG24" s="476" t="s">
        <v>721</v>
      </c>
      <c r="RH24" s="476" t="s">
        <v>721</v>
      </c>
      <c r="RI24" s="476" t="s">
        <v>721</v>
      </c>
      <c r="RJ24" s="476" t="s">
        <v>721</v>
      </c>
      <c r="RK24" s="476" t="s">
        <v>721</v>
      </c>
      <c r="RL24" s="476" t="s">
        <v>721</v>
      </c>
      <c r="RM24" s="476" t="s">
        <v>721</v>
      </c>
      <c r="RN24" s="476" t="s">
        <v>721</v>
      </c>
      <c r="RO24" s="476" t="s">
        <v>721</v>
      </c>
      <c r="RP24" s="476" t="s">
        <v>721</v>
      </c>
      <c r="RQ24" s="476" t="s">
        <v>721</v>
      </c>
      <c r="RR24" s="476" t="s">
        <v>721</v>
      </c>
      <c r="RS24" s="476" t="s">
        <v>721</v>
      </c>
      <c r="RT24" s="476" t="s">
        <v>721</v>
      </c>
      <c r="RU24" s="476" t="s">
        <v>721</v>
      </c>
      <c r="RV24" s="476" t="s">
        <v>721</v>
      </c>
      <c r="RW24" s="476" t="s">
        <v>721</v>
      </c>
      <c r="RX24" s="476">
        <v>0.58299999999999996</v>
      </c>
      <c r="RY24" s="476">
        <v>0.154</v>
      </c>
      <c r="RZ24" s="476">
        <v>7.9000000000000001E-2</v>
      </c>
      <c r="SA24" s="476">
        <v>0.03</v>
      </c>
      <c r="SB24" s="476">
        <v>3.0000000000000001E-3</v>
      </c>
      <c r="SC24" s="476">
        <v>8.9999999999999993E-3</v>
      </c>
      <c r="SD24" s="476">
        <v>1.2E-2</v>
      </c>
      <c r="SE24" s="476">
        <v>2E-3</v>
      </c>
      <c r="SF24" s="476">
        <v>1.9E-2</v>
      </c>
      <c r="SG24" s="476">
        <v>0</v>
      </c>
      <c r="SH24" s="476">
        <v>2E-3</v>
      </c>
      <c r="SI24" s="476">
        <v>2E-3</v>
      </c>
      <c r="SJ24" s="476" t="s">
        <v>721</v>
      </c>
      <c r="SK24" s="476">
        <v>1.0999999999999999E-2</v>
      </c>
      <c r="SL24" s="476">
        <v>1E-3</v>
      </c>
      <c r="SM24" s="476" t="s">
        <v>721</v>
      </c>
      <c r="SN24" s="476" t="s">
        <v>721</v>
      </c>
      <c r="SO24" s="476">
        <v>0.03</v>
      </c>
      <c r="SP24" s="476">
        <v>6.0999999999999999E-2</v>
      </c>
      <c r="SQ24" s="476">
        <v>0.57899999999999996</v>
      </c>
      <c r="SR24" s="476">
        <v>0.17</v>
      </c>
      <c r="SS24" s="476">
        <v>5.2999999999999999E-2</v>
      </c>
      <c r="ST24" s="476" t="s">
        <v>721</v>
      </c>
      <c r="SU24" s="476" t="s">
        <v>721</v>
      </c>
      <c r="SV24" s="476" t="s">
        <v>721</v>
      </c>
      <c r="SW24" s="476" t="s">
        <v>721</v>
      </c>
      <c r="SX24" s="476" t="s">
        <v>721</v>
      </c>
      <c r="SY24" s="476" t="s">
        <v>721</v>
      </c>
      <c r="SZ24" s="476" t="s">
        <v>721</v>
      </c>
      <c r="TA24" s="476" t="s">
        <v>721</v>
      </c>
      <c r="TB24" s="476" t="s">
        <v>721</v>
      </c>
      <c r="TC24" s="476" t="s">
        <v>721</v>
      </c>
      <c r="TD24" s="476" t="s">
        <v>721</v>
      </c>
      <c r="TE24" s="476" t="s">
        <v>721</v>
      </c>
      <c r="TF24" s="476" t="s">
        <v>721</v>
      </c>
      <c r="TG24" s="476" t="s">
        <v>721</v>
      </c>
      <c r="TH24" s="476" t="s">
        <v>721</v>
      </c>
      <c r="TI24" s="476">
        <v>7.2999999999999995E-2</v>
      </c>
      <c r="TJ24" s="476">
        <v>0.52100000000000002</v>
      </c>
      <c r="TK24" s="476">
        <v>0.20899999999999999</v>
      </c>
      <c r="TL24" s="476">
        <v>6.7000000000000004E-2</v>
      </c>
      <c r="TM24" s="476" t="s">
        <v>721</v>
      </c>
      <c r="TN24" s="476" t="s">
        <v>721</v>
      </c>
      <c r="TO24" s="476" t="s">
        <v>721</v>
      </c>
      <c r="TP24" s="476" t="s">
        <v>721</v>
      </c>
      <c r="TQ24" s="476" t="s">
        <v>721</v>
      </c>
      <c r="TR24" s="476" t="s">
        <v>721</v>
      </c>
      <c r="TS24" s="476" t="s">
        <v>721</v>
      </c>
      <c r="TT24" s="476" t="s">
        <v>721</v>
      </c>
      <c r="TU24" s="476" t="s">
        <v>721</v>
      </c>
      <c r="TV24" s="476" t="s">
        <v>721</v>
      </c>
      <c r="TW24" s="476" t="s">
        <v>721</v>
      </c>
      <c r="TX24" s="476" t="s">
        <v>721</v>
      </c>
      <c r="TY24" s="476" t="s">
        <v>721</v>
      </c>
      <c r="TZ24" s="476" t="s">
        <v>721</v>
      </c>
      <c r="UA24" s="476" t="s">
        <v>721</v>
      </c>
      <c r="UB24" s="476">
        <v>8.5999999999999993E-2</v>
      </c>
      <c r="UC24" s="476">
        <v>0.59699999999999998</v>
      </c>
      <c r="UD24" s="476">
        <v>0.128</v>
      </c>
      <c r="UE24" s="476">
        <v>0.105</v>
      </c>
      <c r="UF24" s="476">
        <v>2.1999999999999999E-2</v>
      </c>
      <c r="UG24" s="476" t="s">
        <v>721</v>
      </c>
      <c r="UH24" s="476" t="s">
        <v>721</v>
      </c>
      <c r="UI24" s="476">
        <v>1.7999999999999999E-2</v>
      </c>
      <c r="UJ24" s="476" t="s">
        <v>721</v>
      </c>
      <c r="UK24" s="476">
        <v>8.0000000000000002E-3</v>
      </c>
      <c r="UL24" s="476" t="s">
        <v>721</v>
      </c>
      <c r="UM24" s="476" t="s">
        <v>721</v>
      </c>
      <c r="UN24" s="476" t="s">
        <v>721</v>
      </c>
      <c r="UO24" s="476" t="s">
        <v>721</v>
      </c>
      <c r="UP24" s="476">
        <v>0.01</v>
      </c>
      <c r="UQ24" s="476" t="s">
        <v>721</v>
      </c>
      <c r="UR24" s="476" t="s">
        <v>721</v>
      </c>
      <c r="US24" s="476" t="s">
        <v>721</v>
      </c>
      <c r="UT24" s="476">
        <v>3.5000000000000003E-2</v>
      </c>
      <c r="UU24" s="476">
        <v>5.8999999999999997E-2</v>
      </c>
      <c r="UV24" s="476">
        <v>0.55900000000000005</v>
      </c>
      <c r="UW24" s="476">
        <v>0.17399999999999999</v>
      </c>
      <c r="UX24" s="476">
        <v>6.4000000000000001E-2</v>
      </c>
      <c r="UY24" s="476">
        <v>4.2999999999999997E-2</v>
      </c>
      <c r="UZ24" s="476" t="s">
        <v>721</v>
      </c>
      <c r="VA24" s="476">
        <v>1.6E-2</v>
      </c>
      <c r="VB24" s="476" t="s">
        <v>721</v>
      </c>
      <c r="VC24" s="476" t="s">
        <v>721</v>
      </c>
      <c r="VD24" s="476">
        <v>2.9000000000000001E-2</v>
      </c>
      <c r="VE24" s="476" t="s">
        <v>721</v>
      </c>
      <c r="VF24" s="476" t="s">
        <v>721</v>
      </c>
      <c r="VG24" s="476" t="s">
        <v>721</v>
      </c>
      <c r="VH24" s="476" t="s">
        <v>721</v>
      </c>
      <c r="VI24" s="476" t="s">
        <v>721</v>
      </c>
      <c r="VJ24" s="476" t="s">
        <v>721</v>
      </c>
      <c r="VK24" s="476" t="s">
        <v>721</v>
      </c>
      <c r="VL24" s="476" t="s">
        <v>721</v>
      </c>
      <c r="VM24" s="476">
        <v>2.8000000000000001E-2</v>
      </c>
      <c r="VN24" s="476">
        <v>5.8999999999999997E-2</v>
      </c>
      <c r="VO24" s="28"/>
      <c r="VP24" s="28"/>
      <c r="VQ24" s="28"/>
      <c r="VR24" s="28"/>
      <c r="VS24" s="28"/>
      <c r="VT24" s="28"/>
      <c r="VU24" s="28"/>
      <c r="VV24" s="28"/>
      <c r="VW24" s="28"/>
      <c r="VX24" s="28"/>
      <c r="VY24" s="28"/>
      <c r="VZ24" s="28"/>
      <c r="WA24" s="28"/>
      <c r="WB24" s="28"/>
      <c r="WC24" s="28"/>
      <c r="WD24" s="28"/>
      <c r="WE24" s="28"/>
      <c r="WF24" s="28"/>
      <c r="WG24" s="28"/>
      <c r="WH24" s="28"/>
      <c r="WI24" s="28"/>
      <c r="WJ24" s="28"/>
      <c r="WK24" s="28"/>
      <c r="WL24" s="28"/>
      <c r="WM24" s="28"/>
      <c r="WN24" s="28"/>
      <c r="WO24" s="28"/>
      <c r="WP24" s="28"/>
      <c r="WQ24" s="28"/>
      <c r="WR24" s="28"/>
      <c r="WS24" s="28"/>
      <c r="WT24" s="28"/>
      <c r="WU24" s="28"/>
      <c r="WV24" s="28"/>
      <c r="WW24" s="28"/>
    </row>
    <row r="25" spans="1:621" s="151" customFormat="1" ht="15.75" customHeight="1" x14ac:dyDescent="0.35">
      <c r="A25" s="477" t="s">
        <v>35</v>
      </c>
      <c r="B25" s="492" t="s">
        <v>15</v>
      </c>
      <c r="C25" s="493">
        <v>16.100000000000001</v>
      </c>
      <c r="D25" s="494">
        <v>294</v>
      </c>
      <c r="E25" s="473">
        <v>35604.400000000001</v>
      </c>
      <c r="F25" s="473">
        <v>121.1</v>
      </c>
      <c r="G25" s="474">
        <v>294</v>
      </c>
      <c r="H25" s="474">
        <v>277</v>
      </c>
      <c r="I25" s="474">
        <v>226</v>
      </c>
      <c r="J25" s="474">
        <v>171</v>
      </c>
      <c r="K25" s="474">
        <v>78</v>
      </c>
      <c r="L25" s="473">
        <v>14412.5</v>
      </c>
      <c r="M25" s="474">
        <v>210</v>
      </c>
      <c r="N25" s="473">
        <v>21191.9</v>
      </c>
      <c r="O25" s="494">
        <v>47</v>
      </c>
      <c r="P25" s="495">
        <v>8513.6</v>
      </c>
      <c r="Q25" s="494">
        <v>18</v>
      </c>
      <c r="R25" s="495">
        <v>752.5</v>
      </c>
      <c r="S25" s="480">
        <v>56</v>
      </c>
      <c r="T25" s="481">
        <v>5522.7</v>
      </c>
      <c r="U25" s="480">
        <v>5</v>
      </c>
      <c r="V25" s="481">
        <v>700</v>
      </c>
      <c r="W25" s="480">
        <v>233</v>
      </c>
      <c r="X25" s="481">
        <v>29381.7</v>
      </c>
      <c r="Y25" s="494">
        <v>278</v>
      </c>
      <c r="Z25" s="494">
        <v>126</v>
      </c>
      <c r="AA25" s="494">
        <v>173</v>
      </c>
      <c r="AB25" s="494">
        <v>104</v>
      </c>
      <c r="AC25" s="494">
        <v>20</v>
      </c>
      <c r="AD25" s="494">
        <v>55</v>
      </c>
      <c r="AE25" s="494">
        <v>136</v>
      </c>
      <c r="AF25" s="495">
        <v>10225.799999999999</v>
      </c>
      <c r="AG25" s="494">
        <v>136</v>
      </c>
      <c r="AH25" s="495">
        <v>23718.400000000001</v>
      </c>
      <c r="AI25" s="494">
        <v>4</v>
      </c>
      <c r="AJ25" s="495">
        <v>164.8</v>
      </c>
      <c r="AK25" s="494">
        <v>12</v>
      </c>
      <c r="AL25" s="495">
        <v>1495.4</v>
      </c>
      <c r="AM25" s="496">
        <v>182</v>
      </c>
      <c r="AN25" s="496">
        <v>112</v>
      </c>
      <c r="AO25" s="496">
        <v>233</v>
      </c>
      <c r="AP25" s="496">
        <v>16</v>
      </c>
      <c r="AQ25" s="496" t="s">
        <v>721</v>
      </c>
      <c r="AR25" s="496" t="s">
        <v>721</v>
      </c>
      <c r="AS25" s="496">
        <v>13</v>
      </c>
      <c r="AT25" s="496" t="s">
        <v>721</v>
      </c>
      <c r="AU25" s="496">
        <v>14</v>
      </c>
      <c r="AV25" s="496" t="s">
        <v>721</v>
      </c>
      <c r="AW25" s="496" t="s">
        <v>721</v>
      </c>
      <c r="AX25" s="496" t="s">
        <v>721</v>
      </c>
      <c r="AY25" s="496" t="s">
        <v>721</v>
      </c>
      <c r="AZ25" s="496" t="s">
        <v>721</v>
      </c>
      <c r="BA25" s="496" t="s">
        <v>721</v>
      </c>
      <c r="BB25" s="496" t="s">
        <v>721</v>
      </c>
      <c r="BC25" s="496" t="s">
        <v>721</v>
      </c>
      <c r="BD25" s="496" t="s">
        <v>721</v>
      </c>
      <c r="BE25" s="496" t="s">
        <v>721</v>
      </c>
      <c r="BF25" s="496" t="s">
        <v>721</v>
      </c>
      <c r="BG25" s="496" t="s">
        <v>721</v>
      </c>
      <c r="BH25" s="496" t="s">
        <v>721</v>
      </c>
      <c r="BI25" s="496" t="s">
        <v>721</v>
      </c>
      <c r="BJ25" s="496" t="s">
        <v>721</v>
      </c>
      <c r="BK25" s="496" t="s">
        <v>721</v>
      </c>
      <c r="BL25" s="496" t="s">
        <v>721</v>
      </c>
      <c r="BM25" s="496" t="s">
        <v>721</v>
      </c>
      <c r="BN25" s="496" t="s">
        <v>721</v>
      </c>
      <c r="BO25" s="496">
        <v>286</v>
      </c>
      <c r="BP25" s="496" t="s">
        <v>721</v>
      </c>
      <c r="BQ25" s="496" t="s">
        <v>721</v>
      </c>
      <c r="BR25" s="496" t="s">
        <v>721</v>
      </c>
      <c r="BS25" s="496" t="s">
        <v>721</v>
      </c>
      <c r="BT25" s="496" t="s">
        <v>721</v>
      </c>
      <c r="BU25" s="496" t="s">
        <v>721</v>
      </c>
      <c r="BV25" s="496" t="s">
        <v>721</v>
      </c>
      <c r="BW25" s="496" t="s">
        <v>721</v>
      </c>
      <c r="BX25" s="496" t="s">
        <v>721</v>
      </c>
      <c r="BY25" s="496" t="s">
        <v>721</v>
      </c>
      <c r="BZ25" s="496" t="s">
        <v>721</v>
      </c>
      <c r="CA25" s="496" t="s">
        <v>721</v>
      </c>
      <c r="CB25" s="496" t="s">
        <v>721</v>
      </c>
      <c r="CC25" s="496" t="s">
        <v>721</v>
      </c>
      <c r="CD25" s="496" t="s">
        <v>721</v>
      </c>
      <c r="CE25" s="496" t="s">
        <v>721</v>
      </c>
      <c r="CF25" s="496" t="s">
        <v>721</v>
      </c>
      <c r="CG25" s="496" t="s">
        <v>721</v>
      </c>
      <c r="CH25" s="496" t="s">
        <v>721</v>
      </c>
      <c r="CI25" s="496" t="s">
        <v>721</v>
      </c>
      <c r="CJ25" s="496" t="s">
        <v>721</v>
      </c>
      <c r="CK25" s="496" t="s">
        <v>721</v>
      </c>
      <c r="CL25" s="496" t="s">
        <v>721</v>
      </c>
      <c r="CM25" s="496" t="s">
        <v>721</v>
      </c>
      <c r="CN25" s="496" t="s">
        <v>721</v>
      </c>
      <c r="CO25" s="496" t="s">
        <v>721</v>
      </c>
      <c r="CP25" s="496" t="s">
        <v>721</v>
      </c>
      <c r="CQ25" s="496" t="s">
        <v>721</v>
      </c>
      <c r="CR25" s="496" t="s">
        <v>721</v>
      </c>
      <c r="CS25" s="496" t="s">
        <v>721</v>
      </c>
      <c r="CT25" s="496" t="s">
        <v>721</v>
      </c>
      <c r="CU25" s="496" t="s">
        <v>721</v>
      </c>
      <c r="CV25" s="496">
        <v>277</v>
      </c>
      <c r="CW25" s="496" t="s">
        <v>721</v>
      </c>
      <c r="CX25" s="496" t="s">
        <v>721</v>
      </c>
      <c r="CY25" s="496" t="s">
        <v>721</v>
      </c>
      <c r="CZ25" s="496" t="s">
        <v>721</v>
      </c>
      <c r="DA25" s="496" t="s">
        <v>721</v>
      </c>
      <c r="DB25" s="496" t="s">
        <v>721</v>
      </c>
      <c r="DC25" s="496" t="s">
        <v>721</v>
      </c>
      <c r="DD25" s="496" t="s">
        <v>721</v>
      </c>
      <c r="DE25" s="496" t="s">
        <v>721</v>
      </c>
      <c r="DF25" s="496" t="s">
        <v>721</v>
      </c>
      <c r="DG25" s="496" t="s">
        <v>721</v>
      </c>
      <c r="DH25" s="496" t="s">
        <v>721</v>
      </c>
      <c r="DI25" s="496" t="s">
        <v>721</v>
      </c>
      <c r="DJ25" s="496" t="s">
        <v>721</v>
      </c>
      <c r="DK25" s="496" t="s">
        <v>721</v>
      </c>
      <c r="DL25" s="496" t="s">
        <v>721</v>
      </c>
      <c r="DM25" s="496" t="s">
        <v>721</v>
      </c>
      <c r="DN25" s="496" t="s">
        <v>721</v>
      </c>
      <c r="DO25" s="496" t="s">
        <v>721</v>
      </c>
      <c r="DP25" s="496" t="s">
        <v>721</v>
      </c>
      <c r="DQ25" s="496" t="s">
        <v>721</v>
      </c>
      <c r="DR25" s="496" t="s">
        <v>721</v>
      </c>
      <c r="DS25" s="483" t="s">
        <v>721</v>
      </c>
      <c r="DT25" s="483" t="s">
        <v>721</v>
      </c>
      <c r="DU25" s="483" t="s">
        <v>721</v>
      </c>
      <c r="DV25" s="496">
        <v>21</v>
      </c>
      <c r="DW25" s="497">
        <v>4923.3999999999996</v>
      </c>
      <c r="DX25" s="496">
        <v>42</v>
      </c>
      <c r="DY25" s="497">
        <v>6450.4</v>
      </c>
      <c r="DZ25" s="496">
        <v>88</v>
      </c>
      <c r="EA25" s="497">
        <v>8986</v>
      </c>
      <c r="EB25" s="496">
        <v>71</v>
      </c>
      <c r="EC25" s="497">
        <v>7408.1</v>
      </c>
      <c r="ED25" s="496">
        <v>45</v>
      </c>
      <c r="EE25" s="497">
        <v>4619</v>
      </c>
      <c r="EF25" s="496">
        <v>27</v>
      </c>
      <c r="EG25" s="497">
        <v>3217.5</v>
      </c>
      <c r="EH25" s="485">
        <v>249</v>
      </c>
      <c r="EI25" s="486">
        <v>1009</v>
      </c>
      <c r="EJ25" s="485">
        <v>255</v>
      </c>
      <c r="EK25" s="486">
        <v>5030.5</v>
      </c>
      <c r="EL25" s="485">
        <v>250</v>
      </c>
      <c r="EM25" s="486">
        <v>2216.5</v>
      </c>
      <c r="EN25" s="485">
        <v>252</v>
      </c>
      <c r="EO25" s="486">
        <v>1307.5999999999999</v>
      </c>
      <c r="EP25" s="485">
        <v>248</v>
      </c>
      <c r="EQ25" s="486">
        <v>987.2</v>
      </c>
      <c r="ER25" s="485">
        <v>248</v>
      </c>
      <c r="ES25" s="486">
        <v>725.4</v>
      </c>
      <c r="ET25" s="485">
        <v>0</v>
      </c>
      <c r="EU25" s="485">
        <v>155</v>
      </c>
      <c r="EV25" s="486">
        <v>2232.6999999999998</v>
      </c>
      <c r="EW25" s="485">
        <v>58</v>
      </c>
      <c r="EX25" s="486">
        <v>264.39999999999998</v>
      </c>
      <c r="EY25" s="485">
        <v>98</v>
      </c>
      <c r="EZ25" s="486">
        <v>789.6</v>
      </c>
      <c r="FA25" s="485">
        <v>43</v>
      </c>
      <c r="FB25" s="486">
        <v>368</v>
      </c>
      <c r="FC25" s="485">
        <v>245</v>
      </c>
      <c r="FD25" s="486">
        <v>2737.4</v>
      </c>
      <c r="FE25" s="485">
        <v>228</v>
      </c>
      <c r="FF25" s="486">
        <v>1641.3</v>
      </c>
      <c r="FG25" s="485">
        <v>174</v>
      </c>
      <c r="FH25" s="486">
        <v>1425.5</v>
      </c>
      <c r="FI25" s="485">
        <v>213</v>
      </c>
      <c r="FJ25" s="486">
        <v>1138.9000000000001</v>
      </c>
      <c r="FK25" s="485">
        <v>200</v>
      </c>
      <c r="FL25" s="486">
        <v>707.8</v>
      </c>
      <c r="FM25" s="485">
        <v>12</v>
      </c>
      <c r="FN25" s="486">
        <v>28.1</v>
      </c>
      <c r="FO25" s="485">
        <v>265</v>
      </c>
      <c r="FP25" s="486">
        <v>1981.8</v>
      </c>
      <c r="FQ25" s="485">
        <v>255</v>
      </c>
      <c r="FR25" s="486">
        <v>1741.9</v>
      </c>
      <c r="FS25" s="485">
        <v>1</v>
      </c>
      <c r="FT25" s="486">
        <v>4.3</v>
      </c>
      <c r="FU25" s="485">
        <v>0</v>
      </c>
      <c r="FV25" s="486">
        <v>0</v>
      </c>
      <c r="FW25" s="485">
        <v>0</v>
      </c>
      <c r="FX25" s="486">
        <v>0</v>
      </c>
      <c r="FY25" s="485">
        <v>0</v>
      </c>
      <c r="FZ25" s="486">
        <v>0</v>
      </c>
      <c r="GA25" s="485">
        <v>0</v>
      </c>
      <c r="GB25" s="485">
        <v>0</v>
      </c>
      <c r="GC25" s="487">
        <v>0</v>
      </c>
      <c r="GD25" s="488">
        <v>0</v>
      </c>
      <c r="GE25" s="488">
        <v>1</v>
      </c>
      <c r="GF25" s="488">
        <v>238</v>
      </c>
      <c r="GG25" s="488">
        <v>0</v>
      </c>
      <c r="GH25" s="488">
        <v>0</v>
      </c>
      <c r="GI25" s="488">
        <v>0</v>
      </c>
      <c r="GJ25" s="488">
        <v>0</v>
      </c>
      <c r="GK25" s="488">
        <v>100</v>
      </c>
      <c r="GL25" s="488">
        <v>139</v>
      </c>
      <c r="GM25" s="488">
        <v>239</v>
      </c>
      <c r="GN25" s="488">
        <v>0</v>
      </c>
      <c r="GO25" s="488">
        <v>16</v>
      </c>
      <c r="GP25" s="488">
        <v>1</v>
      </c>
      <c r="GQ25" s="488">
        <v>1</v>
      </c>
      <c r="GR25" s="488">
        <v>0</v>
      </c>
      <c r="GS25" s="488">
        <v>2</v>
      </c>
      <c r="GT25" s="489">
        <v>202</v>
      </c>
      <c r="GU25" s="488">
        <v>0</v>
      </c>
      <c r="GV25" s="490">
        <v>0</v>
      </c>
      <c r="GW25" s="490">
        <v>0</v>
      </c>
      <c r="GX25" s="490">
        <v>0</v>
      </c>
      <c r="GY25" s="491">
        <v>0</v>
      </c>
      <c r="GZ25" s="491">
        <v>0</v>
      </c>
      <c r="HA25" s="491">
        <v>0</v>
      </c>
      <c r="HB25" s="475">
        <v>0</v>
      </c>
      <c r="HC25" s="475">
        <v>1</v>
      </c>
      <c r="HD25" s="475">
        <v>0</v>
      </c>
      <c r="HE25" s="475">
        <v>0</v>
      </c>
      <c r="HF25" s="475">
        <v>0</v>
      </c>
      <c r="HG25" s="475">
        <v>0</v>
      </c>
      <c r="HH25" s="475">
        <v>0</v>
      </c>
      <c r="HI25" s="475">
        <v>0</v>
      </c>
      <c r="HJ25" s="475">
        <v>0</v>
      </c>
      <c r="HK25" s="475">
        <v>0</v>
      </c>
      <c r="HL25" s="475">
        <v>0</v>
      </c>
      <c r="HM25" s="475">
        <v>0</v>
      </c>
      <c r="HN25" s="475">
        <v>0</v>
      </c>
      <c r="HO25" s="475">
        <v>1</v>
      </c>
      <c r="HP25" s="475">
        <v>0</v>
      </c>
      <c r="HQ25" s="475">
        <v>0</v>
      </c>
      <c r="HR25" s="475">
        <v>2</v>
      </c>
      <c r="HS25" s="475">
        <v>0</v>
      </c>
      <c r="HT25" s="475">
        <v>0</v>
      </c>
      <c r="HU25" s="475">
        <v>0</v>
      </c>
      <c r="HV25" s="475">
        <v>0</v>
      </c>
      <c r="HW25" s="475">
        <v>0</v>
      </c>
      <c r="HX25" s="475">
        <v>0</v>
      </c>
      <c r="HY25" s="475">
        <v>0</v>
      </c>
      <c r="HZ25" s="475">
        <v>11</v>
      </c>
      <c r="IA25" s="475" t="s">
        <v>721</v>
      </c>
      <c r="IB25" s="475" t="s">
        <v>721</v>
      </c>
      <c r="IC25" s="475" t="s">
        <v>721</v>
      </c>
      <c r="ID25" s="475" t="s">
        <v>721</v>
      </c>
      <c r="IE25" s="475" t="s">
        <v>721</v>
      </c>
      <c r="IF25" s="475" t="s">
        <v>721</v>
      </c>
      <c r="IG25" s="475" t="s">
        <v>721</v>
      </c>
      <c r="IH25" s="475" t="s">
        <v>721</v>
      </c>
      <c r="II25" s="475" t="s">
        <v>721</v>
      </c>
      <c r="IJ25" s="475" t="s">
        <v>721</v>
      </c>
      <c r="IK25" s="475" t="s">
        <v>721</v>
      </c>
      <c r="IL25" s="475" t="s">
        <v>721</v>
      </c>
      <c r="IM25" s="475" t="s">
        <v>721</v>
      </c>
      <c r="IN25" s="475" t="s">
        <v>721</v>
      </c>
      <c r="IO25" s="475" t="s">
        <v>721</v>
      </c>
      <c r="IP25" s="475" t="s">
        <v>721</v>
      </c>
      <c r="IQ25" s="475" t="s">
        <v>721</v>
      </c>
      <c r="IR25" s="475" t="s">
        <v>721</v>
      </c>
      <c r="IS25" s="475" t="s">
        <v>721</v>
      </c>
      <c r="IT25" s="475" t="s">
        <v>721</v>
      </c>
      <c r="IU25" s="475" t="s">
        <v>721</v>
      </c>
      <c r="IV25" s="475" t="s">
        <v>721</v>
      </c>
      <c r="IW25" s="475" t="s">
        <v>721</v>
      </c>
      <c r="IX25" s="475" t="s">
        <v>721</v>
      </c>
      <c r="IY25" s="475" t="s">
        <v>721</v>
      </c>
      <c r="IZ25" s="475" t="s">
        <v>721</v>
      </c>
      <c r="JA25" s="475" t="s">
        <v>721</v>
      </c>
      <c r="JB25" s="475" t="s">
        <v>721</v>
      </c>
      <c r="JC25" s="475" t="s">
        <v>721</v>
      </c>
      <c r="JD25" s="475" t="s">
        <v>721</v>
      </c>
      <c r="JE25" s="475" t="s">
        <v>721</v>
      </c>
      <c r="JF25" s="475" t="s">
        <v>721</v>
      </c>
      <c r="JG25" s="475" t="s">
        <v>721</v>
      </c>
      <c r="JH25" s="475" t="s">
        <v>721</v>
      </c>
      <c r="JI25" s="475" t="s">
        <v>721</v>
      </c>
      <c r="JJ25" s="475" t="s">
        <v>721</v>
      </c>
      <c r="JK25" s="475" t="s">
        <v>721</v>
      </c>
      <c r="JL25" s="755">
        <v>28344.9</v>
      </c>
      <c r="JM25" s="755">
        <v>1945.6</v>
      </c>
      <c r="JN25" s="755">
        <v>392.6</v>
      </c>
      <c r="JO25" s="755">
        <v>192.4</v>
      </c>
      <c r="JP25" s="755">
        <v>1891.9</v>
      </c>
      <c r="JQ25" s="755">
        <v>205.5</v>
      </c>
      <c r="JR25" s="755">
        <v>1313.4</v>
      </c>
      <c r="JS25" s="755" t="s">
        <v>721</v>
      </c>
      <c r="JT25" s="755" t="s">
        <v>721</v>
      </c>
      <c r="JU25" s="755" t="s">
        <v>721</v>
      </c>
      <c r="JV25" s="755" t="s">
        <v>721</v>
      </c>
      <c r="JW25" s="755" t="s">
        <v>721</v>
      </c>
      <c r="JX25" s="755" t="s">
        <v>721</v>
      </c>
      <c r="JY25" s="755" t="s">
        <v>721</v>
      </c>
      <c r="JZ25" s="755">
        <v>283</v>
      </c>
      <c r="KA25" s="755" t="s">
        <v>721</v>
      </c>
      <c r="KB25" s="755" t="s">
        <v>721</v>
      </c>
      <c r="KC25" s="755">
        <v>357.5</v>
      </c>
      <c r="KD25" s="755">
        <v>677.6</v>
      </c>
      <c r="KE25" s="475">
        <v>36</v>
      </c>
      <c r="KF25" s="475" t="s">
        <v>721</v>
      </c>
      <c r="KG25" s="475" t="s">
        <v>721</v>
      </c>
      <c r="KH25" s="475" t="s">
        <v>721</v>
      </c>
      <c r="KI25" s="475" t="s">
        <v>721</v>
      </c>
      <c r="KJ25" s="475" t="s">
        <v>721</v>
      </c>
      <c r="KK25" s="475" t="s">
        <v>721</v>
      </c>
      <c r="KL25" s="475" t="s">
        <v>721</v>
      </c>
      <c r="KM25" s="475" t="s">
        <v>721</v>
      </c>
      <c r="KN25" s="475" t="s">
        <v>721</v>
      </c>
      <c r="KO25" s="475" t="s">
        <v>721</v>
      </c>
      <c r="KP25" s="475" t="s">
        <v>721</v>
      </c>
      <c r="KQ25" s="475" t="s">
        <v>721</v>
      </c>
      <c r="KR25" s="475" t="s">
        <v>721</v>
      </c>
      <c r="KS25" s="475" t="s">
        <v>721</v>
      </c>
      <c r="KT25" s="475" t="s">
        <v>721</v>
      </c>
      <c r="KU25" s="475" t="s">
        <v>721</v>
      </c>
      <c r="KV25" s="475" t="s">
        <v>721</v>
      </c>
      <c r="KW25" s="475" t="s">
        <v>721</v>
      </c>
      <c r="KX25" s="475">
        <v>11</v>
      </c>
      <c r="KY25" s="475" t="s">
        <v>721</v>
      </c>
      <c r="KZ25" s="475" t="s">
        <v>721</v>
      </c>
      <c r="LA25" s="475" t="s">
        <v>721</v>
      </c>
      <c r="LB25" s="475" t="s">
        <v>721</v>
      </c>
      <c r="LC25" s="475" t="s">
        <v>721</v>
      </c>
      <c r="LD25" s="475" t="s">
        <v>721</v>
      </c>
      <c r="LE25" s="475" t="s">
        <v>721</v>
      </c>
      <c r="LF25" s="475" t="s">
        <v>721</v>
      </c>
      <c r="LG25" s="475" t="s">
        <v>721</v>
      </c>
      <c r="LH25" s="475" t="s">
        <v>721</v>
      </c>
      <c r="LI25" s="475" t="s">
        <v>721</v>
      </c>
      <c r="LJ25" s="475" t="s">
        <v>721</v>
      </c>
      <c r="LK25" s="475" t="s">
        <v>721</v>
      </c>
      <c r="LL25" s="475" t="s">
        <v>721</v>
      </c>
      <c r="LM25" s="475" t="s">
        <v>721</v>
      </c>
      <c r="LN25" s="475" t="s">
        <v>721</v>
      </c>
      <c r="LO25" s="475" t="s">
        <v>721</v>
      </c>
      <c r="LP25" s="475" t="s">
        <v>721</v>
      </c>
      <c r="LQ25" s="475">
        <v>167</v>
      </c>
      <c r="LR25" s="475">
        <v>13</v>
      </c>
      <c r="LS25" s="475" t="s">
        <v>721</v>
      </c>
      <c r="LT25" s="475" t="s">
        <v>721</v>
      </c>
      <c r="LU25" s="475" t="s">
        <v>721</v>
      </c>
      <c r="LV25" s="475" t="s">
        <v>721</v>
      </c>
      <c r="LW25" s="475">
        <v>12</v>
      </c>
      <c r="LX25" s="475" t="s">
        <v>721</v>
      </c>
      <c r="LY25" s="475" t="s">
        <v>721</v>
      </c>
      <c r="LZ25" s="475" t="s">
        <v>721</v>
      </c>
      <c r="MA25" s="475" t="s">
        <v>721</v>
      </c>
      <c r="MB25" s="475" t="s">
        <v>721</v>
      </c>
      <c r="MC25" s="475" t="s">
        <v>721</v>
      </c>
      <c r="MD25" s="475" t="s">
        <v>721</v>
      </c>
      <c r="ME25" s="475" t="s">
        <v>721</v>
      </c>
      <c r="MF25" s="475" t="s">
        <v>721</v>
      </c>
      <c r="MG25" s="475" t="s">
        <v>721</v>
      </c>
      <c r="MH25" s="475" t="s">
        <v>721</v>
      </c>
      <c r="MI25" s="475" t="s">
        <v>721</v>
      </c>
      <c r="MJ25" s="475">
        <v>62</v>
      </c>
      <c r="MK25" s="475" t="s">
        <v>721</v>
      </c>
      <c r="ML25" s="475" t="s">
        <v>721</v>
      </c>
      <c r="MM25" s="475" t="s">
        <v>721</v>
      </c>
      <c r="MN25" s="475" t="s">
        <v>721</v>
      </c>
      <c r="MO25" s="475" t="s">
        <v>721</v>
      </c>
      <c r="MP25" s="475" t="s">
        <v>721</v>
      </c>
      <c r="MQ25" s="475" t="s">
        <v>721</v>
      </c>
      <c r="MR25" s="475" t="s">
        <v>721</v>
      </c>
      <c r="MS25" s="475" t="s">
        <v>721</v>
      </c>
      <c r="MT25" s="475" t="s">
        <v>721</v>
      </c>
      <c r="MU25" s="475" t="s">
        <v>721</v>
      </c>
      <c r="MV25" s="475" t="s">
        <v>721</v>
      </c>
      <c r="MW25" s="475" t="s">
        <v>721</v>
      </c>
      <c r="MX25" s="475" t="s">
        <v>721</v>
      </c>
      <c r="MY25" s="475" t="s">
        <v>721</v>
      </c>
      <c r="MZ25" s="475" t="s">
        <v>721</v>
      </c>
      <c r="NA25" s="475" t="s">
        <v>721</v>
      </c>
      <c r="NB25" s="475" t="s">
        <v>721</v>
      </c>
      <c r="NC25" s="476">
        <v>0.61899999999999999</v>
      </c>
      <c r="ND25" s="476">
        <v>0.38100000000000001</v>
      </c>
      <c r="NE25" s="476">
        <v>0.79300000000000004</v>
      </c>
      <c r="NF25" s="476">
        <v>5.3999999999999999E-2</v>
      </c>
      <c r="NG25" s="476" t="s">
        <v>721</v>
      </c>
      <c r="NH25" s="476" t="s">
        <v>721</v>
      </c>
      <c r="NI25" s="476">
        <v>4.3999999999999997E-2</v>
      </c>
      <c r="NJ25" s="476" t="s">
        <v>721</v>
      </c>
      <c r="NK25" s="476">
        <v>4.8000000000000001E-2</v>
      </c>
      <c r="NL25" s="476" t="s">
        <v>721</v>
      </c>
      <c r="NM25" s="476" t="s">
        <v>721</v>
      </c>
      <c r="NN25" s="476" t="s">
        <v>721</v>
      </c>
      <c r="NO25" s="476" t="s">
        <v>721</v>
      </c>
      <c r="NP25" s="476" t="s">
        <v>721</v>
      </c>
      <c r="NQ25" s="476" t="s">
        <v>721</v>
      </c>
      <c r="NR25" s="476" t="s">
        <v>721</v>
      </c>
      <c r="NS25" s="476" t="s">
        <v>721</v>
      </c>
      <c r="NT25" s="476" t="s">
        <v>721</v>
      </c>
      <c r="NU25" s="476" t="s">
        <v>721</v>
      </c>
      <c r="NV25" s="476" t="s">
        <v>721</v>
      </c>
      <c r="NW25" s="476" t="s">
        <v>721</v>
      </c>
      <c r="NX25" s="476" t="s">
        <v>721</v>
      </c>
      <c r="NY25" s="476" t="s">
        <v>721</v>
      </c>
      <c r="NZ25" s="476" t="s">
        <v>721</v>
      </c>
      <c r="OA25" s="476" t="s">
        <v>721</v>
      </c>
      <c r="OB25" s="476" t="s">
        <v>721</v>
      </c>
      <c r="OC25" s="476" t="s">
        <v>721</v>
      </c>
      <c r="OD25" s="476" t="s">
        <v>721</v>
      </c>
      <c r="OE25" s="476">
        <v>0.97299999999999998</v>
      </c>
      <c r="OF25" s="476" t="s">
        <v>721</v>
      </c>
      <c r="OG25" s="476" t="s">
        <v>721</v>
      </c>
      <c r="OH25" s="476" t="s">
        <v>721</v>
      </c>
      <c r="OI25" s="476" t="s">
        <v>721</v>
      </c>
      <c r="OJ25" s="476" t="s">
        <v>721</v>
      </c>
      <c r="OK25" s="476" t="s">
        <v>721</v>
      </c>
      <c r="OL25" s="476" t="s">
        <v>721</v>
      </c>
      <c r="OM25" s="476" t="s">
        <v>721</v>
      </c>
      <c r="ON25" s="476" t="s">
        <v>721</v>
      </c>
      <c r="OO25" s="476" t="s">
        <v>721</v>
      </c>
      <c r="OP25" s="476" t="s">
        <v>721</v>
      </c>
      <c r="OQ25" s="476" t="s">
        <v>721</v>
      </c>
      <c r="OR25" s="476" t="s">
        <v>721</v>
      </c>
      <c r="OS25" s="476" t="s">
        <v>721</v>
      </c>
      <c r="OT25" s="476" t="s">
        <v>721</v>
      </c>
      <c r="OU25" s="476" t="s">
        <v>721</v>
      </c>
      <c r="OV25" s="476" t="s">
        <v>721</v>
      </c>
      <c r="OW25" s="476" t="s">
        <v>721</v>
      </c>
      <c r="OX25" s="476" t="s">
        <v>721</v>
      </c>
      <c r="OY25" s="476" t="s">
        <v>721</v>
      </c>
      <c r="OZ25" s="476" t="s">
        <v>721</v>
      </c>
      <c r="PA25" s="476" t="s">
        <v>721</v>
      </c>
      <c r="PB25" s="476" t="s">
        <v>721</v>
      </c>
      <c r="PC25" s="476" t="s">
        <v>721</v>
      </c>
      <c r="PD25" s="476" t="s">
        <v>721</v>
      </c>
      <c r="PE25" s="476" t="s">
        <v>721</v>
      </c>
      <c r="PF25" s="476" t="s">
        <v>721</v>
      </c>
      <c r="PG25" s="476" t="s">
        <v>721</v>
      </c>
      <c r="PH25" s="476" t="s">
        <v>721</v>
      </c>
      <c r="PI25" s="476" t="s">
        <v>721</v>
      </c>
      <c r="PJ25" s="476" t="s">
        <v>721</v>
      </c>
      <c r="PK25" s="476" t="s">
        <v>721</v>
      </c>
      <c r="PL25" s="476">
        <v>0.996</v>
      </c>
      <c r="PM25" s="476" t="s">
        <v>721</v>
      </c>
      <c r="PN25" s="476" t="s">
        <v>721</v>
      </c>
      <c r="PO25" s="476" t="s">
        <v>721</v>
      </c>
      <c r="PP25" s="476" t="s">
        <v>721</v>
      </c>
      <c r="PQ25" s="476" t="s">
        <v>721</v>
      </c>
      <c r="PR25" s="476" t="s">
        <v>721</v>
      </c>
      <c r="PS25" s="476" t="s">
        <v>721</v>
      </c>
      <c r="PT25" s="476" t="s">
        <v>721</v>
      </c>
      <c r="PU25" s="476" t="s">
        <v>721</v>
      </c>
      <c r="PV25" s="476" t="s">
        <v>721</v>
      </c>
      <c r="PW25" s="476" t="s">
        <v>721</v>
      </c>
      <c r="PX25" s="476" t="s">
        <v>721</v>
      </c>
      <c r="PY25" s="476" t="s">
        <v>721</v>
      </c>
      <c r="PZ25" s="476" t="s">
        <v>721</v>
      </c>
      <c r="QA25" s="476" t="s">
        <v>721</v>
      </c>
      <c r="QB25" s="476" t="s">
        <v>721</v>
      </c>
      <c r="QC25" s="476" t="s">
        <v>721</v>
      </c>
      <c r="QD25" s="476" t="s">
        <v>721</v>
      </c>
      <c r="QE25" s="476" t="s">
        <v>721</v>
      </c>
      <c r="QF25" s="476" t="s">
        <v>721</v>
      </c>
      <c r="QG25" s="476" t="s">
        <v>721</v>
      </c>
      <c r="QH25" s="476" t="s">
        <v>721</v>
      </c>
      <c r="QI25" s="476" t="s">
        <v>721</v>
      </c>
      <c r="QJ25" s="476" t="s">
        <v>721</v>
      </c>
      <c r="QK25" s="476" t="s">
        <v>721</v>
      </c>
      <c r="QL25" s="476">
        <v>0.68799999999999994</v>
      </c>
      <c r="QM25" s="476" t="s">
        <v>721</v>
      </c>
      <c r="QN25" s="476" t="s">
        <v>721</v>
      </c>
      <c r="QO25" s="476" t="s">
        <v>721</v>
      </c>
      <c r="QP25" s="476" t="s">
        <v>721</v>
      </c>
      <c r="QQ25" s="476" t="s">
        <v>721</v>
      </c>
      <c r="QR25" s="476" t="s">
        <v>721</v>
      </c>
      <c r="QS25" s="476" t="s">
        <v>721</v>
      </c>
      <c r="QT25" s="476" t="s">
        <v>721</v>
      </c>
      <c r="QU25" s="476" t="s">
        <v>721</v>
      </c>
      <c r="QV25" s="476" t="s">
        <v>721</v>
      </c>
      <c r="QW25" s="476" t="s">
        <v>721</v>
      </c>
      <c r="QX25" s="476" t="s">
        <v>721</v>
      </c>
      <c r="QY25" s="476" t="s">
        <v>721</v>
      </c>
      <c r="QZ25" s="476" t="s">
        <v>721</v>
      </c>
      <c r="RA25" s="476" t="s">
        <v>721</v>
      </c>
      <c r="RB25" s="476" t="s">
        <v>721</v>
      </c>
      <c r="RC25" s="476" t="s">
        <v>721</v>
      </c>
      <c r="RD25" s="476" t="s">
        <v>721</v>
      </c>
      <c r="RE25" s="476" t="s">
        <v>721</v>
      </c>
      <c r="RF25" s="476" t="s">
        <v>721</v>
      </c>
      <c r="RG25" s="476" t="s">
        <v>721</v>
      </c>
      <c r="RH25" s="476" t="s">
        <v>721</v>
      </c>
      <c r="RI25" s="476" t="s">
        <v>721</v>
      </c>
      <c r="RJ25" s="476" t="s">
        <v>721</v>
      </c>
      <c r="RK25" s="476" t="s">
        <v>721</v>
      </c>
      <c r="RL25" s="476" t="s">
        <v>721</v>
      </c>
      <c r="RM25" s="476" t="s">
        <v>721</v>
      </c>
      <c r="RN25" s="476" t="s">
        <v>721</v>
      </c>
      <c r="RO25" s="476" t="s">
        <v>721</v>
      </c>
      <c r="RP25" s="476" t="s">
        <v>721</v>
      </c>
      <c r="RQ25" s="476" t="s">
        <v>721</v>
      </c>
      <c r="RR25" s="476" t="s">
        <v>721</v>
      </c>
      <c r="RS25" s="476" t="s">
        <v>721</v>
      </c>
      <c r="RT25" s="476" t="s">
        <v>721</v>
      </c>
      <c r="RU25" s="476" t="s">
        <v>721</v>
      </c>
      <c r="RV25" s="476" t="s">
        <v>721</v>
      </c>
      <c r="RW25" s="476" t="s">
        <v>721</v>
      </c>
      <c r="RX25" s="476">
        <v>0.79600000000000004</v>
      </c>
      <c r="RY25" s="476">
        <v>5.5E-2</v>
      </c>
      <c r="RZ25" s="476">
        <v>1.0999999999999999E-2</v>
      </c>
      <c r="SA25" s="476">
        <v>5.0000000000000001E-3</v>
      </c>
      <c r="SB25" s="476">
        <v>5.2999999999999999E-2</v>
      </c>
      <c r="SC25" s="476">
        <v>6.0000000000000001E-3</v>
      </c>
      <c r="SD25" s="476">
        <v>3.6999999999999998E-2</v>
      </c>
      <c r="SE25" s="476" t="s">
        <v>721</v>
      </c>
      <c r="SF25" s="476" t="s">
        <v>721</v>
      </c>
      <c r="SG25" s="476" t="s">
        <v>721</v>
      </c>
      <c r="SH25" s="476" t="s">
        <v>721</v>
      </c>
      <c r="SI25" s="476" t="s">
        <v>721</v>
      </c>
      <c r="SJ25" s="476" t="s">
        <v>721</v>
      </c>
      <c r="SK25" s="476" t="s">
        <v>721</v>
      </c>
      <c r="SL25" s="476">
        <v>8.0000000000000002E-3</v>
      </c>
      <c r="SM25" s="476" t="s">
        <v>721</v>
      </c>
      <c r="SN25" s="476" t="s">
        <v>721</v>
      </c>
      <c r="SO25" s="476">
        <v>0.01</v>
      </c>
      <c r="SP25" s="476">
        <v>1.9E-2</v>
      </c>
      <c r="SQ25" s="476">
        <v>0.76600000000000001</v>
      </c>
      <c r="SR25" s="476" t="s">
        <v>721</v>
      </c>
      <c r="SS25" s="476" t="s">
        <v>721</v>
      </c>
      <c r="ST25" s="476" t="s">
        <v>721</v>
      </c>
      <c r="SU25" s="476" t="s">
        <v>721</v>
      </c>
      <c r="SV25" s="476" t="s">
        <v>721</v>
      </c>
      <c r="SW25" s="476" t="s">
        <v>721</v>
      </c>
      <c r="SX25" s="476" t="s">
        <v>721</v>
      </c>
      <c r="SY25" s="476" t="s">
        <v>721</v>
      </c>
      <c r="SZ25" s="476" t="s">
        <v>721</v>
      </c>
      <c r="TA25" s="476" t="s">
        <v>721</v>
      </c>
      <c r="TB25" s="476" t="s">
        <v>721</v>
      </c>
      <c r="TC25" s="476" t="s">
        <v>721</v>
      </c>
      <c r="TD25" s="476" t="s">
        <v>721</v>
      </c>
      <c r="TE25" s="476" t="s">
        <v>721</v>
      </c>
      <c r="TF25" s="476" t="s">
        <v>721</v>
      </c>
      <c r="TG25" s="476" t="s">
        <v>721</v>
      </c>
      <c r="TH25" s="476" t="s">
        <v>721</v>
      </c>
      <c r="TI25" s="476" t="s">
        <v>721</v>
      </c>
      <c r="TJ25" s="476">
        <v>0.61099999999999999</v>
      </c>
      <c r="TK25" s="476" t="s">
        <v>721</v>
      </c>
      <c r="TL25" s="476" t="s">
        <v>721</v>
      </c>
      <c r="TM25" s="476" t="s">
        <v>721</v>
      </c>
      <c r="TN25" s="476" t="s">
        <v>721</v>
      </c>
      <c r="TO25" s="476" t="s">
        <v>721</v>
      </c>
      <c r="TP25" s="476" t="s">
        <v>721</v>
      </c>
      <c r="TQ25" s="476" t="s">
        <v>721</v>
      </c>
      <c r="TR25" s="476" t="s">
        <v>721</v>
      </c>
      <c r="TS25" s="476" t="s">
        <v>721</v>
      </c>
      <c r="TT25" s="476" t="s">
        <v>721</v>
      </c>
      <c r="TU25" s="476" t="s">
        <v>721</v>
      </c>
      <c r="TV25" s="476" t="s">
        <v>721</v>
      </c>
      <c r="TW25" s="476" t="s">
        <v>721</v>
      </c>
      <c r="TX25" s="476" t="s">
        <v>721</v>
      </c>
      <c r="TY25" s="476" t="s">
        <v>721</v>
      </c>
      <c r="TZ25" s="476" t="s">
        <v>721</v>
      </c>
      <c r="UA25" s="476" t="s">
        <v>721</v>
      </c>
      <c r="UB25" s="476" t="s">
        <v>721</v>
      </c>
      <c r="UC25" s="476">
        <v>0.79500000000000004</v>
      </c>
      <c r="UD25" s="476">
        <v>6.2E-2</v>
      </c>
      <c r="UE25" s="476" t="s">
        <v>721</v>
      </c>
      <c r="UF25" s="476" t="s">
        <v>721</v>
      </c>
      <c r="UG25" s="476" t="s">
        <v>721</v>
      </c>
      <c r="UH25" s="476" t="s">
        <v>721</v>
      </c>
      <c r="UI25" s="476">
        <v>5.7000000000000002E-2</v>
      </c>
      <c r="UJ25" s="476" t="s">
        <v>721</v>
      </c>
      <c r="UK25" s="476" t="s">
        <v>721</v>
      </c>
      <c r="UL25" s="476" t="s">
        <v>721</v>
      </c>
      <c r="UM25" s="476" t="s">
        <v>721</v>
      </c>
      <c r="UN25" s="476" t="s">
        <v>721</v>
      </c>
      <c r="UO25" s="476" t="s">
        <v>721</v>
      </c>
      <c r="UP25" s="476" t="s">
        <v>721</v>
      </c>
      <c r="UQ25" s="476" t="s">
        <v>721</v>
      </c>
      <c r="UR25" s="476" t="s">
        <v>721</v>
      </c>
      <c r="US25" s="476" t="s">
        <v>721</v>
      </c>
      <c r="UT25" s="476" t="s">
        <v>721</v>
      </c>
      <c r="UU25" s="476" t="s">
        <v>721</v>
      </c>
      <c r="UV25" s="476">
        <v>0.79500000000000004</v>
      </c>
      <c r="UW25" s="476" t="s">
        <v>721</v>
      </c>
      <c r="UX25" s="476" t="s">
        <v>721</v>
      </c>
      <c r="UY25" s="476" t="s">
        <v>721</v>
      </c>
      <c r="UZ25" s="476" t="s">
        <v>721</v>
      </c>
      <c r="VA25" s="476" t="s">
        <v>721</v>
      </c>
      <c r="VB25" s="476" t="s">
        <v>721</v>
      </c>
      <c r="VC25" s="476" t="s">
        <v>721</v>
      </c>
      <c r="VD25" s="476" t="s">
        <v>721</v>
      </c>
      <c r="VE25" s="476" t="s">
        <v>721</v>
      </c>
      <c r="VF25" s="476" t="s">
        <v>721</v>
      </c>
      <c r="VG25" s="476" t="s">
        <v>721</v>
      </c>
      <c r="VH25" s="476" t="s">
        <v>721</v>
      </c>
      <c r="VI25" s="476" t="s">
        <v>721</v>
      </c>
      <c r="VJ25" s="476" t="s">
        <v>721</v>
      </c>
      <c r="VK25" s="476" t="s">
        <v>721</v>
      </c>
      <c r="VL25" s="476" t="s">
        <v>721</v>
      </c>
      <c r="VM25" s="476" t="s">
        <v>721</v>
      </c>
      <c r="VN25" s="476" t="s">
        <v>721</v>
      </c>
      <c r="VO25" s="28"/>
      <c r="VP25" s="28"/>
      <c r="VQ25" s="28"/>
      <c r="VR25" s="28"/>
      <c r="VS25" s="28"/>
      <c r="VT25" s="28"/>
      <c r="VU25" s="28"/>
      <c r="VV25" s="28"/>
      <c r="VW25" s="28"/>
      <c r="VX25" s="28"/>
      <c r="VY25" s="28"/>
      <c r="VZ25" s="28"/>
      <c r="WA25" s="28"/>
      <c r="WB25" s="28"/>
      <c r="WC25" s="28"/>
      <c r="WD25" s="28"/>
      <c r="WE25" s="28"/>
      <c r="WF25" s="28"/>
      <c r="WG25" s="28"/>
      <c r="WH25" s="28"/>
      <c r="WI25" s="28"/>
      <c r="WJ25" s="28"/>
      <c r="WK25" s="28"/>
      <c r="WL25" s="28"/>
      <c r="WM25" s="28"/>
      <c r="WN25" s="28"/>
      <c r="WO25" s="28"/>
      <c r="WP25" s="28"/>
      <c r="WQ25" s="28"/>
      <c r="WR25" s="28"/>
      <c r="WS25" s="28"/>
      <c r="WT25" s="28"/>
      <c r="WU25" s="28"/>
      <c r="WV25" s="28"/>
      <c r="WW25" s="28"/>
    </row>
    <row r="26" spans="1:621" s="151" customFormat="1" ht="15.75" customHeight="1" x14ac:dyDescent="0.35">
      <c r="A26" s="477" t="s">
        <v>36</v>
      </c>
      <c r="B26" s="492" t="s">
        <v>17</v>
      </c>
      <c r="C26" s="493">
        <v>16.5</v>
      </c>
      <c r="D26" s="494">
        <v>1982</v>
      </c>
      <c r="E26" s="473">
        <v>214734.3</v>
      </c>
      <c r="F26" s="473">
        <v>108.3</v>
      </c>
      <c r="G26" s="474">
        <v>1918</v>
      </c>
      <c r="H26" s="474">
        <v>1804</v>
      </c>
      <c r="I26" s="474">
        <v>1945</v>
      </c>
      <c r="J26" s="474">
        <v>1346</v>
      </c>
      <c r="K26" s="474">
        <v>566</v>
      </c>
      <c r="L26" s="473">
        <v>100161.1</v>
      </c>
      <c r="M26" s="474">
        <v>1396</v>
      </c>
      <c r="N26" s="473">
        <v>114573.2</v>
      </c>
      <c r="O26" s="494">
        <v>204</v>
      </c>
      <c r="P26" s="495">
        <v>34669.5</v>
      </c>
      <c r="Q26" s="494">
        <v>207</v>
      </c>
      <c r="R26" s="495">
        <v>6735.1</v>
      </c>
      <c r="S26" s="494">
        <v>661</v>
      </c>
      <c r="T26" s="495">
        <v>66176.100000000006</v>
      </c>
      <c r="U26" s="494">
        <v>12</v>
      </c>
      <c r="V26" s="495">
        <v>1877.2</v>
      </c>
      <c r="W26" s="494">
        <v>1309</v>
      </c>
      <c r="X26" s="495">
        <v>146681</v>
      </c>
      <c r="Y26" s="494">
        <v>1815</v>
      </c>
      <c r="Z26" s="494">
        <v>655</v>
      </c>
      <c r="AA26" s="494">
        <v>968</v>
      </c>
      <c r="AB26" s="494">
        <v>511</v>
      </c>
      <c r="AC26" s="494">
        <v>85</v>
      </c>
      <c r="AD26" s="494">
        <v>280</v>
      </c>
      <c r="AE26" s="494">
        <v>1046</v>
      </c>
      <c r="AF26" s="495">
        <v>71608.899999999994</v>
      </c>
      <c r="AG26" s="494">
        <v>840</v>
      </c>
      <c r="AH26" s="495">
        <v>138297.1</v>
      </c>
      <c r="AI26" s="494">
        <v>41</v>
      </c>
      <c r="AJ26" s="495">
        <v>1792.7</v>
      </c>
      <c r="AK26" s="494">
        <v>35</v>
      </c>
      <c r="AL26" s="495">
        <v>3035.6</v>
      </c>
      <c r="AM26" s="496">
        <v>1153</v>
      </c>
      <c r="AN26" s="496">
        <v>829</v>
      </c>
      <c r="AO26" s="496">
        <v>1384</v>
      </c>
      <c r="AP26" s="496">
        <v>312</v>
      </c>
      <c r="AQ26" s="496">
        <v>34</v>
      </c>
      <c r="AR26" s="496">
        <v>13</v>
      </c>
      <c r="AS26" s="496">
        <v>144</v>
      </c>
      <c r="AT26" s="496" t="s">
        <v>721</v>
      </c>
      <c r="AU26" s="496">
        <v>42</v>
      </c>
      <c r="AV26" s="496" t="s">
        <v>721</v>
      </c>
      <c r="AW26" s="496" t="s">
        <v>721</v>
      </c>
      <c r="AX26" s="496" t="s">
        <v>721</v>
      </c>
      <c r="AY26" s="496" t="s">
        <v>721</v>
      </c>
      <c r="AZ26" s="496" t="s">
        <v>721</v>
      </c>
      <c r="BA26" s="496" t="s">
        <v>721</v>
      </c>
      <c r="BB26" s="496" t="s">
        <v>721</v>
      </c>
      <c r="BC26" s="496" t="s">
        <v>721</v>
      </c>
      <c r="BD26" s="496" t="s">
        <v>721</v>
      </c>
      <c r="BE26" s="496" t="s">
        <v>721</v>
      </c>
      <c r="BF26" s="496" t="s">
        <v>721</v>
      </c>
      <c r="BG26" s="496">
        <v>32</v>
      </c>
      <c r="BH26" s="496" t="s">
        <v>721</v>
      </c>
      <c r="BI26" s="496">
        <v>201</v>
      </c>
      <c r="BJ26" s="496" t="s">
        <v>721</v>
      </c>
      <c r="BK26" s="496" t="s">
        <v>721</v>
      </c>
      <c r="BL26" s="496" t="s">
        <v>721</v>
      </c>
      <c r="BM26" s="496" t="s">
        <v>721</v>
      </c>
      <c r="BN26" s="496" t="s">
        <v>721</v>
      </c>
      <c r="BO26" s="496">
        <v>1757</v>
      </c>
      <c r="BP26" s="496" t="s">
        <v>721</v>
      </c>
      <c r="BQ26" s="496" t="s">
        <v>721</v>
      </c>
      <c r="BR26" s="496" t="s">
        <v>721</v>
      </c>
      <c r="BS26" s="496" t="s">
        <v>721</v>
      </c>
      <c r="BT26" s="496" t="s">
        <v>721</v>
      </c>
      <c r="BU26" s="496" t="s">
        <v>721</v>
      </c>
      <c r="BV26" s="496" t="s">
        <v>721</v>
      </c>
      <c r="BW26" s="496" t="s">
        <v>721</v>
      </c>
      <c r="BX26" s="496" t="s">
        <v>721</v>
      </c>
      <c r="BY26" s="496" t="s">
        <v>721</v>
      </c>
      <c r="BZ26" s="496" t="s">
        <v>721</v>
      </c>
      <c r="CA26" s="496" t="s">
        <v>721</v>
      </c>
      <c r="CB26" s="496" t="s">
        <v>721</v>
      </c>
      <c r="CC26" s="496" t="s">
        <v>721</v>
      </c>
      <c r="CD26" s="496" t="s">
        <v>721</v>
      </c>
      <c r="CE26" s="496" t="s">
        <v>721</v>
      </c>
      <c r="CF26" s="496" t="s">
        <v>721</v>
      </c>
      <c r="CG26" s="496" t="s">
        <v>721</v>
      </c>
      <c r="CH26" s="496" t="s">
        <v>721</v>
      </c>
      <c r="CI26" s="496" t="s">
        <v>721</v>
      </c>
      <c r="CJ26" s="496" t="s">
        <v>721</v>
      </c>
      <c r="CK26" s="496" t="s">
        <v>721</v>
      </c>
      <c r="CL26" s="496" t="s">
        <v>721</v>
      </c>
      <c r="CM26" s="496" t="s">
        <v>721</v>
      </c>
      <c r="CN26" s="496" t="s">
        <v>721</v>
      </c>
      <c r="CO26" s="496" t="s">
        <v>721</v>
      </c>
      <c r="CP26" s="496">
        <v>142</v>
      </c>
      <c r="CQ26" s="496" t="s">
        <v>721</v>
      </c>
      <c r="CR26" s="496" t="s">
        <v>721</v>
      </c>
      <c r="CS26" s="496" t="s">
        <v>721</v>
      </c>
      <c r="CT26" s="496" t="s">
        <v>721</v>
      </c>
      <c r="CU26" s="496" t="s">
        <v>721</v>
      </c>
      <c r="CV26" s="496">
        <v>1655</v>
      </c>
      <c r="CW26" s="496" t="s">
        <v>721</v>
      </c>
      <c r="CX26" s="496" t="s">
        <v>721</v>
      </c>
      <c r="CY26" s="496" t="s">
        <v>721</v>
      </c>
      <c r="CZ26" s="496" t="s">
        <v>721</v>
      </c>
      <c r="DA26" s="496" t="s">
        <v>721</v>
      </c>
      <c r="DB26" s="496" t="s">
        <v>721</v>
      </c>
      <c r="DC26" s="496" t="s">
        <v>721</v>
      </c>
      <c r="DD26" s="496" t="s">
        <v>721</v>
      </c>
      <c r="DE26" s="496" t="s">
        <v>721</v>
      </c>
      <c r="DF26" s="496" t="s">
        <v>721</v>
      </c>
      <c r="DG26" s="496" t="s">
        <v>721</v>
      </c>
      <c r="DH26" s="496" t="s">
        <v>721</v>
      </c>
      <c r="DI26" s="496" t="s">
        <v>721</v>
      </c>
      <c r="DJ26" s="496" t="s">
        <v>721</v>
      </c>
      <c r="DK26" s="496" t="s">
        <v>721</v>
      </c>
      <c r="DL26" s="496" t="s">
        <v>721</v>
      </c>
      <c r="DM26" s="496" t="s">
        <v>721</v>
      </c>
      <c r="DN26" s="496" t="s">
        <v>721</v>
      </c>
      <c r="DO26" s="496" t="s">
        <v>721</v>
      </c>
      <c r="DP26" s="496" t="s">
        <v>721</v>
      </c>
      <c r="DQ26" s="496" t="s">
        <v>721</v>
      </c>
      <c r="DR26" s="496" t="s">
        <v>721</v>
      </c>
      <c r="DS26" s="483" t="s">
        <v>721</v>
      </c>
      <c r="DT26" s="483" t="s">
        <v>721</v>
      </c>
      <c r="DU26" s="483" t="s">
        <v>721</v>
      </c>
      <c r="DV26" s="496">
        <v>122</v>
      </c>
      <c r="DW26" s="497">
        <v>22819.8</v>
      </c>
      <c r="DX26" s="496">
        <v>306</v>
      </c>
      <c r="DY26" s="497">
        <v>43052.6</v>
      </c>
      <c r="DZ26" s="496">
        <v>563</v>
      </c>
      <c r="EA26" s="497">
        <v>52252.3</v>
      </c>
      <c r="EB26" s="496">
        <v>477</v>
      </c>
      <c r="EC26" s="497">
        <v>41815.599999999999</v>
      </c>
      <c r="ED26" s="496">
        <v>350</v>
      </c>
      <c r="EE26" s="497">
        <v>34573.699999999997</v>
      </c>
      <c r="EF26" s="496">
        <v>164</v>
      </c>
      <c r="EG26" s="497">
        <v>20220.3</v>
      </c>
      <c r="EH26" s="485">
        <v>1720</v>
      </c>
      <c r="EI26" s="486">
        <v>7129.5</v>
      </c>
      <c r="EJ26" s="485">
        <v>1680</v>
      </c>
      <c r="EK26" s="486">
        <v>37550.1</v>
      </c>
      <c r="EL26" s="485">
        <v>1694</v>
      </c>
      <c r="EM26" s="486">
        <v>17760.7</v>
      </c>
      <c r="EN26" s="485">
        <v>1747</v>
      </c>
      <c r="EO26" s="486">
        <v>9222.7999999999993</v>
      </c>
      <c r="EP26" s="485">
        <v>1691</v>
      </c>
      <c r="EQ26" s="486">
        <v>6992.7</v>
      </c>
      <c r="ER26" s="485">
        <v>1668</v>
      </c>
      <c r="ES26" s="486">
        <v>3531.4</v>
      </c>
      <c r="ET26" s="485">
        <v>1</v>
      </c>
      <c r="EU26" s="485">
        <v>1060</v>
      </c>
      <c r="EV26" s="486">
        <v>16078.2</v>
      </c>
      <c r="EW26" s="485">
        <v>220</v>
      </c>
      <c r="EX26" s="486">
        <v>962.1</v>
      </c>
      <c r="EY26" s="485">
        <v>683</v>
      </c>
      <c r="EZ26" s="486">
        <v>6989.6</v>
      </c>
      <c r="FA26" s="485">
        <v>197</v>
      </c>
      <c r="FB26" s="486">
        <v>1813.3</v>
      </c>
      <c r="FC26" s="485">
        <v>1557</v>
      </c>
      <c r="FD26" s="486">
        <v>17712.2</v>
      </c>
      <c r="FE26" s="485">
        <v>1419</v>
      </c>
      <c r="FF26" s="486">
        <v>10613.9</v>
      </c>
      <c r="FG26" s="485">
        <v>838</v>
      </c>
      <c r="FH26" s="486">
        <v>8280.2999999999993</v>
      </c>
      <c r="FI26" s="485">
        <v>1146</v>
      </c>
      <c r="FJ26" s="486">
        <v>6492</v>
      </c>
      <c r="FK26" s="485">
        <v>1338</v>
      </c>
      <c r="FL26" s="486">
        <v>4555.7</v>
      </c>
      <c r="FM26" s="485">
        <v>44</v>
      </c>
      <c r="FN26" s="486">
        <v>119.9</v>
      </c>
      <c r="FO26" s="485">
        <v>1676</v>
      </c>
      <c r="FP26" s="486">
        <v>11880.7</v>
      </c>
      <c r="FQ26" s="485">
        <v>1576</v>
      </c>
      <c r="FR26" s="486">
        <v>5542.6</v>
      </c>
      <c r="FS26" s="485">
        <v>36</v>
      </c>
      <c r="FT26" s="486">
        <v>236.3</v>
      </c>
      <c r="FU26" s="485">
        <v>0</v>
      </c>
      <c r="FV26" s="486">
        <v>0</v>
      </c>
      <c r="FW26" s="485">
        <v>0</v>
      </c>
      <c r="FX26" s="486">
        <v>0</v>
      </c>
      <c r="FY26" s="485">
        <v>0</v>
      </c>
      <c r="FZ26" s="486">
        <v>0</v>
      </c>
      <c r="GA26" s="485">
        <v>0</v>
      </c>
      <c r="GB26" s="485">
        <v>0</v>
      </c>
      <c r="GC26" s="487">
        <v>0</v>
      </c>
      <c r="GD26" s="488">
        <v>4</v>
      </c>
      <c r="GE26" s="488">
        <v>153</v>
      </c>
      <c r="GF26" s="488">
        <v>879</v>
      </c>
      <c r="GG26" s="488">
        <v>4</v>
      </c>
      <c r="GH26" s="488">
        <v>1</v>
      </c>
      <c r="GI26" s="488">
        <v>9</v>
      </c>
      <c r="GJ26" s="488">
        <v>0</v>
      </c>
      <c r="GK26" s="488">
        <v>606</v>
      </c>
      <c r="GL26" s="488">
        <v>416</v>
      </c>
      <c r="GM26" s="488">
        <v>1036</v>
      </c>
      <c r="GN26" s="488">
        <v>85</v>
      </c>
      <c r="GO26" s="488">
        <v>75</v>
      </c>
      <c r="GP26" s="488">
        <v>4</v>
      </c>
      <c r="GQ26" s="488">
        <v>26</v>
      </c>
      <c r="GR26" s="488">
        <v>1</v>
      </c>
      <c r="GS26" s="488">
        <v>31</v>
      </c>
      <c r="GT26" s="489">
        <v>1149</v>
      </c>
      <c r="GU26" s="488">
        <v>2</v>
      </c>
      <c r="GV26" s="490">
        <v>0</v>
      </c>
      <c r="GW26" s="490">
        <v>0</v>
      </c>
      <c r="GX26" s="490">
        <v>2</v>
      </c>
      <c r="GY26" s="491">
        <v>3</v>
      </c>
      <c r="GZ26" s="491">
        <v>2</v>
      </c>
      <c r="HA26" s="491">
        <v>5</v>
      </c>
      <c r="HB26" s="475">
        <v>1</v>
      </c>
      <c r="HC26" s="475">
        <v>4</v>
      </c>
      <c r="HD26" s="475">
        <v>0</v>
      </c>
      <c r="HE26" s="475">
        <v>0</v>
      </c>
      <c r="HF26" s="475">
        <v>0</v>
      </c>
      <c r="HG26" s="475">
        <v>0</v>
      </c>
      <c r="HH26" s="475">
        <v>1</v>
      </c>
      <c r="HI26" s="475">
        <v>0</v>
      </c>
      <c r="HJ26" s="475">
        <v>0</v>
      </c>
      <c r="HK26" s="475">
        <v>0</v>
      </c>
      <c r="HL26" s="475">
        <v>1</v>
      </c>
      <c r="HM26" s="475">
        <v>0</v>
      </c>
      <c r="HN26" s="475">
        <v>0</v>
      </c>
      <c r="HO26" s="475">
        <v>0</v>
      </c>
      <c r="HP26" s="475">
        <v>0</v>
      </c>
      <c r="HQ26" s="475">
        <v>0</v>
      </c>
      <c r="HR26" s="475">
        <v>7</v>
      </c>
      <c r="HS26" s="475">
        <v>0</v>
      </c>
      <c r="HT26" s="475">
        <v>0</v>
      </c>
      <c r="HU26" s="475">
        <v>0</v>
      </c>
      <c r="HV26" s="475">
        <v>0</v>
      </c>
      <c r="HW26" s="475">
        <v>0</v>
      </c>
      <c r="HX26" s="475">
        <v>0</v>
      </c>
      <c r="HY26" s="475">
        <v>0</v>
      </c>
      <c r="HZ26" s="475">
        <v>60</v>
      </c>
      <c r="IA26" s="475" t="s">
        <v>721</v>
      </c>
      <c r="IB26" s="475" t="s">
        <v>721</v>
      </c>
      <c r="IC26" s="475" t="s">
        <v>721</v>
      </c>
      <c r="ID26" s="475" t="s">
        <v>721</v>
      </c>
      <c r="IE26" s="475" t="s">
        <v>721</v>
      </c>
      <c r="IF26" s="475" t="s">
        <v>721</v>
      </c>
      <c r="IG26" s="475" t="s">
        <v>721</v>
      </c>
      <c r="IH26" s="475" t="s">
        <v>721</v>
      </c>
      <c r="II26" s="475" t="s">
        <v>721</v>
      </c>
      <c r="IJ26" s="475" t="s">
        <v>721</v>
      </c>
      <c r="IK26" s="475" t="s">
        <v>721</v>
      </c>
      <c r="IL26" s="475" t="s">
        <v>721</v>
      </c>
      <c r="IM26" s="475" t="s">
        <v>721</v>
      </c>
      <c r="IN26" s="475" t="s">
        <v>721</v>
      </c>
      <c r="IO26" s="475" t="s">
        <v>721</v>
      </c>
      <c r="IP26" s="475" t="s">
        <v>721</v>
      </c>
      <c r="IQ26" s="475" t="s">
        <v>721</v>
      </c>
      <c r="IR26" s="475" t="s">
        <v>721</v>
      </c>
      <c r="IS26" s="475">
        <v>27</v>
      </c>
      <c r="IT26" s="475" t="s">
        <v>721</v>
      </c>
      <c r="IU26" s="475" t="s">
        <v>721</v>
      </c>
      <c r="IV26" s="475" t="s">
        <v>721</v>
      </c>
      <c r="IW26" s="475" t="s">
        <v>721</v>
      </c>
      <c r="IX26" s="475" t="s">
        <v>721</v>
      </c>
      <c r="IY26" s="475" t="s">
        <v>721</v>
      </c>
      <c r="IZ26" s="475" t="s">
        <v>721</v>
      </c>
      <c r="JA26" s="475" t="s">
        <v>721</v>
      </c>
      <c r="JB26" s="475" t="s">
        <v>721</v>
      </c>
      <c r="JC26" s="475" t="s">
        <v>721</v>
      </c>
      <c r="JD26" s="475" t="s">
        <v>721</v>
      </c>
      <c r="JE26" s="475" t="s">
        <v>721</v>
      </c>
      <c r="JF26" s="475" t="s">
        <v>721</v>
      </c>
      <c r="JG26" s="475" t="s">
        <v>721</v>
      </c>
      <c r="JH26" s="475" t="s">
        <v>721</v>
      </c>
      <c r="JI26" s="475" t="s">
        <v>721</v>
      </c>
      <c r="JJ26" s="475" t="s">
        <v>721</v>
      </c>
      <c r="JK26" s="475" t="s">
        <v>721</v>
      </c>
      <c r="JL26" s="755">
        <v>146613.20000000001</v>
      </c>
      <c r="JM26" s="755">
        <v>39362.5</v>
      </c>
      <c r="JN26" s="755">
        <v>3371.2</v>
      </c>
      <c r="JO26" s="755">
        <v>1486.4</v>
      </c>
      <c r="JP26" s="755">
        <v>15026.2</v>
      </c>
      <c r="JQ26" s="755">
        <v>774.2</v>
      </c>
      <c r="JR26" s="755">
        <v>3367.8</v>
      </c>
      <c r="JS26" s="755" t="s">
        <v>721</v>
      </c>
      <c r="JT26" s="755">
        <v>1494.1</v>
      </c>
      <c r="JU26" s="755">
        <v>301.10000000000002</v>
      </c>
      <c r="JV26" s="755" t="s">
        <v>721</v>
      </c>
      <c r="JW26" s="755">
        <v>60.1</v>
      </c>
      <c r="JX26" s="755" t="s">
        <v>721</v>
      </c>
      <c r="JY26" s="755">
        <v>150.80000000000001</v>
      </c>
      <c r="JZ26" s="755">
        <v>147.6</v>
      </c>
      <c r="KA26" s="755" t="s">
        <v>721</v>
      </c>
      <c r="KB26" s="755" t="s">
        <v>721</v>
      </c>
      <c r="KC26" s="755">
        <v>134.19999999999999</v>
      </c>
      <c r="KD26" s="755">
        <v>2444.9</v>
      </c>
      <c r="KE26" s="475">
        <v>121</v>
      </c>
      <c r="KF26" s="475">
        <v>58</v>
      </c>
      <c r="KG26" s="475" t="s">
        <v>721</v>
      </c>
      <c r="KH26" s="475" t="s">
        <v>721</v>
      </c>
      <c r="KI26" s="475">
        <v>11</v>
      </c>
      <c r="KJ26" s="475" t="s">
        <v>721</v>
      </c>
      <c r="KK26" s="475" t="s">
        <v>721</v>
      </c>
      <c r="KL26" s="475" t="s">
        <v>721</v>
      </c>
      <c r="KM26" s="475" t="s">
        <v>721</v>
      </c>
      <c r="KN26" s="475" t="s">
        <v>721</v>
      </c>
      <c r="KO26" s="475" t="s">
        <v>721</v>
      </c>
      <c r="KP26" s="475" t="s">
        <v>721</v>
      </c>
      <c r="KQ26" s="475" t="s">
        <v>721</v>
      </c>
      <c r="KR26" s="475" t="s">
        <v>721</v>
      </c>
      <c r="KS26" s="475" t="s">
        <v>721</v>
      </c>
      <c r="KT26" s="475" t="s">
        <v>721</v>
      </c>
      <c r="KU26" s="475" t="s">
        <v>721</v>
      </c>
      <c r="KV26" s="475" t="s">
        <v>721</v>
      </c>
      <c r="KW26" s="475" t="s">
        <v>721</v>
      </c>
      <c r="KX26" s="475">
        <v>118</v>
      </c>
      <c r="KY26" s="475">
        <v>53</v>
      </c>
      <c r="KZ26" s="475" t="s">
        <v>721</v>
      </c>
      <c r="LA26" s="475" t="s">
        <v>721</v>
      </c>
      <c r="LB26" s="475">
        <v>20</v>
      </c>
      <c r="LC26" s="475" t="s">
        <v>721</v>
      </c>
      <c r="LD26" s="475" t="s">
        <v>721</v>
      </c>
      <c r="LE26" s="475" t="s">
        <v>721</v>
      </c>
      <c r="LF26" s="475" t="s">
        <v>721</v>
      </c>
      <c r="LG26" s="475" t="s">
        <v>721</v>
      </c>
      <c r="LH26" s="475" t="s">
        <v>721</v>
      </c>
      <c r="LI26" s="475" t="s">
        <v>721</v>
      </c>
      <c r="LJ26" s="475" t="s">
        <v>721</v>
      </c>
      <c r="LK26" s="475" t="s">
        <v>721</v>
      </c>
      <c r="LL26" s="475" t="s">
        <v>721</v>
      </c>
      <c r="LM26" s="475" t="s">
        <v>721</v>
      </c>
      <c r="LN26" s="475" t="s">
        <v>721</v>
      </c>
      <c r="LO26" s="475" t="s">
        <v>721</v>
      </c>
      <c r="LP26" s="475" t="s">
        <v>721</v>
      </c>
      <c r="LQ26" s="475">
        <v>985</v>
      </c>
      <c r="LR26" s="475">
        <v>201</v>
      </c>
      <c r="LS26" s="475">
        <v>28</v>
      </c>
      <c r="LT26" s="475" t="s">
        <v>721</v>
      </c>
      <c r="LU26" s="475">
        <v>103</v>
      </c>
      <c r="LV26" s="475" t="s">
        <v>721</v>
      </c>
      <c r="LW26" s="475">
        <v>31</v>
      </c>
      <c r="LX26" s="475" t="s">
        <v>721</v>
      </c>
      <c r="LY26" s="475" t="s">
        <v>721</v>
      </c>
      <c r="LZ26" s="475" t="s">
        <v>721</v>
      </c>
      <c r="MA26" s="475" t="s">
        <v>721</v>
      </c>
      <c r="MB26" s="475" t="s">
        <v>721</v>
      </c>
      <c r="MC26" s="475" t="s">
        <v>721</v>
      </c>
      <c r="MD26" s="475" t="s">
        <v>721</v>
      </c>
      <c r="ME26" s="475" t="s">
        <v>721</v>
      </c>
      <c r="MF26" s="475" t="s">
        <v>721</v>
      </c>
      <c r="MG26" s="475" t="s">
        <v>721</v>
      </c>
      <c r="MH26" s="475" t="s">
        <v>721</v>
      </c>
      <c r="MI26" s="475">
        <v>26</v>
      </c>
      <c r="MJ26" s="475">
        <v>380</v>
      </c>
      <c r="MK26" s="475">
        <v>111</v>
      </c>
      <c r="ML26" s="475" t="s">
        <v>721</v>
      </c>
      <c r="MM26" s="475" t="s">
        <v>721</v>
      </c>
      <c r="MN26" s="475">
        <v>41</v>
      </c>
      <c r="MO26" s="475" t="s">
        <v>721</v>
      </c>
      <c r="MP26" s="475">
        <v>11</v>
      </c>
      <c r="MQ26" s="475" t="s">
        <v>721</v>
      </c>
      <c r="MR26" s="475" t="s">
        <v>721</v>
      </c>
      <c r="MS26" s="475" t="s">
        <v>721</v>
      </c>
      <c r="MT26" s="475" t="s">
        <v>721</v>
      </c>
      <c r="MU26" s="475" t="s">
        <v>721</v>
      </c>
      <c r="MV26" s="475" t="s">
        <v>721</v>
      </c>
      <c r="MW26" s="475" t="s">
        <v>721</v>
      </c>
      <c r="MX26" s="475" t="s">
        <v>721</v>
      </c>
      <c r="MY26" s="475" t="s">
        <v>721</v>
      </c>
      <c r="MZ26" s="475" t="s">
        <v>721</v>
      </c>
      <c r="NA26" s="475" t="s">
        <v>721</v>
      </c>
      <c r="NB26" s="475" t="s">
        <v>721</v>
      </c>
      <c r="NC26" s="476">
        <v>0.58199999999999996</v>
      </c>
      <c r="ND26" s="476">
        <v>0.41799999999999998</v>
      </c>
      <c r="NE26" s="476">
        <v>0.69799999999999995</v>
      </c>
      <c r="NF26" s="476">
        <v>0.157</v>
      </c>
      <c r="NG26" s="476">
        <v>1.7000000000000001E-2</v>
      </c>
      <c r="NH26" s="476">
        <v>7.0000000000000001E-3</v>
      </c>
      <c r="NI26" s="476">
        <v>7.2999999999999995E-2</v>
      </c>
      <c r="NJ26" s="476" t="s">
        <v>721</v>
      </c>
      <c r="NK26" s="476">
        <v>2.1000000000000001E-2</v>
      </c>
      <c r="NL26" s="476" t="s">
        <v>721</v>
      </c>
      <c r="NM26" s="476" t="s">
        <v>721</v>
      </c>
      <c r="NN26" s="476" t="s">
        <v>721</v>
      </c>
      <c r="NO26" s="476" t="s">
        <v>721</v>
      </c>
      <c r="NP26" s="476" t="s">
        <v>721</v>
      </c>
      <c r="NQ26" s="476" t="s">
        <v>721</v>
      </c>
      <c r="NR26" s="476" t="s">
        <v>721</v>
      </c>
      <c r="NS26" s="476" t="s">
        <v>721</v>
      </c>
      <c r="NT26" s="476" t="s">
        <v>721</v>
      </c>
      <c r="NU26" s="476" t="s">
        <v>721</v>
      </c>
      <c r="NV26" s="476" t="s">
        <v>721</v>
      </c>
      <c r="NW26" s="476">
        <v>1.6E-2</v>
      </c>
      <c r="NX26" s="476" t="s">
        <v>721</v>
      </c>
      <c r="NY26" s="476">
        <v>0.10100000000000001</v>
      </c>
      <c r="NZ26" s="476" t="s">
        <v>721</v>
      </c>
      <c r="OA26" s="476" t="s">
        <v>721</v>
      </c>
      <c r="OB26" s="476" t="s">
        <v>721</v>
      </c>
      <c r="OC26" s="476" t="s">
        <v>721</v>
      </c>
      <c r="OD26" s="476" t="s">
        <v>721</v>
      </c>
      <c r="OE26" s="476">
        <v>0.88600000000000001</v>
      </c>
      <c r="OF26" s="476" t="s">
        <v>721</v>
      </c>
      <c r="OG26" s="476" t="s">
        <v>721</v>
      </c>
      <c r="OH26" s="476" t="s">
        <v>721</v>
      </c>
      <c r="OI26" s="476" t="s">
        <v>721</v>
      </c>
      <c r="OJ26" s="476" t="s">
        <v>721</v>
      </c>
      <c r="OK26" s="476" t="s">
        <v>721</v>
      </c>
      <c r="OL26" s="476" t="s">
        <v>721</v>
      </c>
      <c r="OM26" s="476" t="s">
        <v>721</v>
      </c>
      <c r="ON26" s="476" t="s">
        <v>721</v>
      </c>
      <c r="OO26" s="476" t="s">
        <v>721</v>
      </c>
      <c r="OP26" s="476" t="s">
        <v>721</v>
      </c>
      <c r="OQ26" s="476" t="s">
        <v>721</v>
      </c>
      <c r="OR26" s="476" t="s">
        <v>721</v>
      </c>
      <c r="OS26" s="476" t="s">
        <v>721</v>
      </c>
      <c r="OT26" s="476" t="s">
        <v>721</v>
      </c>
      <c r="OU26" s="476" t="s">
        <v>721</v>
      </c>
      <c r="OV26" s="476" t="s">
        <v>721</v>
      </c>
      <c r="OW26" s="476" t="s">
        <v>721</v>
      </c>
      <c r="OX26" s="476" t="s">
        <v>721</v>
      </c>
      <c r="OY26" s="476" t="s">
        <v>721</v>
      </c>
      <c r="OZ26" s="476" t="s">
        <v>721</v>
      </c>
      <c r="PA26" s="476" t="s">
        <v>721</v>
      </c>
      <c r="PB26" s="476" t="s">
        <v>721</v>
      </c>
      <c r="PC26" s="476" t="s">
        <v>721</v>
      </c>
      <c r="PD26" s="476" t="s">
        <v>721</v>
      </c>
      <c r="PE26" s="476" t="s">
        <v>721</v>
      </c>
      <c r="PF26" s="476">
        <v>7.8E-2</v>
      </c>
      <c r="PG26" s="476" t="s">
        <v>721</v>
      </c>
      <c r="PH26" s="476" t="s">
        <v>721</v>
      </c>
      <c r="PI26" s="476" t="s">
        <v>721</v>
      </c>
      <c r="PJ26" s="476" t="s">
        <v>721</v>
      </c>
      <c r="PK26" s="476" t="s">
        <v>721</v>
      </c>
      <c r="PL26" s="476">
        <v>0.91200000000000003</v>
      </c>
      <c r="PM26" s="476" t="s">
        <v>721</v>
      </c>
      <c r="PN26" s="476" t="s">
        <v>721</v>
      </c>
      <c r="PO26" s="476" t="s">
        <v>721</v>
      </c>
      <c r="PP26" s="476" t="s">
        <v>721</v>
      </c>
      <c r="PQ26" s="476" t="s">
        <v>721</v>
      </c>
      <c r="PR26" s="476" t="s">
        <v>721</v>
      </c>
      <c r="PS26" s="476" t="s">
        <v>721</v>
      </c>
      <c r="PT26" s="476" t="s">
        <v>721</v>
      </c>
      <c r="PU26" s="476" t="s">
        <v>721</v>
      </c>
      <c r="PV26" s="476" t="s">
        <v>721</v>
      </c>
      <c r="PW26" s="476" t="s">
        <v>721</v>
      </c>
      <c r="PX26" s="476" t="s">
        <v>721</v>
      </c>
      <c r="PY26" s="476" t="s">
        <v>721</v>
      </c>
      <c r="PZ26" s="476" t="s">
        <v>721</v>
      </c>
      <c r="QA26" s="476" t="s">
        <v>721</v>
      </c>
      <c r="QB26" s="476" t="s">
        <v>721</v>
      </c>
      <c r="QC26" s="476" t="s">
        <v>721</v>
      </c>
      <c r="QD26" s="476" t="s">
        <v>721</v>
      </c>
      <c r="QE26" s="476" t="s">
        <v>721</v>
      </c>
      <c r="QF26" s="476" t="s">
        <v>721</v>
      </c>
      <c r="QG26" s="476" t="s">
        <v>721</v>
      </c>
      <c r="QH26" s="476" t="s">
        <v>721</v>
      </c>
      <c r="QI26" s="476" t="s">
        <v>721</v>
      </c>
      <c r="QJ26" s="476" t="s">
        <v>721</v>
      </c>
      <c r="QK26" s="476" t="s">
        <v>721</v>
      </c>
      <c r="QL26" s="476">
        <v>0.8</v>
      </c>
      <c r="QM26" s="476" t="s">
        <v>721</v>
      </c>
      <c r="QN26" s="476" t="s">
        <v>721</v>
      </c>
      <c r="QO26" s="476" t="s">
        <v>721</v>
      </c>
      <c r="QP26" s="476" t="s">
        <v>721</v>
      </c>
      <c r="QQ26" s="476" t="s">
        <v>721</v>
      </c>
      <c r="QR26" s="476" t="s">
        <v>721</v>
      </c>
      <c r="QS26" s="476" t="s">
        <v>721</v>
      </c>
      <c r="QT26" s="476" t="s">
        <v>721</v>
      </c>
      <c r="QU26" s="476" t="s">
        <v>721</v>
      </c>
      <c r="QV26" s="476" t="s">
        <v>721</v>
      </c>
      <c r="QW26" s="476" t="s">
        <v>721</v>
      </c>
      <c r="QX26" s="476" t="s">
        <v>721</v>
      </c>
      <c r="QY26" s="476" t="s">
        <v>721</v>
      </c>
      <c r="QZ26" s="476" t="s">
        <v>721</v>
      </c>
      <c r="RA26" s="476" t="s">
        <v>721</v>
      </c>
      <c r="RB26" s="476" t="s">
        <v>721</v>
      </c>
      <c r="RC26" s="476" t="s">
        <v>721</v>
      </c>
      <c r="RD26" s="476" t="s">
        <v>721</v>
      </c>
      <c r="RE26" s="476">
        <v>0.871</v>
      </c>
      <c r="RF26" s="476" t="s">
        <v>721</v>
      </c>
      <c r="RG26" s="476" t="s">
        <v>721</v>
      </c>
      <c r="RH26" s="476" t="s">
        <v>721</v>
      </c>
      <c r="RI26" s="476" t="s">
        <v>721</v>
      </c>
      <c r="RJ26" s="476" t="s">
        <v>721</v>
      </c>
      <c r="RK26" s="476" t="s">
        <v>721</v>
      </c>
      <c r="RL26" s="476" t="s">
        <v>721</v>
      </c>
      <c r="RM26" s="476" t="s">
        <v>721</v>
      </c>
      <c r="RN26" s="476" t="s">
        <v>721</v>
      </c>
      <c r="RO26" s="476" t="s">
        <v>721</v>
      </c>
      <c r="RP26" s="476" t="s">
        <v>721</v>
      </c>
      <c r="RQ26" s="476" t="s">
        <v>721</v>
      </c>
      <c r="RR26" s="476" t="s">
        <v>721</v>
      </c>
      <c r="RS26" s="476" t="s">
        <v>721</v>
      </c>
      <c r="RT26" s="476" t="s">
        <v>721</v>
      </c>
      <c r="RU26" s="476" t="s">
        <v>721</v>
      </c>
      <c r="RV26" s="476" t="s">
        <v>721</v>
      </c>
      <c r="RW26" s="476" t="s">
        <v>721</v>
      </c>
      <c r="RX26" s="476">
        <v>0.68300000000000005</v>
      </c>
      <c r="RY26" s="476">
        <v>0.183</v>
      </c>
      <c r="RZ26" s="476">
        <v>1.6E-2</v>
      </c>
      <c r="SA26" s="476">
        <v>7.0000000000000001E-3</v>
      </c>
      <c r="SB26" s="476">
        <v>7.0000000000000007E-2</v>
      </c>
      <c r="SC26" s="476">
        <v>4.0000000000000001E-3</v>
      </c>
      <c r="SD26" s="476">
        <v>1.6E-2</v>
      </c>
      <c r="SE26" s="476" t="s">
        <v>721</v>
      </c>
      <c r="SF26" s="476">
        <v>7.0000000000000001E-3</v>
      </c>
      <c r="SG26" s="476">
        <v>1E-3</v>
      </c>
      <c r="SH26" s="476" t="s">
        <v>721</v>
      </c>
      <c r="SI26" s="476">
        <v>0</v>
      </c>
      <c r="SJ26" s="476" t="s">
        <v>721</v>
      </c>
      <c r="SK26" s="476">
        <v>1E-3</v>
      </c>
      <c r="SL26" s="476">
        <v>1E-3</v>
      </c>
      <c r="SM26" s="476" t="s">
        <v>721</v>
      </c>
      <c r="SN26" s="476" t="s">
        <v>721</v>
      </c>
      <c r="SO26" s="476">
        <v>1E-3</v>
      </c>
      <c r="SP26" s="476">
        <v>1.0999999999999999E-2</v>
      </c>
      <c r="SQ26" s="476">
        <v>0.59299999999999997</v>
      </c>
      <c r="SR26" s="476">
        <v>0.28399999999999997</v>
      </c>
      <c r="SS26" s="476" t="s">
        <v>721</v>
      </c>
      <c r="ST26" s="476" t="s">
        <v>721</v>
      </c>
      <c r="SU26" s="476">
        <v>5.3999999999999999E-2</v>
      </c>
      <c r="SV26" s="476" t="s">
        <v>721</v>
      </c>
      <c r="SW26" s="476" t="s">
        <v>721</v>
      </c>
      <c r="SX26" s="476" t="s">
        <v>721</v>
      </c>
      <c r="SY26" s="476" t="s">
        <v>721</v>
      </c>
      <c r="SZ26" s="476" t="s">
        <v>721</v>
      </c>
      <c r="TA26" s="476" t="s">
        <v>721</v>
      </c>
      <c r="TB26" s="476" t="s">
        <v>721</v>
      </c>
      <c r="TC26" s="476" t="s">
        <v>721</v>
      </c>
      <c r="TD26" s="476" t="s">
        <v>721</v>
      </c>
      <c r="TE26" s="476" t="s">
        <v>721</v>
      </c>
      <c r="TF26" s="476" t="s">
        <v>721</v>
      </c>
      <c r="TG26" s="476" t="s">
        <v>721</v>
      </c>
      <c r="TH26" s="476" t="s">
        <v>721</v>
      </c>
      <c r="TI26" s="476" t="s">
        <v>721</v>
      </c>
      <c r="TJ26" s="476">
        <v>0.56999999999999995</v>
      </c>
      <c r="TK26" s="476">
        <v>0.25600000000000001</v>
      </c>
      <c r="TL26" s="476" t="s">
        <v>721</v>
      </c>
      <c r="TM26" s="476" t="s">
        <v>721</v>
      </c>
      <c r="TN26" s="476">
        <v>9.7000000000000003E-2</v>
      </c>
      <c r="TO26" s="476" t="s">
        <v>721</v>
      </c>
      <c r="TP26" s="476" t="s">
        <v>721</v>
      </c>
      <c r="TQ26" s="476" t="s">
        <v>721</v>
      </c>
      <c r="TR26" s="476" t="s">
        <v>721</v>
      </c>
      <c r="TS26" s="476" t="s">
        <v>721</v>
      </c>
      <c r="TT26" s="476" t="s">
        <v>721</v>
      </c>
      <c r="TU26" s="476" t="s">
        <v>721</v>
      </c>
      <c r="TV26" s="476" t="s">
        <v>721</v>
      </c>
      <c r="TW26" s="476" t="s">
        <v>721</v>
      </c>
      <c r="TX26" s="476" t="s">
        <v>721</v>
      </c>
      <c r="TY26" s="476" t="s">
        <v>721</v>
      </c>
      <c r="TZ26" s="476" t="s">
        <v>721</v>
      </c>
      <c r="UA26" s="476" t="s">
        <v>721</v>
      </c>
      <c r="UB26" s="476" t="s">
        <v>721</v>
      </c>
      <c r="UC26" s="476">
        <v>0.70599999999999996</v>
      </c>
      <c r="UD26" s="476">
        <v>0.14399999999999999</v>
      </c>
      <c r="UE26" s="476">
        <v>0.02</v>
      </c>
      <c r="UF26" s="476" t="s">
        <v>721</v>
      </c>
      <c r="UG26" s="476">
        <v>7.3999999999999996E-2</v>
      </c>
      <c r="UH26" s="476" t="s">
        <v>721</v>
      </c>
      <c r="UI26" s="476">
        <v>2.1999999999999999E-2</v>
      </c>
      <c r="UJ26" s="476" t="s">
        <v>721</v>
      </c>
      <c r="UK26" s="476" t="s">
        <v>721</v>
      </c>
      <c r="UL26" s="476" t="s">
        <v>721</v>
      </c>
      <c r="UM26" s="476" t="s">
        <v>721</v>
      </c>
      <c r="UN26" s="476" t="s">
        <v>721</v>
      </c>
      <c r="UO26" s="476" t="s">
        <v>721</v>
      </c>
      <c r="UP26" s="476" t="s">
        <v>721</v>
      </c>
      <c r="UQ26" s="476" t="s">
        <v>721</v>
      </c>
      <c r="UR26" s="476" t="s">
        <v>721</v>
      </c>
      <c r="US26" s="476" t="s">
        <v>721</v>
      </c>
      <c r="UT26" s="476" t="s">
        <v>721</v>
      </c>
      <c r="UU26" s="476">
        <v>1.9E-2</v>
      </c>
      <c r="UV26" s="476">
        <v>0.67100000000000004</v>
      </c>
      <c r="UW26" s="476">
        <v>0.19600000000000001</v>
      </c>
      <c r="UX26" s="476" t="s">
        <v>721</v>
      </c>
      <c r="UY26" s="476" t="s">
        <v>721</v>
      </c>
      <c r="UZ26" s="476">
        <v>7.1999999999999995E-2</v>
      </c>
      <c r="VA26" s="476" t="s">
        <v>721</v>
      </c>
      <c r="VB26" s="476">
        <v>1.9E-2</v>
      </c>
      <c r="VC26" s="476" t="s">
        <v>721</v>
      </c>
      <c r="VD26" s="476" t="s">
        <v>721</v>
      </c>
      <c r="VE26" s="476" t="s">
        <v>721</v>
      </c>
      <c r="VF26" s="476" t="s">
        <v>721</v>
      </c>
      <c r="VG26" s="476" t="s">
        <v>721</v>
      </c>
      <c r="VH26" s="476" t="s">
        <v>721</v>
      </c>
      <c r="VI26" s="476" t="s">
        <v>721</v>
      </c>
      <c r="VJ26" s="476" t="s">
        <v>721</v>
      </c>
      <c r="VK26" s="476" t="s">
        <v>721</v>
      </c>
      <c r="VL26" s="476" t="s">
        <v>721</v>
      </c>
      <c r="VM26" s="476" t="s">
        <v>721</v>
      </c>
      <c r="VN26" s="476" t="s">
        <v>721</v>
      </c>
      <c r="VO26" s="28"/>
      <c r="VP26" s="28"/>
      <c r="VQ26" s="28"/>
      <c r="VR26" s="28"/>
      <c r="VS26" s="28"/>
      <c r="VT26" s="28"/>
      <c r="VU26" s="28"/>
      <c r="VV26" s="28"/>
      <c r="VW26" s="28"/>
      <c r="VX26" s="28"/>
      <c r="VY26" s="28"/>
      <c r="VZ26" s="28"/>
      <c r="WA26" s="28"/>
      <c r="WB26" s="28"/>
      <c r="WC26" s="28"/>
      <c r="WD26" s="28"/>
      <c r="WE26" s="28"/>
      <c r="WF26" s="28"/>
      <c r="WG26" s="28"/>
      <c r="WH26" s="28"/>
      <c r="WI26" s="28"/>
      <c r="WJ26" s="28"/>
      <c r="WK26" s="28"/>
      <c r="WL26" s="28"/>
      <c r="WM26" s="28"/>
      <c r="WN26" s="28"/>
      <c r="WO26" s="28"/>
      <c r="WP26" s="28"/>
      <c r="WQ26" s="28"/>
      <c r="WR26" s="28"/>
      <c r="WS26" s="28"/>
      <c r="WT26" s="28"/>
      <c r="WU26" s="28"/>
      <c r="WV26" s="28"/>
      <c r="WW26" s="28"/>
    </row>
    <row r="27" spans="1:621" s="151" customFormat="1" ht="15.75" customHeight="1" x14ac:dyDescent="0.35">
      <c r="A27" s="477" t="s">
        <v>37</v>
      </c>
      <c r="B27" s="492" t="s">
        <v>17</v>
      </c>
      <c r="C27" s="493">
        <v>16.100000000000001</v>
      </c>
      <c r="D27" s="494">
        <v>4595</v>
      </c>
      <c r="E27" s="473">
        <v>515129.8</v>
      </c>
      <c r="F27" s="473">
        <v>112.1</v>
      </c>
      <c r="G27" s="474">
        <v>4318</v>
      </c>
      <c r="H27" s="474">
        <v>4150</v>
      </c>
      <c r="I27" s="474">
        <v>3177</v>
      </c>
      <c r="J27" s="474">
        <v>2592</v>
      </c>
      <c r="K27" s="474">
        <v>1515</v>
      </c>
      <c r="L27" s="473">
        <v>244839.8</v>
      </c>
      <c r="M27" s="474">
        <v>3048</v>
      </c>
      <c r="N27" s="473">
        <v>270290</v>
      </c>
      <c r="O27" s="494">
        <v>403</v>
      </c>
      <c r="P27" s="495">
        <v>72438.100000000006</v>
      </c>
      <c r="Q27" s="494">
        <v>663</v>
      </c>
      <c r="R27" s="495">
        <v>21373.5</v>
      </c>
      <c r="S27" s="494">
        <v>1304</v>
      </c>
      <c r="T27" s="495">
        <v>133201.60000000001</v>
      </c>
      <c r="U27" s="494">
        <v>83</v>
      </c>
      <c r="V27" s="495">
        <v>10607.8</v>
      </c>
      <c r="W27" s="494">
        <v>3208</v>
      </c>
      <c r="X27" s="495">
        <v>371320.4</v>
      </c>
      <c r="Y27" s="494">
        <v>4196</v>
      </c>
      <c r="Z27" s="494">
        <v>2481</v>
      </c>
      <c r="AA27" s="494">
        <v>3127</v>
      </c>
      <c r="AB27" s="494">
        <v>2187</v>
      </c>
      <c r="AC27" s="494">
        <v>253</v>
      </c>
      <c r="AD27" s="494">
        <v>855</v>
      </c>
      <c r="AE27" s="494">
        <v>2234</v>
      </c>
      <c r="AF27" s="495">
        <v>162331.4</v>
      </c>
      <c r="AG27" s="494">
        <v>2107</v>
      </c>
      <c r="AH27" s="495">
        <v>337221.9</v>
      </c>
      <c r="AI27" s="494">
        <v>133</v>
      </c>
      <c r="AJ27" s="495">
        <v>6309.4</v>
      </c>
      <c r="AK27" s="494">
        <v>89</v>
      </c>
      <c r="AL27" s="495">
        <v>9267.1</v>
      </c>
      <c r="AM27" s="496">
        <v>2633</v>
      </c>
      <c r="AN27" s="496">
        <v>1962</v>
      </c>
      <c r="AO27" s="496">
        <v>1110</v>
      </c>
      <c r="AP27" s="496">
        <v>2333</v>
      </c>
      <c r="AQ27" s="496">
        <v>411</v>
      </c>
      <c r="AR27" s="496">
        <v>163</v>
      </c>
      <c r="AS27" s="496">
        <v>34</v>
      </c>
      <c r="AT27" s="496">
        <v>45</v>
      </c>
      <c r="AU27" s="496">
        <v>54</v>
      </c>
      <c r="AV27" s="496" t="s">
        <v>721</v>
      </c>
      <c r="AW27" s="496">
        <v>12</v>
      </c>
      <c r="AX27" s="496" t="s">
        <v>721</v>
      </c>
      <c r="AY27" s="496" t="s">
        <v>721</v>
      </c>
      <c r="AZ27" s="496" t="s">
        <v>721</v>
      </c>
      <c r="BA27" s="496" t="s">
        <v>721</v>
      </c>
      <c r="BB27" s="496">
        <v>144</v>
      </c>
      <c r="BC27" s="496" t="s">
        <v>721</v>
      </c>
      <c r="BD27" s="496" t="s">
        <v>721</v>
      </c>
      <c r="BE27" s="496">
        <v>181</v>
      </c>
      <c r="BF27" s="496" t="s">
        <v>721</v>
      </c>
      <c r="BG27" s="496">
        <v>87</v>
      </c>
      <c r="BH27" s="496" t="s">
        <v>721</v>
      </c>
      <c r="BI27" s="496">
        <v>1171</v>
      </c>
      <c r="BJ27" s="496" t="s">
        <v>721</v>
      </c>
      <c r="BK27" s="496" t="s">
        <v>721</v>
      </c>
      <c r="BL27" s="496" t="s">
        <v>721</v>
      </c>
      <c r="BM27" s="496">
        <v>17</v>
      </c>
      <c r="BN27" s="496">
        <v>141</v>
      </c>
      <c r="BO27" s="496">
        <v>2843</v>
      </c>
      <c r="BP27" s="496" t="s">
        <v>721</v>
      </c>
      <c r="BQ27" s="496" t="s">
        <v>721</v>
      </c>
      <c r="BR27" s="496" t="s">
        <v>721</v>
      </c>
      <c r="BS27" s="496" t="s">
        <v>721</v>
      </c>
      <c r="BT27" s="496" t="s">
        <v>721</v>
      </c>
      <c r="BU27" s="496" t="s">
        <v>721</v>
      </c>
      <c r="BV27" s="496" t="s">
        <v>721</v>
      </c>
      <c r="BW27" s="496">
        <v>54</v>
      </c>
      <c r="BX27" s="496">
        <v>197</v>
      </c>
      <c r="BY27" s="496">
        <v>38</v>
      </c>
      <c r="BZ27" s="496" t="s">
        <v>721</v>
      </c>
      <c r="CA27" s="496" t="s">
        <v>721</v>
      </c>
      <c r="CB27" s="496" t="s">
        <v>721</v>
      </c>
      <c r="CC27" s="496" t="s">
        <v>721</v>
      </c>
      <c r="CD27" s="496" t="s">
        <v>721</v>
      </c>
      <c r="CE27" s="496">
        <v>57</v>
      </c>
      <c r="CF27" s="496" t="s">
        <v>721</v>
      </c>
      <c r="CG27" s="496" t="s">
        <v>721</v>
      </c>
      <c r="CH27" s="496" t="s">
        <v>721</v>
      </c>
      <c r="CI27" s="496" t="s">
        <v>721</v>
      </c>
      <c r="CJ27" s="496" t="s">
        <v>721</v>
      </c>
      <c r="CK27" s="496" t="s">
        <v>721</v>
      </c>
      <c r="CL27" s="496" t="s">
        <v>721</v>
      </c>
      <c r="CM27" s="496">
        <v>30</v>
      </c>
      <c r="CN27" s="496" t="s">
        <v>721</v>
      </c>
      <c r="CO27" s="496" t="s">
        <v>721</v>
      </c>
      <c r="CP27" s="496">
        <v>727</v>
      </c>
      <c r="CQ27" s="496" t="s">
        <v>721</v>
      </c>
      <c r="CR27" s="496" t="s">
        <v>721</v>
      </c>
      <c r="CS27" s="496" t="s">
        <v>721</v>
      </c>
      <c r="CT27" s="496" t="s">
        <v>721</v>
      </c>
      <c r="CU27" s="496">
        <v>54</v>
      </c>
      <c r="CV27" s="496">
        <v>3247</v>
      </c>
      <c r="CW27" s="496" t="s">
        <v>721</v>
      </c>
      <c r="CX27" s="496" t="s">
        <v>721</v>
      </c>
      <c r="CY27" s="496" t="s">
        <v>721</v>
      </c>
      <c r="CZ27" s="496" t="s">
        <v>721</v>
      </c>
      <c r="DA27" s="496" t="s">
        <v>721</v>
      </c>
      <c r="DB27" s="496" t="s">
        <v>721</v>
      </c>
      <c r="DC27" s="496" t="s">
        <v>721</v>
      </c>
      <c r="DD27" s="496">
        <v>18</v>
      </c>
      <c r="DE27" s="496">
        <v>70</v>
      </c>
      <c r="DF27" s="496" t="s">
        <v>721</v>
      </c>
      <c r="DG27" s="496" t="s">
        <v>721</v>
      </c>
      <c r="DH27" s="496" t="s">
        <v>721</v>
      </c>
      <c r="DI27" s="496" t="s">
        <v>721</v>
      </c>
      <c r="DJ27" s="496" t="s">
        <v>721</v>
      </c>
      <c r="DK27" s="496" t="s">
        <v>721</v>
      </c>
      <c r="DL27" s="496">
        <v>28</v>
      </c>
      <c r="DM27" s="496" t="s">
        <v>721</v>
      </c>
      <c r="DN27" s="496" t="s">
        <v>721</v>
      </c>
      <c r="DO27" s="496" t="s">
        <v>721</v>
      </c>
      <c r="DP27" s="496" t="s">
        <v>721</v>
      </c>
      <c r="DQ27" s="496" t="s">
        <v>721</v>
      </c>
      <c r="DR27" s="496" t="s">
        <v>721</v>
      </c>
      <c r="DS27" s="483" t="s">
        <v>721</v>
      </c>
      <c r="DT27" s="483">
        <v>19</v>
      </c>
      <c r="DU27" s="483" t="s">
        <v>721</v>
      </c>
      <c r="DV27" s="496">
        <v>379</v>
      </c>
      <c r="DW27" s="497">
        <v>60430.9</v>
      </c>
      <c r="DX27" s="496">
        <v>805</v>
      </c>
      <c r="DY27" s="497">
        <v>110582</v>
      </c>
      <c r="DZ27" s="496">
        <v>1130</v>
      </c>
      <c r="EA27" s="497">
        <v>111965</v>
      </c>
      <c r="EB27" s="496">
        <v>916</v>
      </c>
      <c r="EC27" s="497">
        <v>84717.8</v>
      </c>
      <c r="ED27" s="496">
        <v>857</v>
      </c>
      <c r="EE27" s="497">
        <v>87264.2</v>
      </c>
      <c r="EF27" s="496">
        <v>508</v>
      </c>
      <c r="EG27" s="497">
        <v>60169.9</v>
      </c>
      <c r="EH27" s="485">
        <v>3805</v>
      </c>
      <c r="EI27" s="486">
        <v>11339.5</v>
      </c>
      <c r="EJ27" s="485">
        <v>3789</v>
      </c>
      <c r="EK27" s="486">
        <v>94483.5</v>
      </c>
      <c r="EL27" s="485">
        <v>3760</v>
      </c>
      <c r="EM27" s="486">
        <v>39468.9</v>
      </c>
      <c r="EN27" s="485">
        <v>3875</v>
      </c>
      <c r="EO27" s="486">
        <v>18642.2</v>
      </c>
      <c r="EP27" s="485">
        <v>3790</v>
      </c>
      <c r="EQ27" s="486">
        <v>11079.2</v>
      </c>
      <c r="ER27" s="485">
        <v>3786</v>
      </c>
      <c r="ES27" s="486">
        <v>7749.3</v>
      </c>
      <c r="ET27" s="485">
        <v>0</v>
      </c>
      <c r="EU27" s="485">
        <v>2957</v>
      </c>
      <c r="EV27" s="486">
        <v>46533.4</v>
      </c>
      <c r="EW27" s="485">
        <v>559</v>
      </c>
      <c r="EX27" s="486">
        <v>3379.9</v>
      </c>
      <c r="EY27" s="485">
        <v>1177</v>
      </c>
      <c r="EZ27" s="486">
        <v>16679.3</v>
      </c>
      <c r="FA27" s="485">
        <v>566</v>
      </c>
      <c r="FB27" s="486">
        <v>6277.1</v>
      </c>
      <c r="FC27" s="485">
        <v>3901</v>
      </c>
      <c r="FD27" s="486">
        <v>50101.1</v>
      </c>
      <c r="FE27" s="485">
        <v>3871</v>
      </c>
      <c r="FF27" s="486">
        <v>32440.400000000001</v>
      </c>
      <c r="FG27" s="485">
        <v>1685</v>
      </c>
      <c r="FH27" s="486">
        <v>15342.5</v>
      </c>
      <c r="FI27" s="485">
        <v>2918</v>
      </c>
      <c r="FJ27" s="486">
        <v>19995.099999999999</v>
      </c>
      <c r="FK27" s="485">
        <v>3440</v>
      </c>
      <c r="FL27" s="486">
        <v>10097.6</v>
      </c>
      <c r="FM27" s="485">
        <v>200</v>
      </c>
      <c r="FN27" s="486">
        <v>465.5</v>
      </c>
      <c r="FO27" s="485">
        <v>3278</v>
      </c>
      <c r="FP27" s="486">
        <v>26338.6</v>
      </c>
      <c r="FQ27" s="485">
        <v>3334</v>
      </c>
      <c r="FR27" s="486">
        <v>11264.7</v>
      </c>
      <c r="FS27" s="485">
        <v>10</v>
      </c>
      <c r="FT27" s="486">
        <v>42.4</v>
      </c>
      <c r="FU27" s="485">
        <v>0</v>
      </c>
      <c r="FV27" s="486">
        <v>0</v>
      </c>
      <c r="FW27" s="485">
        <v>0</v>
      </c>
      <c r="FX27" s="486">
        <v>0</v>
      </c>
      <c r="FY27" s="485">
        <v>0</v>
      </c>
      <c r="FZ27" s="486">
        <v>0</v>
      </c>
      <c r="GA27" s="485">
        <v>0</v>
      </c>
      <c r="GB27" s="485">
        <v>0</v>
      </c>
      <c r="GC27" s="487">
        <v>0</v>
      </c>
      <c r="GD27" s="488">
        <v>16</v>
      </c>
      <c r="GE27" s="488">
        <v>234</v>
      </c>
      <c r="GF27" s="488">
        <v>1578</v>
      </c>
      <c r="GG27" s="488">
        <v>10</v>
      </c>
      <c r="GH27" s="488">
        <v>1</v>
      </c>
      <c r="GI27" s="488">
        <v>1</v>
      </c>
      <c r="GJ27" s="488">
        <v>3</v>
      </c>
      <c r="GK27" s="488">
        <v>1031</v>
      </c>
      <c r="GL27" s="488">
        <v>782</v>
      </c>
      <c r="GM27" s="488">
        <v>1828</v>
      </c>
      <c r="GN27" s="488">
        <v>1186</v>
      </c>
      <c r="GO27" s="488">
        <v>181</v>
      </c>
      <c r="GP27" s="488">
        <v>10</v>
      </c>
      <c r="GQ27" s="488">
        <v>94</v>
      </c>
      <c r="GR27" s="488">
        <v>4</v>
      </c>
      <c r="GS27" s="488">
        <v>108</v>
      </c>
      <c r="GT27" s="489">
        <v>3068</v>
      </c>
      <c r="GU27" s="488">
        <v>5</v>
      </c>
      <c r="GV27" s="490">
        <v>0</v>
      </c>
      <c r="GW27" s="490">
        <v>4</v>
      </c>
      <c r="GX27" s="490">
        <v>9</v>
      </c>
      <c r="GY27" s="491">
        <v>7</v>
      </c>
      <c r="GZ27" s="491">
        <v>5</v>
      </c>
      <c r="HA27" s="491">
        <v>12</v>
      </c>
      <c r="HB27" s="475">
        <v>0</v>
      </c>
      <c r="HC27" s="475">
        <v>1</v>
      </c>
      <c r="HD27" s="475">
        <v>0</v>
      </c>
      <c r="HE27" s="475">
        <v>0</v>
      </c>
      <c r="HF27" s="475">
        <v>1</v>
      </c>
      <c r="HG27" s="475">
        <v>1</v>
      </c>
      <c r="HH27" s="475">
        <v>0</v>
      </c>
      <c r="HI27" s="475">
        <v>0</v>
      </c>
      <c r="HJ27" s="475">
        <v>0</v>
      </c>
      <c r="HK27" s="475">
        <v>0</v>
      </c>
      <c r="HL27" s="475">
        <v>1</v>
      </c>
      <c r="HM27" s="475">
        <v>0</v>
      </c>
      <c r="HN27" s="475">
        <v>0</v>
      </c>
      <c r="HO27" s="475">
        <v>1</v>
      </c>
      <c r="HP27" s="475">
        <v>0</v>
      </c>
      <c r="HQ27" s="475">
        <v>2</v>
      </c>
      <c r="HR27" s="475">
        <v>18</v>
      </c>
      <c r="HS27" s="475">
        <v>0</v>
      </c>
      <c r="HT27" s="475">
        <v>0</v>
      </c>
      <c r="HU27" s="475">
        <v>0</v>
      </c>
      <c r="HV27" s="475">
        <v>0</v>
      </c>
      <c r="HW27" s="475">
        <v>0</v>
      </c>
      <c r="HX27" s="475">
        <v>0</v>
      </c>
      <c r="HY27" s="475">
        <v>0</v>
      </c>
      <c r="HZ27" s="475">
        <v>57</v>
      </c>
      <c r="IA27" s="475">
        <v>99</v>
      </c>
      <c r="IB27" s="475">
        <v>11</v>
      </c>
      <c r="IC27" s="475" t="s">
        <v>721</v>
      </c>
      <c r="ID27" s="475" t="s">
        <v>721</v>
      </c>
      <c r="IE27" s="475" t="s">
        <v>721</v>
      </c>
      <c r="IF27" s="475" t="s">
        <v>721</v>
      </c>
      <c r="IG27" s="475" t="s">
        <v>721</v>
      </c>
      <c r="IH27" s="475" t="s">
        <v>721</v>
      </c>
      <c r="II27" s="475" t="s">
        <v>721</v>
      </c>
      <c r="IJ27" s="475" t="s">
        <v>721</v>
      </c>
      <c r="IK27" s="475" t="s">
        <v>721</v>
      </c>
      <c r="IL27" s="475" t="s">
        <v>721</v>
      </c>
      <c r="IM27" s="475" t="s">
        <v>721</v>
      </c>
      <c r="IN27" s="475" t="s">
        <v>721</v>
      </c>
      <c r="IO27" s="475" t="s">
        <v>721</v>
      </c>
      <c r="IP27" s="475" t="s">
        <v>721</v>
      </c>
      <c r="IQ27" s="475" t="s">
        <v>721</v>
      </c>
      <c r="IR27" s="475" t="s">
        <v>721</v>
      </c>
      <c r="IS27" s="475">
        <v>28</v>
      </c>
      <c r="IT27" s="475">
        <v>47</v>
      </c>
      <c r="IU27" s="475">
        <v>22</v>
      </c>
      <c r="IV27" s="475" t="s">
        <v>721</v>
      </c>
      <c r="IW27" s="475" t="s">
        <v>721</v>
      </c>
      <c r="IX27" s="475" t="s">
        <v>721</v>
      </c>
      <c r="IY27" s="475" t="s">
        <v>721</v>
      </c>
      <c r="IZ27" s="475" t="s">
        <v>721</v>
      </c>
      <c r="JA27" s="475" t="s">
        <v>721</v>
      </c>
      <c r="JB27" s="475" t="s">
        <v>721</v>
      </c>
      <c r="JC27" s="475" t="s">
        <v>721</v>
      </c>
      <c r="JD27" s="475" t="s">
        <v>721</v>
      </c>
      <c r="JE27" s="475" t="s">
        <v>721</v>
      </c>
      <c r="JF27" s="475" t="s">
        <v>721</v>
      </c>
      <c r="JG27" s="475" t="s">
        <v>721</v>
      </c>
      <c r="JH27" s="475" t="s">
        <v>721</v>
      </c>
      <c r="JI27" s="475" t="s">
        <v>721</v>
      </c>
      <c r="JJ27" s="475" t="s">
        <v>721</v>
      </c>
      <c r="JK27" s="475" t="s">
        <v>721</v>
      </c>
      <c r="JL27" s="755">
        <v>123280.2</v>
      </c>
      <c r="JM27" s="755">
        <v>270778.7</v>
      </c>
      <c r="JN27" s="755">
        <v>44875.4</v>
      </c>
      <c r="JO27" s="755">
        <v>15362.2</v>
      </c>
      <c r="JP27" s="755">
        <v>3932.6</v>
      </c>
      <c r="JQ27" s="755">
        <v>5076.3999999999996</v>
      </c>
      <c r="JR27" s="755">
        <v>5625.2</v>
      </c>
      <c r="JS27" s="755" t="s">
        <v>721</v>
      </c>
      <c r="JT27" s="755">
        <v>951.6</v>
      </c>
      <c r="JU27" s="755">
        <v>277.2</v>
      </c>
      <c r="JV27" s="755">
        <v>283</v>
      </c>
      <c r="JW27" s="755">
        <v>361.9</v>
      </c>
      <c r="JX27" s="755">
        <v>369.8</v>
      </c>
      <c r="JY27" s="755">
        <v>15340</v>
      </c>
      <c r="JZ27" s="755">
        <v>334.9</v>
      </c>
      <c r="KA27" s="755">
        <v>85.2</v>
      </c>
      <c r="KB27" s="755">
        <v>17768.7</v>
      </c>
      <c r="KC27" s="755">
        <v>944.3</v>
      </c>
      <c r="KD27" s="755">
        <v>9482.5</v>
      </c>
      <c r="KE27" s="475">
        <v>113</v>
      </c>
      <c r="KF27" s="475">
        <v>216</v>
      </c>
      <c r="KG27" s="475">
        <v>26</v>
      </c>
      <c r="KH27" s="475">
        <v>12</v>
      </c>
      <c r="KI27" s="475" t="s">
        <v>721</v>
      </c>
      <c r="KJ27" s="475" t="s">
        <v>721</v>
      </c>
      <c r="KK27" s="475" t="s">
        <v>721</v>
      </c>
      <c r="KL27" s="475" t="s">
        <v>721</v>
      </c>
      <c r="KM27" s="475" t="s">
        <v>721</v>
      </c>
      <c r="KN27" s="475" t="s">
        <v>721</v>
      </c>
      <c r="KO27" s="475" t="s">
        <v>721</v>
      </c>
      <c r="KP27" s="475" t="s">
        <v>721</v>
      </c>
      <c r="KQ27" s="475" t="s">
        <v>721</v>
      </c>
      <c r="KR27" s="475" t="s">
        <v>721</v>
      </c>
      <c r="KS27" s="475" t="s">
        <v>721</v>
      </c>
      <c r="KT27" s="475" t="s">
        <v>721</v>
      </c>
      <c r="KU27" s="475" t="s">
        <v>721</v>
      </c>
      <c r="KV27" s="475" t="s">
        <v>721</v>
      </c>
      <c r="KW27" s="475" t="s">
        <v>721</v>
      </c>
      <c r="KX27" s="475">
        <v>133</v>
      </c>
      <c r="KY27" s="475">
        <v>361</v>
      </c>
      <c r="KZ27" s="475">
        <v>39</v>
      </c>
      <c r="LA27" s="475">
        <v>30</v>
      </c>
      <c r="LB27" s="475" t="s">
        <v>721</v>
      </c>
      <c r="LC27" s="475" t="s">
        <v>721</v>
      </c>
      <c r="LD27" s="475" t="s">
        <v>721</v>
      </c>
      <c r="LE27" s="475" t="s">
        <v>721</v>
      </c>
      <c r="LF27" s="475" t="s">
        <v>721</v>
      </c>
      <c r="LG27" s="475" t="s">
        <v>721</v>
      </c>
      <c r="LH27" s="475" t="s">
        <v>721</v>
      </c>
      <c r="LI27" s="475" t="s">
        <v>721</v>
      </c>
      <c r="LJ27" s="475" t="s">
        <v>721</v>
      </c>
      <c r="LK27" s="475">
        <v>28</v>
      </c>
      <c r="LL27" s="475" t="s">
        <v>721</v>
      </c>
      <c r="LM27" s="475" t="s">
        <v>721</v>
      </c>
      <c r="LN27" s="475">
        <v>34</v>
      </c>
      <c r="LO27" s="475" t="s">
        <v>721</v>
      </c>
      <c r="LP27" s="475">
        <v>16</v>
      </c>
      <c r="LQ27" s="475">
        <v>759</v>
      </c>
      <c r="LR27" s="475">
        <v>1518</v>
      </c>
      <c r="LS27" s="475">
        <v>281</v>
      </c>
      <c r="LT27" s="475">
        <v>119</v>
      </c>
      <c r="LU27" s="475">
        <v>21</v>
      </c>
      <c r="LV27" s="475">
        <v>27</v>
      </c>
      <c r="LW27" s="475">
        <v>37</v>
      </c>
      <c r="LX27" s="475" t="s">
        <v>721</v>
      </c>
      <c r="LY27" s="475" t="s">
        <v>721</v>
      </c>
      <c r="LZ27" s="475" t="s">
        <v>721</v>
      </c>
      <c r="MA27" s="475" t="s">
        <v>721</v>
      </c>
      <c r="MB27" s="475" t="s">
        <v>721</v>
      </c>
      <c r="MC27" s="475" t="s">
        <v>721</v>
      </c>
      <c r="MD27" s="475">
        <v>76</v>
      </c>
      <c r="ME27" s="475" t="s">
        <v>721</v>
      </c>
      <c r="MF27" s="475" t="s">
        <v>721</v>
      </c>
      <c r="MG27" s="475">
        <v>127</v>
      </c>
      <c r="MH27" s="475" t="s">
        <v>721</v>
      </c>
      <c r="MI27" s="475">
        <v>62</v>
      </c>
      <c r="MJ27" s="475">
        <v>335</v>
      </c>
      <c r="MK27" s="475">
        <v>806</v>
      </c>
      <c r="ML27" s="475">
        <v>128</v>
      </c>
      <c r="MM27" s="475">
        <v>43</v>
      </c>
      <c r="MN27" s="475">
        <v>13</v>
      </c>
      <c r="MO27" s="475">
        <v>18</v>
      </c>
      <c r="MP27" s="475">
        <v>17</v>
      </c>
      <c r="MQ27" s="475" t="s">
        <v>721</v>
      </c>
      <c r="MR27" s="475" t="s">
        <v>721</v>
      </c>
      <c r="MS27" s="475" t="s">
        <v>721</v>
      </c>
      <c r="MT27" s="475" t="s">
        <v>721</v>
      </c>
      <c r="MU27" s="475" t="s">
        <v>721</v>
      </c>
      <c r="MV27" s="475" t="s">
        <v>721</v>
      </c>
      <c r="MW27" s="475">
        <v>66</v>
      </c>
      <c r="MX27" s="475" t="s">
        <v>721</v>
      </c>
      <c r="MY27" s="475" t="s">
        <v>721</v>
      </c>
      <c r="MZ27" s="475">
        <v>52</v>
      </c>
      <c r="NA27" s="475" t="s">
        <v>721</v>
      </c>
      <c r="NB27" s="475">
        <v>25</v>
      </c>
      <c r="NC27" s="476">
        <v>0.57299999999999995</v>
      </c>
      <c r="ND27" s="476">
        <v>0.42699999999999999</v>
      </c>
      <c r="NE27" s="476">
        <v>0.24199999999999999</v>
      </c>
      <c r="NF27" s="476">
        <v>0.50800000000000001</v>
      </c>
      <c r="NG27" s="476">
        <v>0.09</v>
      </c>
      <c r="NH27" s="476">
        <v>3.5999999999999997E-2</v>
      </c>
      <c r="NI27" s="476">
        <v>7.0000000000000001E-3</v>
      </c>
      <c r="NJ27" s="476">
        <v>0.01</v>
      </c>
      <c r="NK27" s="476">
        <v>1.2E-2</v>
      </c>
      <c r="NL27" s="476" t="s">
        <v>721</v>
      </c>
      <c r="NM27" s="476">
        <v>3.0000000000000001E-3</v>
      </c>
      <c r="NN27" s="476" t="s">
        <v>721</v>
      </c>
      <c r="NO27" s="476" t="s">
        <v>721</v>
      </c>
      <c r="NP27" s="476" t="s">
        <v>721</v>
      </c>
      <c r="NQ27" s="476" t="s">
        <v>721</v>
      </c>
      <c r="NR27" s="476">
        <v>3.1E-2</v>
      </c>
      <c r="NS27" s="476" t="s">
        <v>721</v>
      </c>
      <c r="NT27" s="476" t="s">
        <v>721</v>
      </c>
      <c r="NU27" s="476">
        <v>3.9E-2</v>
      </c>
      <c r="NV27" s="476" t="s">
        <v>721</v>
      </c>
      <c r="NW27" s="476">
        <v>1.9E-2</v>
      </c>
      <c r="NX27" s="476" t="s">
        <v>721</v>
      </c>
      <c r="NY27" s="476">
        <v>0.255</v>
      </c>
      <c r="NZ27" s="476" t="s">
        <v>721</v>
      </c>
      <c r="OA27" s="476" t="s">
        <v>721</v>
      </c>
      <c r="OB27" s="476" t="s">
        <v>721</v>
      </c>
      <c r="OC27" s="476">
        <v>4.0000000000000001E-3</v>
      </c>
      <c r="OD27" s="476">
        <v>3.1E-2</v>
      </c>
      <c r="OE27" s="476">
        <v>0.61899999999999999</v>
      </c>
      <c r="OF27" s="476" t="s">
        <v>721</v>
      </c>
      <c r="OG27" s="476" t="s">
        <v>721</v>
      </c>
      <c r="OH27" s="476" t="s">
        <v>721</v>
      </c>
      <c r="OI27" s="476" t="s">
        <v>721</v>
      </c>
      <c r="OJ27" s="476" t="s">
        <v>721</v>
      </c>
      <c r="OK27" s="476" t="s">
        <v>721</v>
      </c>
      <c r="OL27" s="476" t="s">
        <v>721</v>
      </c>
      <c r="OM27" s="476">
        <v>1.2E-2</v>
      </c>
      <c r="ON27" s="476">
        <v>4.2999999999999997E-2</v>
      </c>
      <c r="OO27" s="476">
        <v>8.0000000000000002E-3</v>
      </c>
      <c r="OP27" s="476" t="s">
        <v>721</v>
      </c>
      <c r="OQ27" s="476" t="s">
        <v>721</v>
      </c>
      <c r="OR27" s="476" t="s">
        <v>721</v>
      </c>
      <c r="OS27" s="476" t="s">
        <v>721</v>
      </c>
      <c r="OT27" s="476" t="s">
        <v>721</v>
      </c>
      <c r="OU27" s="476">
        <v>1.2E-2</v>
      </c>
      <c r="OV27" s="476" t="s">
        <v>721</v>
      </c>
      <c r="OW27" s="476" t="s">
        <v>721</v>
      </c>
      <c r="OX27" s="476" t="s">
        <v>721</v>
      </c>
      <c r="OY27" s="476" t="s">
        <v>721</v>
      </c>
      <c r="OZ27" s="476" t="s">
        <v>721</v>
      </c>
      <c r="PA27" s="476" t="s">
        <v>721</v>
      </c>
      <c r="PB27" s="476" t="s">
        <v>721</v>
      </c>
      <c r="PC27" s="476">
        <v>7.0000000000000001E-3</v>
      </c>
      <c r="PD27" s="476" t="s">
        <v>721</v>
      </c>
      <c r="PE27" s="476" t="s">
        <v>721</v>
      </c>
      <c r="PF27" s="476">
        <v>0.17299999999999999</v>
      </c>
      <c r="PG27" s="476" t="s">
        <v>721</v>
      </c>
      <c r="PH27" s="476" t="s">
        <v>721</v>
      </c>
      <c r="PI27" s="476" t="s">
        <v>721</v>
      </c>
      <c r="PJ27" s="476" t="s">
        <v>721</v>
      </c>
      <c r="PK27" s="476">
        <v>1.2999999999999999E-2</v>
      </c>
      <c r="PL27" s="476">
        <v>0.77400000000000002</v>
      </c>
      <c r="PM27" s="476" t="s">
        <v>721</v>
      </c>
      <c r="PN27" s="476" t="s">
        <v>721</v>
      </c>
      <c r="PO27" s="476" t="s">
        <v>721</v>
      </c>
      <c r="PP27" s="476" t="s">
        <v>721</v>
      </c>
      <c r="PQ27" s="476" t="s">
        <v>721</v>
      </c>
      <c r="PR27" s="476" t="s">
        <v>721</v>
      </c>
      <c r="PS27" s="476" t="s">
        <v>721</v>
      </c>
      <c r="PT27" s="476">
        <v>4.0000000000000001E-3</v>
      </c>
      <c r="PU27" s="476">
        <v>1.7000000000000001E-2</v>
      </c>
      <c r="PV27" s="476" t="s">
        <v>721</v>
      </c>
      <c r="PW27" s="476" t="s">
        <v>721</v>
      </c>
      <c r="PX27" s="476" t="s">
        <v>721</v>
      </c>
      <c r="PY27" s="476" t="s">
        <v>721</v>
      </c>
      <c r="PZ27" s="476" t="s">
        <v>721</v>
      </c>
      <c r="QA27" s="476" t="s">
        <v>721</v>
      </c>
      <c r="QB27" s="476">
        <v>7.0000000000000001E-3</v>
      </c>
      <c r="QC27" s="476" t="s">
        <v>721</v>
      </c>
      <c r="QD27" s="476" t="s">
        <v>721</v>
      </c>
      <c r="QE27" s="476" t="s">
        <v>721</v>
      </c>
      <c r="QF27" s="476" t="s">
        <v>721</v>
      </c>
      <c r="QG27" s="476" t="s">
        <v>721</v>
      </c>
      <c r="QH27" s="476" t="s">
        <v>721</v>
      </c>
      <c r="QI27" s="476" t="s">
        <v>721</v>
      </c>
      <c r="QJ27" s="476">
        <v>5.0000000000000001E-3</v>
      </c>
      <c r="QK27" s="476" t="s">
        <v>721</v>
      </c>
      <c r="QL27" s="476">
        <v>0.315</v>
      </c>
      <c r="QM27" s="476">
        <v>0.54700000000000004</v>
      </c>
      <c r="QN27" s="476">
        <v>6.0999999999999999E-2</v>
      </c>
      <c r="QO27" s="476" t="s">
        <v>721</v>
      </c>
      <c r="QP27" s="476" t="s">
        <v>721</v>
      </c>
      <c r="QQ27" s="476" t="s">
        <v>721</v>
      </c>
      <c r="QR27" s="476" t="s">
        <v>721</v>
      </c>
      <c r="QS27" s="476" t="s">
        <v>721</v>
      </c>
      <c r="QT27" s="476" t="s">
        <v>721</v>
      </c>
      <c r="QU27" s="476" t="s">
        <v>721</v>
      </c>
      <c r="QV27" s="476" t="s">
        <v>721</v>
      </c>
      <c r="QW27" s="476" t="s">
        <v>721</v>
      </c>
      <c r="QX27" s="476" t="s">
        <v>721</v>
      </c>
      <c r="QY27" s="476" t="s">
        <v>721</v>
      </c>
      <c r="QZ27" s="476" t="s">
        <v>721</v>
      </c>
      <c r="RA27" s="476" t="s">
        <v>721</v>
      </c>
      <c r="RB27" s="476" t="s">
        <v>721</v>
      </c>
      <c r="RC27" s="476" t="s">
        <v>721</v>
      </c>
      <c r="RD27" s="476" t="s">
        <v>721</v>
      </c>
      <c r="RE27" s="476">
        <v>0.25900000000000001</v>
      </c>
      <c r="RF27" s="476">
        <v>0.435</v>
      </c>
      <c r="RG27" s="476">
        <v>0.20399999999999999</v>
      </c>
      <c r="RH27" s="476" t="s">
        <v>721</v>
      </c>
      <c r="RI27" s="476" t="s">
        <v>721</v>
      </c>
      <c r="RJ27" s="476" t="s">
        <v>721</v>
      </c>
      <c r="RK27" s="476" t="s">
        <v>721</v>
      </c>
      <c r="RL27" s="476" t="s">
        <v>721</v>
      </c>
      <c r="RM27" s="476" t="s">
        <v>721</v>
      </c>
      <c r="RN27" s="476" t="s">
        <v>721</v>
      </c>
      <c r="RO27" s="476" t="s">
        <v>721</v>
      </c>
      <c r="RP27" s="476" t="s">
        <v>721</v>
      </c>
      <c r="RQ27" s="476" t="s">
        <v>721</v>
      </c>
      <c r="RR27" s="476" t="s">
        <v>721</v>
      </c>
      <c r="RS27" s="476" t="s">
        <v>721</v>
      </c>
      <c r="RT27" s="476" t="s">
        <v>721</v>
      </c>
      <c r="RU27" s="476" t="s">
        <v>721</v>
      </c>
      <c r="RV27" s="476" t="s">
        <v>721</v>
      </c>
      <c r="RW27" s="476" t="s">
        <v>721</v>
      </c>
      <c r="RX27" s="476">
        <v>0.23899999999999999</v>
      </c>
      <c r="RY27" s="476">
        <v>0.52600000000000002</v>
      </c>
      <c r="RZ27" s="476">
        <v>8.6999999999999994E-2</v>
      </c>
      <c r="SA27" s="476">
        <v>0.03</v>
      </c>
      <c r="SB27" s="476">
        <v>8.0000000000000002E-3</v>
      </c>
      <c r="SC27" s="476">
        <v>0.01</v>
      </c>
      <c r="SD27" s="476">
        <v>1.0999999999999999E-2</v>
      </c>
      <c r="SE27" s="476" t="s">
        <v>721</v>
      </c>
      <c r="SF27" s="476">
        <v>2E-3</v>
      </c>
      <c r="SG27" s="476">
        <v>1E-3</v>
      </c>
      <c r="SH27" s="476">
        <v>1E-3</v>
      </c>
      <c r="SI27" s="476">
        <v>1E-3</v>
      </c>
      <c r="SJ27" s="476">
        <v>1E-3</v>
      </c>
      <c r="SK27" s="476">
        <v>0.03</v>
      </c>
      <c r="SL27" s="476">
        <v>1E-3</v>
      </c>
      <c r="SM27" s="476">
        <v>0</v>
      </c>
      <c r="SN27" s="476">
        <v>3.4000000000000002E-2</v>
      </c>
      <c r="SO27" s="476">
        <v>2E-3</v>
      </c>
      <c r="SP27" s="476">
        <v>1.7999999999999999E-2</v>
      </c>
      <c r="SQ27" s="476">
        <v>0.28000000000000003</v>
      </c>
      <c r="SR27" s="476">
        <v>0.53600000000000003</v>
      </c>
      <c r="SS27" s="476">
        <v>6.5000000000000002E-2</v>
      </c>
      <c r="ST27" s="476">
        <v>0.03</v>
      </c>
      <c r="SU27" s="476" t="s">
        <v>721</v>
      </c>
      <c r="SV27" s="476" t="s">
        <v>721</v>
      </c>
      <c r="SW27" s="476" t="s">
        <v>721</v>
      </c>
      <c r="SX27" s="476" t="s">
        <v>721</v>
      </c>
      <c r="SY27" s="476" t="s">
        <v>721</v>
      </c>
      <c r="SZ27" s="476" t="s">
        <v>721</v>
      </c>
      <c r="TA27" s="476" t="s">
        <v>721</v>
      </c>
      <c r="TB27" s="476" t="s">
        <v>721</v>
      </c>
      <c r="TC27" s="476" t="s">
        <v>721</v>
      </c>
      <c r="TD27" s="476" t="s">
        <v>721</v>
      </c>
      <c r="TE27" s="476" t="s">
        <v>721</v>
      </c>
      <c r="TF27" s="476" t="s">
        <v>721</v>
      </c>
      <c r="TG27" s="476" t="s">
        <v>721</v>
      </c>
      <c r="TH27" s="476" t="s">
        <v>721</v>
      </c>
      <c r="TI27" s="476" t="s">
        <v>721</v>
      </c>
      <c r="TJ27" s="476">
        <v>0.20100000000000001</v>
      </c>
      <c r="TK27" s="476">
        <v>0.54400000000000004</v>
      </c>
      <c r="TL27" s="476">
        <v>5.8999999999999997E-2</v>
      </c>
      <c r="TM27" s="476">
        <v>4.4999999999999998E-2</v>
      </c>
      <c r="TN27" s="476" t="s">
        <v>721</v>
      </c>
      <c r="TO27" s="476" t="s">
        <v>721</v>
      </c>
      <c r="TP27" s="476" t="s">
        <v>721</v>
      </c>
      <c r="TQ27" s="476" t="s">
        <v>721</v>
      </c>
      <c r="TR27" s="476" t="s">
        <v>721</v>
      </c>
      <c r="TS27" s="476" t="s">
        <v>721</v>
      </c>
      <c r="TT27" s="476" t="s">
        <v>721</v>
      </c>
      <c r="TU27" s="476" t="s">
        <v>721</v>
      </c>
      <c r="TV27" s="476" t="s">
        <v>721</v>
      </c>
      <c r="TW27" s="476">
        <v>4.2000000000000003E-2</v>
      </c>
      <c r="TX27" s="476" t="s">
        <v>721</v>
      </c>
      <c r="TY27" s="476" t="s">
        <v>721</v>
      </c>
      <c r="TZ27" s="476">
        <v>5.0999999999999997E-2</v>
      </c>
      <c r="UA27" s="476" t="s">
        <v>721</v>
      </c>
      <c r="UB27" s="476">
        <v>2.4E-2</v>
      </c>
      <c r="UC27" s="476">
        <v>0.249</v>
      </c>
      <c r="UD27" s="476">
        <v>0.498</v>
      </c>
      <c r="UE27" s="476">
        <v>9.1999999999999998E-2</v>
      </c>
      <c r="UF27" s="476">
        <v>3.9E-2</v>
      </c>
      <c r="UG27" s="476">
        <v>7.0000000000000001E-3</v>
      </c>
      <c r="UH27" s="476">
        <v>8.9999999999999993E-3</v>
      </c>
      <c r="UI27" s="476">
        <v>1.2E-2</v>
      </c>
      <c r="UJ27" s="476" t="s">
        <v>721</v>
      </c>
      <c r="UK27" s="476" t="s">
        <v>721</v>
      </c>
      <c r="UL27" s="476" t="s">
        <v>721</v>
      </c>
      <c r="UM27" s="476" t="s">
        <v>721</v>
      </c>
      <c r="UN27" s="476" t="s">
        <v>721</v>
      </c>
      <c r="UO27" s="476" t="s">
        <v>721</v>
      </c>
      <c r="UP27" s="476">
        <v>2.5000000000000001E-2</v>
      </c>
      <c r="UQ27" s="476" t="s">
        <v>721</v>
      </c>
      <c r="UR27" s="476" t="s">
        <v>721</v>
      </c>
      <c r="US27" s="476">
        <v>4.2000000000000003E-2</v>
      </c>
      <c r="UT27" s="476" t="s">
        <v>721</v>
      </c>
      <c r="UU27" s="476">
        <v>0.02</v>
      </c>
      <c r="UV27" s="476">
        <v>0.221</v>
      </c>
      <c r="UW27" s="476">
        <v>0.53200000000000003</v>
      </c>
      <c r="UX27" s="476">
        <v>8.4000000000000005E-2</v>
      </c>
      <c r="UY27" s="476">
        <v>2.8000000000000001E-2</v>
      </c>
      <c r="UZ27" s="476">
        <v>8.9999999999999993E-3</v>
      </c>
      <c r="VA27" s="476">
        <v>1.2E-2</v>
      </c>
      <c r="VB27" s="476">
        <v>1.0999999999999999E-2</v>
      </c>
      <c r="VC27" s="476" t="s">
        <v>721</v>
      </c>
      <c r="VD27" s="476" t="s">
        <v>721</v>
      </c>
      <c r="VE27" s="476" t="s">
        <v>721</v>
      </c>
      <c r="VF27" s="476" t="s">
        <v>721</v>
      </c>
      <c r="VG27" s="476" t="s">
        <v>721</v>
      </c>
      <c r="VH27" s="476" t="s">
        <v>721</v>
      </c>
      <c r="VI27" s="476">
        <v>4.3999999999999997E-2</v>
      </c>
      <c r="VJ27" s="476" t="s">
        <v>721</v>
      </c>
      <c r="VK27" s="476" t="s">
        <v>721</v>
      </c>
      <c r="VL27" s="476">
        <v>3.4000000000000002E-2</v>
      </c>
      <c r="VM27" s="476" t="s">
        <v>721</v>
      </c>
      <c r="VN27" s="476">
        <v>1.7000000000000001E-2</v>
      </c>
      <c r="VO27" s="28"/>
      <c r="VP27" s="28"/>
      <c r="VQ27" s="28"/>
      <c r="VR27" s="28"/>
      <c r="VS27" s="28"/>
      <c r="VT27" s="28"/>
      <c r="VU27" s="28"/>
      <c r="VV27" s="28"/>
      <c r="VW27" s="28"/>
      <c r="VX27" s="28"/>
      <c r="VY27" s="28"/>
      <c r="VZ27" s="28"/>
      <c r="WA27" s="28"/>
      <c r="WB27" s="28"/>
      <c r="WC27" s="28"/>
      <c r="WD27" s="28"/>
      <c r="WE27" s="28"/>
      <c r="WF27" s="28"/>
      <c r="WG27" s="28"/>
      <c r="WH27" s="28"/>
      <c r="WI27" s="28"/>
      <c r="WJ27" s="28"/>
      <c r="WK27" s="28"/>
      <c r="WL27" s="28"/>
      <c r="WM27" s="28"/>
      <c r="WN27" s="28"/>
      <c r="WO27" s="28"/>
      <c r="WP27" s="28"/>
      <c r="WQ27" s="28"/>
      <c r="WR27" s="28"/>
      <c r="WS27" s="28"/>
      <c r="WT27" s="28"/>
      <c r="WU27" s="28"/>
      <c r="WV27" s="28"/>
      <c r="WW27" s="28"/>
    </row>
    <row r="28" spans="1:621" s="151" customFormat="1" ht="15.75" customHeight="1" x14ac:dyDescent="0.35">
      <c r="A28" s="477" t="s">
        <v>38</v>
      </c>
      <c r="B28" s="492" t="s">
        <v>15</v>
      </c>
      <c r="C28" s="493">
        <v>16.350000000000001</v>
      </c>
      <c r="D28" s="494">
        <v>178</v>
      </c>
      <c r="E28" s="473">
        <v>19424.599999999999</v>
      </c>
      <c r="F28" s="473">
        <v>109.1</v>
      </c>
      <c r="G28" s="474">
        <v>170</v>
      </c>
      <c r="H28" s="474">
        <v>159</v>
      </c>
      <c r="I28" s="474">
        <v>171</v>
      </c>
      <c r="J28" s="474">
        <v>112</v>
      </c>
      <c r="K28" s="474">
        <v>43</v>
      </c>
      <c r="L28" s="473">
        <v>7700.3</v>
      </c>
      <c r="M28" s="474">
        <v>133</v>
      </c>
      <c r="N28" s="473">
        <v>11724.3</v>
      </c>
      <c r="O28" s="494">
        <v>19</v>
      </c>
      <c r="P28" s="495">
        <v>3556.2</v>
      </c>
      <c r="Q28" s="494">
        <v>9</v>
      </c>
      <c r="R28" s="495">
        <v>279.3</v>
      </c>
      <c r="S28" s="494">
        <v>41</v>
      </c>
      <c r="T28" s="495">
        <v>3669.4</v>
      </c>
      <c r="U28" s="494">
        <v>3</v>
      </c>
      <c r="V28" s="495">
        <v>366.1</v>
      </c>
      <c r="W28" s="494">
        <v>134</v>
      </c>
      <c r="X28" s="495">
        <v>15389.1</v>
      </c>
      <c r="Y28" s="494">
        <v>161</v>
      </c>
      <c r="Z28" s="494">
        <v>49</v>
      </c>
      <c r="AA28" s="494">
        <v>87</v>
      </c>
      <c r="AB28" s="494">
        <v>41</v>
      </c>
      <c r="AC28" s="494">
        <v>11</v>
      </c>
      <c r="AD28" s="494">
        <v>24</v>
      </c>
      <c r="AE28" s="494">
        <v>101</v>
      </c>
      <c r="AF28" s="495">
        <v>7096.2</v>
      </c>
      <c r="AG28" s="494">
        <v>68</v>
      </c>
      <c r="AH28" s="495">
        <v>11978.8</v>
      </c>
      <c r="AI28" s="494">
        <v>5</v>
      </c>
      <c r="AJ28" s="495">
        <v>250.2</v>
      </c>
      <c r="AK28" s="494">
        <v>2</v>
      </c>
      <c r="AL28" s="495">
        <v>99.4</v>
      </c>
      <c r="AM28" s="496">
        <v>114</v>
      </c>
      <c r="AN28" s="496">
        <v>64</v>
      </c>
      <c r="AO28" s="496">
        <v>146</v>
      </c>
      <c r="AP28" s="496">
        <v>11</v>
      </c>
      <c r="AQ28" s="496" t="s">
        <v>721</v>
      </c>
      <c r="AR28" s="496" t="s">
        <v>721</v>
      </c>
      <c r="AS28" s="496" t="s">
        <v>721</v>
      </c>
      <c r="AT28" s="496" t="s">
        <v>721</v>
      </c>
      <c r="AU28" s="496" t="s">
        <v>721</v>
      </c>
      <c r="AV28" s="496" t="s">
        <v>721</v>
      </c>
      <c r="AW28" s="496" t="s">
        <v>721</v>
      </c>
      <c r="AX28" s="496" t="s">
        <v>721</v>
      </c>
      <c r="AY28" s="496" t="s">
        <v>721</v>
      </c>
      <c r="AZ28" s="496" t="s">
        <v>721</v>
      </c>
      <c r="BA28" s="496" t="s">
        <v>721</v>
      </c>
      <c r="BB28" s="496" t="s">
        <v>721</v>
      </c>
      <c r="BC28" s="496" t="s">
        <v>721</v>
      </c>
      <c r="BD28" s="496" t="s">
        <v>721</v>
      </c>
      <c r="BE28" s="496" t="s">
        <v>721</v>
      </c>
      <c r="BF28" s="496" t="s">
        <v>721</v>
      </c>
      <c r="BG28" s="496" t="s">
        <v>721</v>
      </c>
      <c r="BH28" s="496" t="s">
        <v>721</v>
      </c>
      <c r="BI28" s="496" t="s">
        <v>721</v>
      </c>
      <c r="BJ28" s="496" t="s">
        <v>721</v>
      </c>
      <c r="BK28" s="496" t="s">
        <v>721</v>
      </c>
      <c r="BL28" s="496" t="s">
        <v>721</v>
      </c>
      <c r="BM28" s="496" t="s">
        <v>721</v>
      </c>
      <c r="BN28" s="496" t="s">
        <v>721</v>
      </c>
      <c r="BO28" s="496">
        <v>175</v>
      </c>
      <c r="BP28" s="496" t="s">
        <v>721</v>
      </c>
      <c r="BQ28" s="496" t="s">
        <v>721</v>
      </c>
      <c r="BR28" s="496" t="s">
        <v>721</v>
      </c>
      <c r="BS28" s="496" t="s">
        <v>721</v>
      </c>
      <c r="BT28" s="496" t="s">
        <v>721</v>
      </c>
      <c r="BU28" s="496" t="s">
        <v>721</v>
      </c>
      <c r="BV28" s="496" t="s">
        <v>721</v>
      </c>
      <c r="BW28" s="496" t="s">
        <v>721</v>
      </c>
      <c r="BX28" s="496" t="s">
        <v>721</v>
      </c>
      <c r="BY28" s="496" t="s">
        <v>721</v>
      </c>
      <c r="BZ28" s="496" t="s">
        <v>721</v>
      </c>
      <c r="CA28" s="496" t="s">
        <v>721</v>
      </c>
      <c r="CB28" s="496" t="s">
        <v>721</v>
      </c>
      <c r="CC28" s="496" t="s">
        <v>721</v>
      </c>
      <c r="CD28" s="496" t="s">
        <v>721</v>
      </c>
      <c r="CE28" s="496" t="s">
        <v>721</v>
      </c>
      <c r="CF28" s="496" t="s">
        <v>721</v>
      </c>
      <c r="CG28" s="496" t="s">
        <v>721</v>
      </c>
      <c r="CH28" s="496" t="s">
        <v>721</v>
      </c>
      <c r="CI28" s="496" t="s">
        <v>721</v>
      </c>
      <c r="CJ28" s="496" t="s">
        <v>721</v>
      </c>
      <c r="CK28" s="496" t="s">
        <v>721</v>
      </c>
      <c r="CL28" s="496" t="s">
        <v>721</v>
      </c>
      <c r="CM28" s="496" t="s">
        <v>721</v>
      </c>
      <c r="CN28" s="496" t="s">
        <v>721</v>
      </c>
      <c r="CO28" s="496" t="s">
        <v>721</v>
      </c>
      <c r="CP28" s="496" t="s">
        <v>721</v>
      </c>
      <c r="CQ28" s="496" t="s">
        <v>721</v>
      </c>
      <c r="CR28" s="496" t="s">
        <v>721</v>
      </c>
      <c r="CS28" s="496" t="s">
        <v>721</v>
      </c>
      <c r="CT28" s="496" t="s">
        <v>721</v>
      </c>
      <c r="CU28" s="496" t="s">
        <v>721</v>
      </c>
      <c r="CV28" s="496">
        <v>158</v>
      </c>
      <c r="CW28" s="496" t="s">
        <v>721</v>
      </c>
      <c r="CX28" s="496" t="s">
        <v>721</v>
      </c>
      <c r="CY28" s="496" t="s">
        <v>721</v>
      </c>
      <c r="CZ28" s="496" t="s">
        <v>721</v>
      </c>
      <c r="DA28" s="496" t="s">
        <v>721</v>
      </c>
      <c r="DB28" s="496" t="s">
        <v>721</v>
      </c>
      <c r="DC28" s="496" t="s">
        <v>721</v>
      </c>
      <c r="DD28" s="496" t="s">
        <v>721</v>
      </c>
      <c r="DE28" s="496" t="s">
        <v>721</v>
      </c>
      <c r="DF28" s="496" t="s">
        <v>721</v>
      </c>
      <c r="DG28" s="496" t="s">
        <v>721</v>
      </c>
      <c r="DH28" s="496" t="s">
        <v>721</v>
      </c>
      <c r="DI28" s="496" t="s">
        <v>721</v>
      </c>
      <c r="DJ28" s="496" t="s">
        <v>721</v>
      </c>
      <c r="DK28" s="496" t="s">
        <v>721</v>
      </c>
      <c r="DL28" s="496" t="s">
        <v>721</v>
      </c>
      <c r="DM28" s="496" t="s">
        <v>721</v>
      </c>
      <c r="DN28" s="496" t="s">
        <v>721</v>
      </c>
      <c r="DO28" s="496" t="s">
        <v>721</v>
      </c>
      <c r="DP28" s="496" t="s">
        <v>721</v>
      </c>
      <c r="DQ28" s="496" t="s">
        <v>721</v>
      </c>
      <c r="DR28" s="496" t="s">
        <v>721</v>
      </c>
      <c r="DS28" s="483" t="s">
        <v>721</v>
      </c>
      <c r="DT28" s="483" t="s">
        <v>721</v>
      </c>
      <c r="DU28" s="483" t="s">
        <v>721</v>
      </c>
      <c r="DV28" s="496">
        <v>12</v>
      </c>
      <c r="DW28" s="497">
        <v>2742.9</v>
      </c>
      <c r="DX28" s="496">
        <v>20</v>
      </c>
      <c r="DY28" s="497">
        <v>2991.3</v>
      </c>
      <c r="DZ28" s="496">
        <v>45</v>
      </c>
      <c r="EA28" s="497">
        <v>4099.6000000000004</v>
      </c>
      <c r="EB28" s="496">
        <v>53</v>
      </c>
      <c r="EC28" s="497">
        <v>4832</v>
      </c>
      <c r="ED28" s="496">
        <v>36</v>
      </c>
      <c r="EE28" s="497">
        <v>3409.5</v>
      </c>
      <c r="EF28" s="496">
        <v>12</v>
      </c>
      <c r="EG28" s="497">
        <v>1349.3</v>
      </c>
      <c r="EH28" s="485">
        <v>147</v>
      </c>
      <c r="EI28" s="486">
        <v>606.1</v>
      </c>
      <c r="EJ28" s="485">
        <v>150</v>
      </c>
      <c r="EK28" s="486">
        <v>3046.2</v>
      </c>
      <c r="EL28" s="485">
        <v>145</v>
      </c>
      <c r="EM28" s="486">
        <v>1376</v>
      </c>
      <c r="EN28" s="485">
        <v>146</v>
      </c>
      <c r="EO28" s="486">
        <v>900.6</v>
      </c>
      <c r="EP28" s="485">
        <v>147</v>
      </c>
      <c r="EQ28" s="486">
        <v>650.5</v>
      </c>
      <c r="ER28" s="485">
        <v>145</v>
      </c>
      <c r="ES28" s="486">
        <v>338.3</v>
      </c>
      <c r="ET28" s="485">
        <v>0</v>
      </c>
      <c r="EU28" s="485">
        <v>102</v>
      </c>
      <c r="EV28" s="486">
        <v>1667.6</v>
      </c>
      <c r="EW28" s="485">
        <v>34</v>
      </c>
      <c r="EX28" s="486">
        <v>169.4</v>
      </c>
      <c r="EY28" s="485">
        <v>35</v>
      </c>
      <c r="EZ28" s="486">
        <v>395.8</v>
      </c>
      <c r="FA28" s="485">
        <v>10</v>
      </c>
      <c r="FB28" s="486">
        <v>179.2</v>
      </c>
      <c r="FC28" s="485">
        <v>138</v>
      </c>
      <c r="FD28" s="486">
        <v>1714.9</v>
      </c>
      <c r="FE28" s="485">
        <v>126</v>
      </c>
      <c r="FF28" s="486">
        <v>1078</v>
      </c>
      <c r="FG28" s="485">
        <v>43</v>
      </c>
      <c r="FH28" s="486">
        <v>554.1</v>
      </c>
      <c r="FI28" s="485">
        <v>97</v>
      </c>
      <c r="FJ28" s="486">
        <v>584</v>
      </c>
      <c r="FK28" s="485">
        <v>111</v>
      </c>
      <c r="FL28" s="486">
        <v>514.70000000000005</v>
      </c>
      <c r="FM28" s="485">
        <v>9</v>
      </c>
      <c r="FN28" s="486">
        <v>20.5</v>
      </c>
      <c r="FO28" s="485">
        <v>125</v>
      </c>
      <c r="FP28" s="486">
        <v>1010.3</v>
      </c>
      <c r="FQ28" s="485">
        <v>126</v>
      </c>
      <c r="FR28" s="486">
        <v>739</v>
      </c>
      <c r="FS28" s="485">
        <v>6</v>
      </c>
      <c r="FT28" s="486">
        <v>39.299999999999997</v>
      </c>
      <c r="FU28" s="485">
        <v>0</v>
      </c>
      <c r="FV28" s="486">
        <v>0</v>
      </c>
      <c r="FW28" s="485">
        <v>0</v>
      </c>
      <c r="FX28" s="486">
        <v>0</v>
      </c>
      <c r="FY28" s="485">
        <v>1</v>
      </c>
      <c r="FZ28" s="486">
        <v>4.3</v>
      </c>
      <c r="GA28" s="485">
        <v>0</v>
      </c>
      <c r="GB28" s="485">
        <v>0</v>
      </c>
      <c r="GC28" s="487">
        <v>0</v>
      </c>
      <c r="GD28" s="488">
        <v>0</v>
      </c>
      <c r="GE28" s="488">
        <v>4</v>
      </c>
      <c r="GF28" s="488">
        <v>39</v>
      </c>
      <c r="GG28" s="488">
        <v>0</v>
      </c>
      <c r="GH28" s="488">
        <v>0</v>
      </c>
      <c r="GI28" s="488">
        <v>0</v>
      </c>
      <c r="GJ28" s="488">
        <v>0</v>
      </c>
      <c r="GK28" s="488">
        <v>17</v>
      </c>
      <c r="GL28" s="488">
        <v>26</v>
      </c>
      <c r="GM28" s="488">
        <v>43</v>
      </c>
      <c r="GN28" s="488">
        <v>0</v>
      </c>
      <c r="GO28" s="488">
        <v>10</v>
      </c>
      <c r="GP28" s="488">
        <v>2</v>
      </c>
      <c r="GQ28" s="488">
        <v>1</v>
      </c>
      <c r="GR28" s="488">
        <v>0</v>
      </c>
      <c r="GS28" s="488">
        <v>3</v>
      </c>
      <c r="GT28" s="489">
        <v>112</v>
      </c>
      <c r="GU28" s="488">
        <v>0</v>
      </c>
      <c r="GV28" s="490">
        <v>0</v>
      </c>
      <c r="GW28" s="490">
        <v>0</v>
      </c>
      <c r="GX28" s="490">
        <v>0</v>
      </c>
      <c r="GY28" s="491">
        <v>0</v>
      </c>
      <c r="GZ28" s="491">
        <v>0</v>
      </c>
      <c r="HA28" s="491">
        <v>0</v>
      </c>
      <c r="HB28" s="475">
        <v>0</v>
      </c>
      <c r="HC28" s="475">
        <v>0</v>
      </c>
      <c r="HD28" s="475">
        <v>0</v>
      </c>
      <c r="HE28" s="475">
        <v>0</v>
      </c>
      <c r="HF28" s="475">
        <v>0</v>
      </c>
      <c r="HG28" s="475">
        <v>0</v>
      </c>
      <c r="HH28" s="475">
        <v>0</v>
      </c>
      <c r="HI28" s="475">
        <v>0</v>
      </c>
      <c r="HJ28" s="475">
        <v>0</v>
      </c>
      <c r="HK28" s="475">
        <v>0</v>
      </c>
      <c r="HL28" s="475">
        <v>0</v>
      </c>
      <c r="HM28" s="475">
        <v>0</v>
      </c>
      <c r="HN28" s="475">
        <v>0</v>
      </c>
      <c r="HO28" s="475">
        <v>0</v>
      </c>
      <c r="HP28" s="475">
        <v>0</v>
      </c>
      <c r="HQ28" s="475">
        <v>0</v>
      </c>
      <c r="HR28" s="475">
        <v>1</v>
      </c>
      <c r="HS28" s="475">
        <v>0</v>
      </c>
      <c r="HT28" s="475">
        <v>0</v>
      </c>
      <c r="HU28" s="475">
        <v>0</v>
      </c>
      <c r="HV28" s="475">
        <v>0</v>
      </c>
      <c r="HW28" s="475">
        <v>0</v>
      </c>
      <c r="HX28" s="475">
        <v>0</v>
      </c>
      <c r="HY28" s="475">
        <v>0</v>
      </c>
      <c r="HZ28" s="475" t="s">
        <v>721</v>
      </c>
      <c r="IA28" s="475" t="s">
        <v>721</v>
      </c>
      <c r="IB28" s="475" t="s">
        <v>721</v>
      </c>
      <c r="IC28" s="475" t="s">
        <v>721</v>
      </c>
      <c r="ID28" s="475" t="s">
        <v>721</v>
      </c>
      <c r="IE28" s="475" t="s">
        <v>721</v>
      </c>
      <c r="IF28" s="475" t="s">
        <v>721</v>
      </c>
      <c r="IG28" s="475" t="s">
        <v>721</v>
      </c>
      <c r="IH28" s="475" t="s">
        <v>721</v>
      </c>
      <c r="II28" s="475" t="s">
        <v>721</v>
      </c>
      <c r="IJ28" s="475" t="s">
        <v>721</v>
      </c>
      <c r="IK28" s="475" t="s">
        <v>721</v>
      </c>
      <c r="IL28" s="475" t="s">
        <v>721</v>
      </c>
      <c r="IM28" s="475" t="s">
        <v>721</v>
      </c>
      <c r="IN28" s="475" t="s">
        <v>721</v>
      </c>
      <c r="IO28" s="475" t="s">
        <v>721</v>
      </c>
      <c r="IP28" s="475" t="s">
        <v>721</v>
      </c>
      <c r="IQ28" s="475" t="s">
        <v>721</v>
      </c>
      <c r="IR28" s="475" t="s">
        <v>721</v>
      </c>
      <c r="IS28" s="475" t="s">
        <v>721</v>
      </c>
      <c r="IT28" s="475" t="s">
        <v>721</v>
      </c>
      <c r="IU28" s="475" t="s">
        <v>721</v>
      </c>
      <c r="IV28" s="475" t="s">
        <v>721</v>
      </c>
      <c r="IW28" s="475" t="s">
        <v>721</v>
      </c>
      <c r="IX28" s="475" t="s">
        <v>721</v>
      </c>
      <c r="IY28" s="475" t="s">
        <v>721</v>
      </c>
      <c r="IZ28" s="475" t="s">
        <v>721</v>
      </c>
      <c r="JA28" s="475" t="s">
        <v>721</v>
      </c>
      <c r="JB28" s="475" t="s">
        <v>721</v>
      </c>
      <c r="JC28" s="475" t="s">
        <v>721</v>
      </c>
      <c r="JD28" s="475" t="s">
        <v>721</v>
      </c>
      <c r="JE28" s="475" t="s">
        <v>721</v>
      </c>
      <c r="JF28" s="475" t="s">
        <v>721</v>
      </c>
      <c r="JG28" s="475" t="s">
        <v>721</v>
      </c>
      <c r="JH28" s="475" t="s">
        <v>721</v>
      </c>
      <c r="JI28" s="475" t="s">
        <v>721</v>
      </c>
      <c r="JJ28" s="475" t="s">
        <v>721</v>
      </c>
      <c r="JK28" s="475" t="s">
        <v>721</v>
      </c>
      <c r="JL28" s="755">
        <v>16360.9</v>
      </c>
      <c r="JM28" s="755">
        <v>1250.5999999999999</v>
      </c>
      <c r="JN28" s="755">
        <v>566</v>
      </c>
      <c r="JO28" s="755" t="s">
        <v>721</v>
      </c>
      <c r="JP28" s="755">
        <v>490.4</v>
      </c>
      <c r="JQ28" s="755" t="s">
        <v>721</v>
      </c>
      <c r="JR28" s="755">
        <v>619.4</v>
      </c>
      <c r="JS28" s="755" t="s">
        <v>721</v>
      </c>
      <c r="JT28" s="755" t="s">
        <v>721</v>
      </c>
      <c r="JU28" s="755" t="s">
        <v>721</v>
      </c>
      <c r="JV28" s="755" t="s">
        <v>721</v>
      </c>
      <c r="JW28" s="755" t="s">
        <v>721</v>
      </c>
      <c r="JX28" s="755" t="s">
        <v>721</v>
      </c>
      <c r="JY28" s="755" t="s">
        <v>721</v>
      </c>
      <c r="JZ28" s="755" t="s">
        <v>721</v>
      </c>
      <c r="KA28" s="755" t="s">
        <v>721</v>
      </c>
      <c r="KB28" s="755" t="s">
        <v>721</v>
      </c>
      <c r="KC28" s="755" t="s">
        <v>721</v>
      </c>
      <c r="KD28" s="755">
        <v>137.30000000000001</v>
      </c>
      <c r="KE28" s="475">
        <v>17</v>
      </c>
      <c r="KF28" s="475" t="s">
        <v>721</v>
      </c>
      <c r="KG28" s="475" t="s">
        <v>721</v>
      </c>
      <c r="KH28" s="475" t="s">
        <v>721</v>
      </c>
      <c r="KI28" s="475" t="s">
        <v>721</v>
      </c>
      <c r="KJ28" s="475" t="s">
        <v>721</v>
      </c>
      <c r="KK28" s="475" t="s">
        <v>721</v>
      </c>
      <c r="KL28" s="475" t="s">
        <v>721</v>
      </c>
      <c r="KM28" s="475" t="s">
        <v>721</v>
      </c>
      <c r="KN28" s="475" t="s">
        <v>721</v>
      </c>
      <c r="KO28" s="475" t="s">
        <v>721</v>
      </c>
      <c r="KP28" s="475" t="s">
        <v>721</v>
      </c>
      <c r="KQ28" s="475" t="s">
        <v>721</v>
      </c>
      <c r="KR28" s="475" t="s">
        <v>721</v>
      </c>
      <c r="KS28" s="475" t="s">
        <v>721</v>
      </c>
      <c r="KT28" s="475" t="s">
        <v>721</v>
      </c>
      <c r="KU28" s="475" t="s">
        <v>721</v>
      </c>
      <c r="KV28" s="475" t="s">
        <v>721</v>
      </c>
      <c r="KW28" s="475" t="s">
        <v>721</v>
      </c>
      <c r="KX28" s="475" t="s">
        <v>721</v>
      </c>
      <c r="KY28" s="475" t="s">
        <v>721</v>
      </c>
      <c r="KZ28" s="475" t="s">
        <v>721</v>
      </c>
      <c r="LA28" s="475" t="s">
        <v>721</v>
      </c>
      <c r="LB28" s="475" t="s">
        <v>721</v>
      </c>
      <c r="LC28" s="475" t="s">
        <v>721</v>
      </c>
      <c r="LD28" s="475" t="s">
        <v>721</v>
      </c>
      <c r="LE28" s="475" t="s">
        <v>721</v>
      </c>
      <c r="LF28" s="475" t="s">
        <v>721</v>
      </c>
      <c r="LG28" s="475" t="s">
        <v>721</v>
      </c>
      <c r="LH28" s="475" t="s">
        <v>721</v>
      </c>
      <c r="LI28" s="475" t="s">
        <v>721</v>
      </c>
      <c r="LJ28" s="475" t="s">
        <v>721</v>
      </c>
      <c r="LK28" s="475" t="s">
        <v>721</v>
      </c>
      <c r="LL28" s="475" t="s">
        <v>721</v>
      </c>
      <c r="LM28" s="475" t="s">
        <v>721</v>
      </c>
      <c r="LN28" s="475" t="s">
        <v>721</v>
      </c>
      <c r="LO28" s="475" t="s">
        <v>721</v>
      </c>
      <c r="LP28" s="475" t="s">
        <v>721</v>
      </c>
      <c r="LQ28" s="475">
        <v>105</v>
      </c>
      <c r="LR28" s="475" t="s">
        <v>721</v>
      </c>
      <c r="LS28" s="475" t="s">
        <v>721</v>
      </c>
      <c r="LT28" s="475" t="s">
        <v>721</v>
      </c>
      <c r="LU28" s="475" t="s">
        <v>721</v>
      </c>
      <c r="LV28" s="475" t="s">
        <v>721</v>
      </c>
      <c r="LW28" s="475" t="s">
        <v>721</v>
      </c>
      <c r="LX28" s="475" t="s">
        <v>721</v>
      </c>
      <c r="LY28" s="475" t="s">
        <v>721</v>
      </c>
      <c r="LZ28" s="475" t="s">
        <v>721</v>
      </c>
      <c r="MA28" s="475" t="s">
        <v>721</v>
      </c>
      <c r="MB28" s="475" t="s">
        <v>721</v>
      </c>
      <c r="MC28" s="475" t="s">
        <v>721</v>
      </c>
      <c r="MD28" s="475" t="s">
        <v>721</v>
      </c>
      <c r="ME28" s="475" t="s">
        <v>721</v>
      </c>
      <c r="MF28" s="475" t="s">
        <v>721</v>
      </c>
      <c r="MG28" s="475" t="s">
        <v>721</v>
      </c>
      <c r="MH28" s="475" t="s">
        <v>721</v>
      </c>
      <c r="MI28" s="475" t="s">
        <v>721</v>
      </c>
      <c r="MJ28" s="475">
        <v>39</v>
      </c>
      <c r="MK28" s="475" t="s">
        <v>721</v>
      </c>
      <c r="ML28" s="475" t="s">
        <v>721</v>
      </c>
      <c r="MM28" s="475" t="s">
        <v>721</v>
      </c>
      <c r="MN28" s="475" t="s">
        <v>721</v>
      </c>
      <c r="MO28" s="475" t="s">
        <v>721</v>
      </c>
      <c r="MP28" s="475" t="s">
        <v>721</v>
      </c>
      <c r="MQ28" s="475" t="s">
        <v>721</v>
      </c>
      <c r="MR28" s="475" t="s">
        <v>721</v>
      </c>
      <c r="MS28" s="475" t="s">
        <v>721</v>
      </c>
      <c r="MT28" s="475" t="s">
        <v>721</v>
      </c>
      <c r="MU28" s="475" t="s">
        <v>721</v>
      </c>
      <c r="MV28" s="475" t="s">
        <v>721</v>
      </c>
      <c r="MW28" s="475" t="s">
        <v>721</v>
      </c>
      <c r="MX28" s="475" t="s">
        <v>721</v>
      </c>
      <c r="MY28" s="475" t="s">
        <v>721</v>
      </c>
      <c r="MZ28" s="475" t="s">
        <v>721</v>
      </c>
      <c r="NA28" s="475" t="s">
        <v>721</v>
      </c>
      <c r="NB28" s="475" t="s">
        <v>721</v>
      </c>
      <c r="NC28" s="476">
        <v>0.64</v>
      </c>
      <c r="ND28" s="476">
        <v>0.36</v>
      </c>
      <c r="NE28" s="476">
        <v>0.82</v>
      </c>
      <c r="NF28" s="476">
        <v>6.2E-2</v>
      </c>
      <c r="NG28" s="476" t="s">
        <v>721</v>
      </c>
      <c r="NH28" s="476" t="s">
        <v>721</v>
      </c>
      <c r="NI28" s="476" t="s">
        <v>721</v>
      </c>
      <c r="NJ28" s="476" t="s">
        <v>721</v>
      </c>
      <c r="NK28" s="476" t="s">
        <v>721</v>
      </c>
      <c r="NL28" s="476" t="s">
        <v>721</v>
      </c>
      <c r="NM28" s="476" t="s">
        <v>721</v>
      </c>
      <c r="NN28" s="476" t="s">
        <v>721</v>
      </c>
      <c r="NO28" s="476" t="s">
        <v>721</v>
      </c>
      <c r="NP28" s="476" t="s">
        <v>721</v>
      </c>
      <c r="NQ28" s="476" t="s">
        <v>721</v>
      </c>
      <c r="NR28" s="476" t="s">
        <v>721</v>
      </c>
      <c r="NS28" s="476" t="s">
        <v>721</v>
      </c>
      <c r="NT28" s="476" t="s">
        <v>721</v>
      </c>
      <c r="NU28" s="476" t="s">
        <v>721</v>
      </c>
      <c r="NV28" s="476" t="s">
        <v>721</v>
      </c>
      <c r="NW28" s="476" t="s">
        <v>721</v>
      </c>
      <c r="NX28" s="476" t="s">
        <v>721</v>
      </c>
      <c r="NY28" s="476" t="s">
        <v>721</v>
      </c>
      <c r="NZ28" s="476" t="s">
        <v>721</v>
      </c>
      <c r="OA28" s="476" t="s">
        <v>721</v>
      </c>
      <c r="OB28" s="476" t="s">
        <v>721</v>
      </c>
      <c r="OC28" s="476" t="s">
        <v>721</v>
      </c>
      <c r="OD28" s="476" t="s">
        <v>721</v>
      </c>
      <c r="OE28" s="476">
        <v>0.98299999999999998</v>
      </c>
      <c r="OF28" s="476" t="s">
        <v>721</v>
      </c>
      <c r="OG28" s="476" t="s">
        <v>721</v>
      </c>
      <c r="OH28" s="476" t="s">
        <v>721</v>
      </c>
      <c r="OI28" s="476" t="s">
        <v>721</v>
      </c>
      <c r="OJ28" s="476" t="s">
        <v>721</v>
      </c>
      <c r="OK28" s="476" t="s">
        <v>721</v>
      </c>
      <c r="OL28" s="476" t="s">
        <v>721</v>
      </c>
      <c r="OM28" s="476" t="s">
        <v>721</v>
      </c>
      <c r="ON28" s="476" t="s">
        <v>721</v>
      </c>
      <c r="OO28" s="476" t="s">
        <v>721</v>
      </c>
      <c r="OP28" s="476" t="s">
        <v>721</v>
      </c>
      <c r="OQ28" s="476" t="s">
        <v>721</v>
      </c>
      <c r="OR28" s="476" t="s">
        <v>721</v>
      </c>
      <c r="OS28" s="476" t="s">
        <v>721</v>
      </c>
      <c r="OT28" s="476" t="s">
        <v>721</v>
      </c>
      <c r="OU28" s="476" t="s">
        <v>721</v>
      </c>
      <c r="OV28" s="476" t="s">
        <v>721</v>
      </c>
      <c r="OW28" s="476" t="s">
        <v>721</v>
      </c>
      <c r="OX28" s="476" t="s">
        <v>721</v>
      </c>
      <c r="OY28" s="476" t="s">
        <v>721</v>
      </c>
      <c r="OZ28" s="476" t="s">
        <v>721</v>
      </c>
      <c r="PA28" s="476" t="s">
        <v>721</v>
      </c>
      <c r="PB28" s="476" t="s">
        <v>721</v>
      </c>
      <c r="PC28" s="476" t="s">
        <v>721</v>
      </c>
      <c r="PD28" s="476" t="s">
        <v>721</v>
      </c>
      <c r="PE28" s="476" t="s">
        <v>721</v>
      </c>
      <c r="PF28" s="476" t="s">
        <v>721</v>
      </c>
      <c r="PG28" s="476" t="s">
        <v>721</v>
      </c>
      <c r="PH28" s="476" t="s">
        <v>721</v>
      </c>
      <c r="PI28" s="476" t="s">
        <v>721</v>
      </c>
      <c r="PJ28" s="476" t="s">
        <v>721</v>
      </c>
      <c r="PK28" s="476" t="s">
        <v>721</v>
      </c>
      <c r="PL28" s="476">
        <v>0.98099999999999998</v>
      </c>
      <c r="PM28" s="476" t="s">
        <v>721</v>
      </c>
      <c r="PN28" s="476" t="s">
        <v>721</v>
      </c>
      <c r="PO28" s="476" t="s">
        <v>721</v>
      </c>
      <c r="PP28" s="476" t="s">
        <v>721</v>
      </c>
      <c r="PQ28" s="476" t="s">
        <v>721</v>
      </c>
      <c r="PR28" s="476" t="s">
        <v>721</v>
      </c>
      <c r="PS28" s="476" t="s">
        <v>721</v>
      </c>
      <c r="PT28" s="476" t="s">
        <v>721</v>
      </c>
      <c r="PU28" s="476" t="s">
        <v>721</v>
      </c>
      <c r="PV28" s="476" t="s">
        <v>721</v>
      </c>
      <c r="PW28" s="476" t="s">
        <v>721</v>
      </c>
      <c r="PX28" s="476" t="s">
        <v>721</v>
      </c>
      <c r="PY28" s="476" t="s">
        <v>721</v>
      </c>
      <c r="PZ28" s="476" t="s">
        <v>721</v>
      </c>
      <c r="QA28" s="476" t="s">
        <v>721</v>
      </c>
      <c r="QB28" s="476" t="s">
        <v>721</v>
      </c>
      <c r="QC28" s="476" t="s">
        <v>721</v>
      </c>
      <c r="QD28" s="476" t="s">
        <v>721</v>
      </c>
      <c r="QE28" s="476" t="s">
        <v>721</v>
      </c>
      <c r="QF28" s="476" t="s">
        <v>721</v>
      </c>
      <c r="QG28" s="476" t="s">
        <v>721</v>
      </c>
      <c r="QH28" s="476" t="s">
        <v>721</v>
      </c>
      <c r="QI28" s="476" t="s">
        <v>721</v>
      </c>
      <c r="QJ28" s="476" t="s">
        <v>721</v>
      </c>
      <c r="QK28" s="476" t="s">
        <v>721</v>
      </c>
      <c r="QL28" s="476" t="s">
        <v>721</v>
      </c>
      <c r="QM28" s="476" t="s">
        <v>721</v>
      </c>
      <c r="QN28" s="476" t="s">
        <v>721</v>
      </c>
      <c r="QO28" s="476" t="s">
        <v>721</v>
      </c>
      <c r="QP28" s="476" t="s">
        <v>721</v>
      </c>
      <c r="QQ28" s="476" t="s">
        <v>721</v>
      </c>
      <c r="QR28" s="476" t="s">
        <v>721</v>
      </c>
      <c r="QS28" s="476" t="s">
        <v>721</v>
      </c>
      <c r="QT28" s="476" t="s">
        <v>721</v>
      </c>
      <c r="QU28" s="476" t="s">
        <v>721</v>
      </c>
      <c r="QV28" s="476" t="s">
        <v>721</v>
      </c>
      <c r="QW28" s="476" t="s">
        <v>721</v>
      </c>
      <c r="QX28" s="476" t="s">
        <v>721</v>
      </c>
      <c r="QY28" s="476" t="s">
        <v>721</v>
      </c>
      <c r="QZ28" s="476" t="s">
        <v>721</v>
      </c>
      <c r="RA28" s="476" t="s">
        <v>721</v>
      </c>
      <c r="RB28" s="476" t="s">
        <v>721</v>
      </c>
      <c r="RC28" s="476" t="s">
        <v>721</v>
      </c>
      <c r="RD28" s="476" t="s">
        <v>721</v>
      </c>
      <c r="RE28" s="476" t="s">
        <v>721</v>
      </c>
      <c r="RF28" s="476" t="s">
        <v>721</v>
      </c>
      <c r="RG28" s="476" t="s">
        <v>721</v>
      </c>
      <c r="RH28" s="476" t="s">
        <v>721</v>
      </c>
      <c r="RI28" s="476" t="s">
        <v>721</v>
      </c>
      <c r="RJ28" s="476" t="s">
        <v>721</v>
      </c>
      <c r="RK28" s="476" t="s">
        <v>721</v>
      </c>
      <c r="RL28" s="476" t="s">
        <v>721</v>
      </c>
      <c r="RM28" s="476" t="s">
        <v>721</v>
      </c>
      <c r="RN28" s="476" t="s">
        <v>721</v>
      </c>
      <c r="RO28" s="476" t="s">
        <v>721</v>
      </c>
      <c r="RP28" s="476" t="s">
        <v>721</v>
      </c>
      <c r="RQ28" s="476" t="s">
        <v>721</v>
      </c>
      <c r="RR28" s="476" t="s">
        <v>721</v>
      </c>
      <c r="RS28" s="476" t="s">
        <v>721</v>
      </c>
      <c r="RT28" s="476" t="s">
        <v>721</v>
      </c>
      <c r="RU28" s="476" t="s">
        <v>721</v>
      </c>
      <c r="RV28" s="476" t="s">
        <v>721</v>
      </c>
      <c r="RW28" s="476" t="s">
        <v>721</v>
      </c>
      <c r="RX28" s="476">
        <v>0.84199999999999997</v>
      </c>
      <c r="RY28" s="476">
        <v>6.4000000000000001E-2</v>
      </c>
      <c r="RZ28" s="476">
        <v>2.9000000000000001E-2</v>
      </c>
      <c r="SA28" s="476" t="s">
        <v>721</v>
      </c>
      <c r="SB28" s="476">
        <v>2.5000000000000001E-2</v>
      </c>
      <c r="SC28" s="476" t="s">
        <v>721</v>
      </c>
      <c r="SD28" s="476">
        <v>3.2000000000000001E-2</v>
      </c>
      <c r="SE28" s="476" t="s">
        <v>721</v>
      </c>
      <c r="SF28" s="476" t="s">
        <v>721</v>
      </c>
      <c r="SG28" s="476" t="s">
        <v>721</v>
      </c>
      <c r="SH28" s="476" t="s">
        <v>721</v>
      </c>
      <c r="SI28" s="476" t="s">
        <v>721</v>
      </c>
      <c r="SJ28" s="476" t="s">
        <v>721</v>
      </c>
      <c r="SK28" s="476" t="s">
        <v>721</v>
      </c>
      <c r="SL28" s="476" t="s">
        <v>721</v>
      </c>
      <c r="SM28" s="476" t="s">
        <v>721</v>
      </c>
      <c r="SN28" s="476" t="s">
        <v>721</v>
      </c>
      <c r="SO28" s="476" t="s">
        <v>721</v>
      </c>
      <c r="SP28" s="476">
        <v>7.0000000000000001E-3</v>
      </c>
      <c r="SQ28" s="476">
        <v>0.89500000000000002</v>
      </c>
      <c r="SR28" s="476" t="s">
        <v>721</v>
      </c>
      <c r="SS28" s="476" t="s">
        <v>721</v>
      </c>
      <c r="ST28" s="476" t="s">
        <v>721</v>
      </c>
      <c r="SU28" s="476" t="s">
        <v>721</v>
      </c>
      <c r="SV28" s="476" t="s">
        <v>721</v>
      </c>
      <c r="SW28" s="476" t="s">
        <v>721</v>
      </c>
      <c r="SX28" s="476" t="s">
        <v>721</v>
      </c>
      <c r="SY28" s="476" t="s">
        <v>721</v>
      </c>
      <c r="SZ28" s="476" t="s">
        <v>721</v>
      </c>
      <c r="TA28" s="476" t="s">
        <v>721</v>
      </c>
      <c r="TB28" s="476" t="s">
        <v>721</v>
      </c>
      <c r="TC28" s="476" t="s">
        <v>721</v>
      </c>
      <c r="TD28" s="476" t="s">
        <v>721</v>
      </c>
      <c r="TE28" s="476" t="s">
        <v>721</v>
      </c>
      <c r="TF28" s="476" t="s">
        <v>721</v>
      </c>
      <c r="TG28" s="476" t="s">
        <v>721</v>
      </c>
      <c r="TH28" s="476" t="s">
        <v>721</v>
      </c>
      <c r="TI28" s="476" t="s">
        <v>721</v>
      </c>
      <c r="TJ28" s="476" t="s">
        <v>721</v>
      </c>
      <c r="TK28" s="476" t="s">
        <v>721</v>
      </c>
      <c r="TL28" s="476" t="s">
        <v>721</v>
      </c>
      <c r="TM28" s="476" t="s">
        <v>721</v>
      </c>
      <c r="TN28" s="476" t="s">
        <v>721</v>
      </c>
      <c r="TO28" s="476" t="s">
        <v>721</v>
      </c>
      <c r="TP28" s="476" t="s">
        <v>721</v>
      </c>
      <c r="TQ28" s="476" t="s">
        <v>721</v>
      </c>
      <c r="TR28" s="476" t="s">
        <v>721</v>
      </c>
      <c r="TS28" s="476" t="s">
        <v>721</v>
      </c>
      <c r="TT28" s="476" t="s">
        <v>721</v>
      </c>
      <c r="TU28" s="476" t="s">
        <v>721</v>
      </c>
      <c r="TV28" s="476" t="s">
        <v>721</v>
      </c>
      <c r="TW28" s="476" t="s">
        <v>721</v>
      </c>
      <c r="TX28" s="476" t="s">
        <v>721</v>
      </c>
      <c r="TY28" s="476" t="s">
        <v>721</v>
      </c>
      <c r="TZ28" s="476" t="s">
        <v>721</v>
      </c>
      <c r="UA28" s="476" t="s">
        <v>721</v>
      </c>
      <c r="UB28" s="476" t="s">
        <v>721</v>
      </c>
      <c r="UC28" s="476">
        <v>0.78900000000000003</v>
      </c>
      <c r="UD28" s="476" t="s">
        <v>721</v>
      </c>
      <c r="UE28" s="476" t="s">
        <v>721</v>
      </c>
      <c r="UF28" s="476" t="s">
        <v>721</v>
      </c>
      <c r="UG28" s="476" t="s">
        <v>721</v>
      </c>
      <c r="UH28" s="476" t="s">
        <v>721</v>
      </c>
      <c r="UI28" s="476" t="s">
        <v>721</v>
      </c>
      <c r="UJ28" s="476" t="s">
        <v>721</v>
      </c>
      <c r="UK28" s="476" t="s">
        <v>721</v>
      </c>
      <c r="UL28" s="476" t="s">
        <v>721</v>
      </c>
      <c r="UM28" s="476" t="s">
        <v>721</v>
      </c>
      <c r="UN28" s="476" t="s">
        <v>721</v>
      </c>
      <c r="UO28" s="476" t="s">
        <v>721</v>
      </c>
      <c r="UP28" s="476" t="s">
        <v>721</v>
      </c>
      <c r="UQ28" s="476" t="s">
        <v>721</v>
      </c>
      <c r="UR28" s="476" t="s">
        <v>721</v>
      </c>
      <c r="US28" s="476" t="s">
        <v>721</v>
      </c>
      <c r="UT28" s="476" t="s">
        <v>721</v>
      </c>
      <c r="UU28" s="476" t="s">
        <v>721</v>
      </c>
      <c r="UV28" s="476">
        <v>0.90700000000000003</v>
      </c>
      <c r="UW28" s="476" t="s">
        <v>721</v>
      </c>
      <c r="UX28" s="476" t="s">
        <v>721</v>
      </c>
      <c r="UY28" s="476" t="s">
        <v>721</v>
      </c>
      <c r="UZ28" s="476" t="s">
        <v>721</v>
      </c>
      <c r="VA28" s="476" t="s">
        <v>721</v>
      </c>
      <c r="VB28" s="476" t="s">
        <v>721</v>
      </c>
      <c r="VC28" s="476" t="s">
        <v>721</v>
      </c>
      <c r="VD28" s="476" t="s">
        <v>721</v>
      </c>
      <c r="VE28" s="476" t="s">
        <v>721</v>
      </c>
      <c r="VF28" s="476" t="s">
        <v>721</v>
      </c>
      <c r="VG28" s="476" t="s">
        <v>721</v>
      </c>
      <c r="VH28" s="476" t="s">
        <v>721</v>
      </c>
      <c r="VI28" s="476" t="s">
        <v>721</v>
      </c>
      <c r="VJ28" s="476" t="s">
        <v>721</v>
      </c>
      <c r="VK28" s="476" t="s">
        <v>721</v>
      </c>
      <c r="VL28" s="476" t="s">
        <v>721</v>
      </c>
      <c r="VM28" s="476" t="s">
        <v>721</v>
      </c>
      <c r="VN28" s="476" t="s">
        <v>721</v>
      </c>
      <c r="VO28" s="28"/>
      <c r="VP28" s="28"/>
      <c r="VQ28" s="28"/>
      <c r="VR28" s="28"/>
      <c r="VS28" s="28"/>
      <c r="VT28" s="28"/>
      <c r="VU28" s="28"/>
      <c r="VV28" s="28"/>
      <c r="VW28" s="28"/>
      <c r="VX28" s="28"/>
      <c r="VY28" s="28"/>
      <c r="VZ28" s="28"/>
      <c r="WA28" s="28"/>
      <c r="WB28" s="28"/>
      <c r="WC28" s="28"/>
      <c r="WD28" s="28"/>
      <c r="WE28" s="28"/>
      <c r="WF28" s="28"/>
      <c r="WG28" s="28"/>
      <c r="WH28" s="28"/>
      <c r="WI28" s="28"/>
      <c r="WJ28" s="28"/>
      <c r="WK28" s="28"/>
      <c r="WL28" s="28"/>
      <c r="WM28" s="28"/>
      <c r="WN28" s="28"/>
      <c r="WO28" s="28"/>
      <c r="WP28" s="28"/>
      <c r="WQ28" s="28"/>
      <c r="WR28" s="28"/>
      <c r="WS28" s="28"/>
      <c r="WT28" s="28"/>
      <c r="WU28" s="28"/>
      <c r="WV28" s="28"/>
      <c r="WW28" s="28"/>
    </row>
    <row r="29" spans="1:621" s="151" customFormat="1" ht="15.75" customHeight="1" x14ac:dyDescent="0.35">
      <c r="A29" s="477" t="s">
        <v>39</v>
      </c>
      <c r="B29" s="492" t="s">
        <v>15</v>
      </c>
      <c r="C29" s="493">
        <v>16</v>
      </c>
      <c r="D29" s="494">
        <v>39</v>
      </c>
      <c r="E29" s="473">
        <v>5370.5</v>
      </c>
      <c r="F29" s="473">
        <v>137.69999999999999</v>
      </c>
      <c r="G29" s="474">
        <v>37</v>
      </c>
      <c r="H29" s="474">
        <v>34</v>
      </c>
      <c r="I29" s="474">
        <v>19</v>
      </c>
      <c r="J29" s="474">
        <v>18</v>
      </c>
      <c r="K29" s="474">
        <v>15</v>
      </c>
      <c r="L29" s="473">
        <v>3367.2</v>
      </c>
      <c r="M29" s="474">
        <v>23</v>
      </c>
      <c r="N29" s="473">
        <v>2003.3</v>
      </c>
      <c r="O29" s="494">
        <v>10</v>
      </c>
      <c r="P29" s="495">
        <v>1597.9</v>
      </c>
      <c r="Q29" s="494">
        <v>11</v>
      </c>
      <c r="R29" s="495">
        <v>421.5</v>
      </c>
      <c r="S29" s="480">
        <v>7</v>
      </c>
      <c r="T29" s="481">
        <v>830</v>
      </c>
      <c r="U29" s="480">
        <v>0</v>
      </c>
      <c r="V29" s="481">
        <v>0</v>
      </c>
      <c r="W29" s="480">
        <v>32</v>
      </c>
      <c r="X29" s="481">
        <v>4540.5</v>
      </c>
      <c r="Y29" s="494">
        <v>35</v>
      </c>
      <c r="Z29" s="494">
        <v>15</v>
      </c>
      <c r="AA29" s="494">
        <v>27</v>
      </c>
      <c r="AB29" s="494">
        <v>13</v>
      </c>
      <c r="AC29" s="494">
        <v>4</v>
      </c>
      <c r="AD29" s="494">
        <v>10</v>
      </c>
      <c r="AE29" s="480">
        <v>13</v>
      </c>
      <c r="AF29" s="481">
        <v>646.20000000000005</v>
      </c>
      <c r="AG29" s="480">
        <v>22</v>
      </c>
      <c r="AH29" s="481">
        <v>4607.2</v>
      </c>
      <c r="AI29" s="480">
        <v>2</v>
      </c>
      <c r="AJ29" s="481">
        <v>93.9</v>
      </c>
      <c r="AK29" s="480">
        <v>1</v>
      </c>
      <c r="AL29" s="481">
        <v>23.2</v>
      </c>
      <c r="AM29" s="496">
        <v>22</v>
      </c>
      <c r="AN29" s="496">
        <v>17</v>
      </c>
      <c r="AO29" s="496">
        <v>23</v>
      </c>
      <c r="AP29" s="496">
        <v>12</v>
      </c>
      <c r="AQ29" s="496" t="s">
        <v>721</v>
      </c>
      <c r="AR29" s="496" t="s">
        <v>721</v>
      </c>
      <c r="AS29" s="496" t="s">
        <v>721</v>
      </c>
      <c r="AT29" s="496" t="s">
        <v>721</v>
      </c>
      <c r="AU29" s="496" t="s">
        <v>721</v>
      </c>
      <c r="AV29" s="496" t="s">
        <v>721</v>
      </c>
      <c r="AW29" s="496" t="s">
        <v>721</v>
      </c>
      <c r="AX29" s="496" t="s">
        <v>721</v>
      </c>
      <c r="AY29" s="496" t="s">
        <v>721</v>
      </c>
      <c r="AZ29" s="496" t="s">
        <v>721</v>
      </c>
      <c r="BA29" s="496" t="s">
        <v>721</v>
      </c>
      <c r="BB29" s="496" t="s">
        <v>721</v>
      </c>
      <c r="BC29" s="496" t="s">
        <v>721</v>
      </c>
      <c r="BD29" s="496" t="s">
        <v>721</v>
      </c>
      <c r="BE29" s="496" t="s">
        <v>721</v>
      </c>
      <c r="BF29" s="496" t="s">
        <v>721</v>
      </c>
      <c r="BG29" s="496" t="s">
        <v>721</v>
      </c>
      <c r="BH29" s="496" t="s">
        <v>721</v>
      </c>
      <c r="BI29" s="496" t="s">
        <v>721</v>
      </c>
      <c r="BJ29" s="496" t="s">
        <v>721</v>
      </c>
      <c r="BK29" s="496" t="s">
        <v>721</v>
      </c>
      <c r="BL29" s="496" t="s">
        <v>721</v>
      </c>
      <c r="BM29" s="496" t="s">
        <v>721</v>
      </c>
      <c r="BN29" s="496" t="s">
        <v>721</v>
      </c>
      <c r="BO29" s="496">
        <v>32</v>
      </c>
      <c r="BP29" s="496" t="s">
        <v>721</v>
      </c>
      <c r="BQ29" s="496" t="s">
        <v>721</v>
      </c>
      <c r="BR29" s="496" t="s">
        <v>721</v>
      </c>
      <c r="BS29" s="496" t="s">
        <v>721</v>
      </c>
      <c r="BT29" s="496" t="s">
        <v>721</v>
      </c>
      <c r="BU29" s="496" t="s">
        <v>721</v>
      </c>
      <c r="BV29" s="496" t="s">
        <v>721</v>
      </c>
      <c r="BW29" s="496" t="s">
        <v>721</v>
      </c>
      <c r="BX29" s="496" t="s">
        <v>721</v>
      </c>
      <c r="BY29" s="496" t="s">
        <v>721</v>
      </c>
      <c r="BZ29" s="496" t="s">
        <v>721</v>
      </c>
      <c r="CA29" s="496" t="s">
        <v>721</v>
      </c>
      <c r="CB29" s="496" t="s">
        <v>721</v>
      </c>
      <c r="CC29" s="496" t="s">
        <v>721</v>
      </c>
      <c r="CD29" s="496" t="s">
        <v>721</v>
      </c>
      <c r="CE29" s="496" t="s">
        <v>721</v>
      </c>
      <c r="CF29" s="496" t="s">
        <v>721</v>
      </c>
      <c r="CG29" s="496" t="s">
        <v>721</v>
      </c>
      <c r="CH29" s="496" t="s">
        <v>721</v>
      </c>
      <c r="CI29" s="496" t="s">
        <v>721</v>
      </c>
      <c r="CJ29" s="496" t="s">
        <v>721</v>
      </c>
      <c r="CK29" s="496" t="s">
        <v>721</v>
      </c>
      <c r="CL29" s="496" t="s">
        <v>721</v>
      </c>
      <c r="CM29" s="496" t="s">
        <v>721</v>
      </c>
      <c r="CN29" s="496" t="s">
        <v>721</v>
      </c>
      <c r="CO29" s="496" t="s">
        <v>721</v>
      </c>
      <c r="CP29" s="496" t="s">
        <v>721</v>
      </c>
      <c r="CQ29" s="496" t="s">
        <v>721</v>
      </c>
      <c r="CR29" s="496" t="s">
        <v>721</v>
      </c>
      <c r="CS29" s="496" t="s">
        <v>721</v>
      </c>
      <c r="CT29" s="496" t="s">
        <v>721</v>
      </c>
      <c r="CU29" s="496" t="s">
        <v>721</v>
      </c>
      <c r="CV29" s="496">
        <v>28</v>
      </c>
      <c r="CW29" s="496" t="s">
        <v>721</v>
      </c>
      <c r="CX29" s="496" t="s">
        <v>721</v>
      </c>
      <c r="CY29" s="496" t="s">
        <v>721</v>
      </c>
      <c r="CZ29" s="496" t="s">
        <v>721</v>
      </c>
      <c r="DA29" s="496" t="s">
        <v>721</v>
      </c>
      <c r="DB29" s="496" t="s">
        <v>721</v>
      </c>
      <c r="DC29" s="496" t="s">
        <v>721</v>
      </c>
      <c r="DD29" s="496" t="s">
        <v>721</v>
      </c>
      <c r="DE29" s="496" t="s">
        <v>721</v>
      </c>
      <c r="DF29" s="496" t="s">
        <v>721</v>
      </c>
      <c r="DG29" s="496" t="s">
        <v>721</v>
      </c>
      <c r="DH29" s="496" t="s">
        <v>721</v>
      </c>
      <c r="DI29" s="496" t="s">
        <v>721</v>
      </c>
      <c r="DJ29" s="496" t="s">
        <v>721</v>
      </c>
      <c r="DK29" s="496" t="s">
        <v>721</v>
      </c>
      <c r="DL29" s="496" t="s">
        <v>721</v>
      </c>
      <c r="DM29" s="496" t="s">
        <v>721</v>
      </c>
      <c r="DN29" s="496" t="s">
        <v>721</v>
      </c>
      <c r="DO29" s="496" t="s">
        <v>721</v>
      </c>
      <c r="DP29" s="496" t="s">
        <v>721</v>
      </c>
      <c r="DQ29" s="496" t="s">
        <v>721</v>
      </c>
      <c r="DR29" s="496" t="s">
        <v>721</v>
      </c>
      <c r="DS29" s="483" t="s">
        <v>721</v>
      </c>
      <c r="DT29" s="483" t="s">
        <v>721</v>
      </c>
      <c r="DU29" s="483" t="s">
        <v>721</v>
      </c>
      <c r="DV29" s="496" t="s">
        <v>721</v>
      </c>
      <c r="DW29" s="497">
        <v>1774.1</v>
      </c>
      <c r="DX29" s="496" t="s">
        <v>721</v>
      </c>
      <c r="DY29" s="497">
        <v>864</v>
      </c>
      <c r="DZ29" s="496">
        <v>14</v>
      </c>
      <c r="EA29" s="497">
        <v>1398.3</v>
      </c>
      <c r="EB29" s="496" t="s">
        <v>721</v>
      </c>
      <c r="EC29" s="497">
        <v>509.1</v>
      </c>
      <c r="ED29" s="496" t="s">
        <v>721</v>
      </c>
      <c r="EE29" s="497">
        <v>547.6</v>
      </c>
      <c r="EF29" s="496" t="s">
        <v>721</v>
      </c>
      <c r="EG29" s="497">
        <v>277.39999999999998</v>
      </c>
      <c r="EH29" s="485">
        <v>24</v>
      </c>
      <c r="EI29" s="486">
        <v>80.8</v>
      </c>
      <c r="EJ29" s="485">
        <v>22</v>
      </c>
      <c r="EK29" s="486">
        <v>358</v>
      </c>
      <c r="EL29" s="485">
        <v>23</v>
      </c>
      <c r="EM29" s="486">
        <v>171.2</v>
      </c>
      <c r="EN29" s="485">
        <v>25</v>
      </c>
      <c r="EO29" s="486">
        <v>126.9</v>
      </c>
      <c r="EP29" s="485">
        <v>24</v>
      </c>
      <c r="EQ29" s="486">
        <v>109.6</v>
      </c>
      <c r="ER29" s="485">
        <v>24</v>
      </c>
      <c r="ES29" s="486">
        <v>50.8</v>
      </c>
      <c r="ET29" s="485">
        <v>0</v>
      </c>
      <c r="EU29" s="485">
        <v>24</v>
      </c>
      <c r="EV29" s="486">
        <v>556.6</v>
      </c>
      <c r="EW29" s="485">
        <v>5</v>
      </c>
      <c r="EX29" s="486">
        <v>31</v>
      </c>
      <c r="EY29" s="485">
        <v>13</v>
      </c>
      <c r="EZ29" s="486">
        <v>300.5</v>
      </c>
      <c r="FA29" s="485">
        <v>4</v>
      </c>
      <c r="FB29" s="486">
        <v>41.2</v>
      </c>
      <c r="FC29" s="485">
        <v>30</v>
      </c>
      <c r="FD29" s="486">
        <v>377.6</v>
      </c>
      <c r="FE29" s="485">
        <v>31</v>
      </c>
      <c r="FF29" s="486">
        <v>270.2</v>
      </c>
      <c r="FG29" s="485">
        <v>10</v>
      </c>
      <c r="FH29" s="486">
        <v>154.30000000000001</v>
      </c>
      <c r="FI29" s="485">
        <v>20</v>
      </c>
      <c r="FJ29" s="486">
        <v>189</v>
      </c>
      <c r="FK29" s="485">
        <v>24</v>
      </c>
      <c r="FL29" s="486">
        <v>69.400000000000006</v>
      </c>
      <c r="FM29" s="485">
        <v>3</v>
      </c>
      <c r="FN29" s="486">
        <v>9.1999999999999993</v>
      </c>
      <c r="FO29" s="485">
        <v>26</v>
      </c>
      <c r="FP29" s="486">
        <v>220.7</v>
      </c>
      <c r="FQ29" s="485">
        <v>28</v>
      </c>
      <c r="FR29" s="486">
        <v>224.3</v>
      </c>
      <c r="FS29" s="485">
        <v>1</v>
      </c>
      <c r="FT29" s="486">
        <v>5.4</v>
      </c>
      <c r="FU29" s="485">
        <v>0</v>
      </c>
      <c r="FV29" s="486">
        <v>0</v>
      </c>
      <c r="FW29" s="485">
        <v>0</v>
      </c>
      <c r="FX29" s="486">
        <v>0</v>
      </c>
      <c r="FY29" s="485">
        <v>4</v>
      </c>
      <c r="FZ29" s="486">
        <v>4</v>
      </c>
      <c r="GA29" s="485">
        <v>0</v>
      </c>
      <c r="GB29" s="485">
        <v>0</v>
      </c>
      <c r="GC29" s="487">
        <v>0</v>
      </c>
      <c r="GD29" s="488">
        <v>0</v>
      </c>
      <c r="GE29" s="488">
        <v>0</v>
      </c>
      <c r="GF29" s="488">
        <v>3</v>
      </c>
      <c r="GG29" s="488">
        <v>0</v>
      </c>
      <c r="GH29" s="488">
        <v>0</v>
      </c>
      <c r="GI29" s="488">
        <v>0</v>
      </c>
      <c r="GJ29" s="488">
        <v>0</v>
      </c>
      <c r="GK29" s="488">
        <v>0</v>
      </c>
      <c r="GL29" s="488">
        <v>3</v>
      </c>
      <c r="GM29" s="488">
        <v>3</v>
      </c>
      <c r="GN29" s="488">
        <v>0</v>
      </c>
      <c r="GO29" s="488">
        <v>2</v>
      </c>
      <c r="GP29" s="488">
        <v>0</v>
      </c>
      <c r="GQ29" s="488">
        <v>0</v>
      </c>
      <c r="GR29" s="488">
        <v>0</v>
      </c>
      <c r="GS29" s="488">
        <v>0</v>
      </c>
      <c r="GT29" s="489">
        <v>23</v>
      </c>
      <c r="GU29" s="488">
        <v>0</v>
      </c>
      <c r="GV29" s="490">
        <v>0</v>
      </c>
      <c r="GW29" s="490">
        <v>0</v>
      </c>
      <c r="GX29" s="490">
        <v>0</v>
      </c>
      <c r="GY29" s="491">
        <v>0</v>
      </c>
      <c r="GZ29" s="491">
        <v>0</v>
      </c>
      <c r="HA29" s="491">
        <v>0</v>
      </c>
      <c r="HB29" s="475">
        <v>0</v>
      </c>
      <c r="HC29" s="475">
        <v>0</v>
      </c>
      <c r="HD29" s="475">
        <v>0</v>
      </c>
      <c r="HE29" s="475">
        <v>0</v>
      </c>
      <c r="HF29" s="475">
        <v>0</v>
      </c>
      <c r="HG29" s="475">
        <v>0</v>
      </c>
      <c r="HH29" s="475">
        <v>0</v>
      </c>
      <c r="HI29" s="475">
        <v>0</v>
      </c>
      <c r="HJ29" s="475">
        <v>0</v>
      </c>
      <c r="HK29" s="475">
        <v>0</v>
      </c>
      <c r="HL29" s="475">
        <v>0</v>
      </c>
      <c r="HM29" s="475">
        <v>0</v>
      </c>
      <c r="HN29" s="475">
        <v>0</v>
      </c>
      <c r="HO29" s="475">
        <v>0</v>
      </c>
      <c r="HP29" s="475">
        <v>0</v>
      </c>
      <c r="HQ29" s="475">
        <v>0</v>
      </c>
      <c r="HR29" s="475">
        <v>1</v>
      </c>
      <c r="HS29" s="475">
        <v>0</v>
      </c>
      <c r="HT29" s="475">
        <v>0</v>
      </c>
      <c r="HU29" s="475">
        <v>0</v>
      </c>
      <c r="HV29" s="475">
        <v>0</v>
      </c>
      <c r="HW29" s="475">
        <v>0</v>
      </c>
      <c r="HX29" s="475">
        <v>0</v>
      </c>
      <c r="HY29" s="475">
        <v>0</v>
      </c>
      <c r="HZ29" s="475" t="s">
        <v>721</v>
      </c>
      <c r="IA29" s="475" t="s">
        <v>721</v>
      </c>
      <c r="IB29" s="475" t="s">
        <v>721</v>
      </c>
      <c r="IC29" s="475" t="s">
        <v>721</v>
      </c>
      <c r="ID29" s="475" t="s">
        <v>721</v>
      </c>
      <c r="IE29" s="475" t="s">
        <v>721</v>
      </c>
      <c r="IF29" s="475" t="s">
        <v>721</v>
      </c>
      <c r="IG29" s="475" t="s">
        <v>721</v>
      </c>
      <c r="IH29" s="475" t="s">
        <v>721</v>
      </c>
      <c r="II29" s="475" t="s">
        <v>721</v>
      </c>
      <c r="IJ29" s="475" t="s">
        <v>721</v>
      </c>
      <c r="IK29" s="475" t="s">
        <v>721</v>
      </c>
      <c r="IL29" s="475" t="s">
        <v>721</v>
      </c>
      <c r="IM29" s="475" t="s">
        <v>721</v>
      </c>
      <c r="IN29" s="475" t="s">
        <v>721</v>
      </c>
      <c r="IO29" s="475" t="s">
        <v>721</v>
      </c>
      <c r="IP29" s="475" t="s">
        <v>721</v>
      </c>
      <c r="IQ29" s="475" t="s">
        <v>721</v>
      </c>
      <c r="IR29" s="475" t="s">
        <v>721</v>
      </c>
      <c r="IS29" s="475" t="s">
        <v>721</v>
      </c>
      <c r="IT29" s="475" t="s">
        <v>721</v>
      </c>
      <c r="IU29" s="475" t="s">
        <v>721</v>
      </c>
      <c r="IV29" s="475" t="s">
        <v>721</v>
      </c>
      <c r="IW29" s="475" t="s">
        <v>721</v>
      </c>
      <c r="IX29" s="475" t="s">
        <v>721</v>
      </c>
      <c r="IY29" s="475" t="s">
        <v>721</v>
      </c>
      <c r="IZ29" s="475" t="s">
        <v>721</v>
      </c>
      <c r="JA29" s="475" t="s">
        <v>721</v>
      </c>
      <c r="JB29" s="475" t="s">
        <v>721</v>
      </c>
      <c r="JC29" s="475" t="s">
        <v>721</v>
      </c>
      <c r="JD29" s="475" t="s">
        <v>721</v>
      </c>
      <c r="JE29" s="475" t="s">
        <v>721</v>
      </c>
      <c r="JF29" s="475" t="s">
        <v>721</v>
      </c>
      <c r="JG29" s="475" t="s">
        <v>721</v>
      </c>
      <c r="JH29" s="475" t="s">
        <v>721</v>
      </c>
      <c r="JI29" s="475" t="s">
        <v>721</v>
      </c>
      <c r="JJ29" s="475" t="s">
        <v>721</v>
      </c>
      <c r="JK29" s="475" t="s">
        <v>721</v>
      </c>
      <c r="JL29" s="755">
        <v>3281.6</v>
      </c>
      <c r="JM29" s="755">
        <v>1496.1</v>
      </c>
      <c r="JN29" s="755" t="s">
        <v>721</v>
      </c>
      <c r="JO29" s="755" t="s">
        <v>721</v>
      </c>
      <c r="JP29" s="755">
        <v>405</v>
      </c>
      <c r="JQ29" s="755" t="s">
        <v>721</v>
      </c>
      <c r="JR29" s="755">
        <v>187.8</v>
      </c>
      <c r="JS29" s="755" t="s">
        <v>721</v>
      </c>
      <c r="JT29" s="755" t="s">
        <v>721</v>
      </c>
      <c r="JU29" s="755" t="s">
        <v>721</v>
      </c>
      <c r="JV29" s="755" t="s">
        <v>721</v>
      </c>
      <c r="JW29" s="755" t="s">
        <v>721</v>
      </c>
      <c r="JX29" s="755" t="s">
        <v>721</v>
      </c>
      <c r="JY29" s="755" t="s">
        <v>721</v>
      </c>
      <c r="JZ29" s="755" t="s">
        <v>721</v>
      </c>
      <c r="KA29" s="755" t="s">
        <v>721</v>
      </c>
      <c r="KB29" s="755" t="s">
        <v>721</v>
      </c>
      <c r="KC29" s="755" t="s">
        <v>721</v>
      </c>
      <c r="KD29" s="755" t="s">
        <v>721</v>
      </c>
      <c r="KE29" s="475" t="s">
        <v>721</v>
      </c>
      <c r="KF29" s="475" t="s">
        <v>721</v>
      </c>
      <c r="KG29" s="475" t="s">
        <v>721</v>
      </c>
      <c r="KH29" s="475" t="s">
        <v>721</v>
      </c>
      <c r="KI29" s="475" t="s">
        <v>721</v>
      </c>
      <c r="KJ29" s="475" t="s">
        <v>721</v>
      </c>
      <c r="KK29" s="475" t="s">
        <v>721</v>
      </c>
      <c r="KL29" s="475" t="s">
        <v>721</v>
      </c>
      <c r="KM29" s="475" t="s">
        <v>721</v>
      </c>
      <c r="KN29" s="475" t="s">
        <v>721</v>
      </c>
      <c r="KO29" s="475" t="s">
        <v>721</v>
      </c>
      <c r="KP29" s="475" t="s">
        <v>721</v>
      </c>
      <c r="KQ29" s="475" t="s">
        <v>721</v>
      </c>
      <c r="KR29" s="475" t="s">
        <v>721</v>
      </c>
      <c r="KS29" s="475" t="s">
        <v>721</v>
      </c>
      <c r="KT29" s="475" t="s">
        <v>721</v>
      </c>
      <c r="KU29" s="475" t="s">
        <v>721</v>
      </c>
      <c r="KV29" s="475" t="s">
        <v>721</v>
      </c>
      <c r="KW29" s="475" t="s">
        <v>721</v>
      </c>
      <c r="KX29" s="475" t="s">
        <v>721</v>
      </c>
      <c r="KY29" s="475" t="s">
        <v>721</v>
      </c>
      <c r="KZ29" s="475" t="s">
        <v>721</v>
      </c>
      <c r="LA29" s="475" t="s">
        <v>721</v>
      </c>
      <c r="LB29" s="475" t="s">
        <v>721</v>
      </c>
      <c r="LC29" s="475" t="s">
        <v>721</v>
      </c>
      <c r="LD29" s="475" t="s">
        <v>721</v>
      </c>
      <c r="LE29" s="475" t="s">
        <v>721</v>
      </c>
      <c r="LF29" s="475" t="s">
        <v>721</v>
      </c>
      <c r="LG29" s="475" t="s">
        <v>721</v>
      </c>
      <c r="LH29" s="475" t="s">
        <v>721</v>
      </c>
      <c r="LI29" s="475" t="s">
        <v>721</v>
      </c>
      <c r="LJ29" s="475" t="s">
        <v>721</v>
      </c>
      <c r="LK29" s="475" t="s">
        <v>721</v>
      </c>
      <c r="LL29" s="475" t="s">
        <v>721</v>
      </c>
      <c r="LM29" s="475" t="s">
        <v>721</v>
      </c>
      <c r="LN29" s="475" t="s">
        <v>721</v>
      </c>
      <c r="LO29" s="475" t="s">
        <v>721</v>
      </c>
      <c r="LP29" s="475" t="s">
        <v>721</v>
      </c>
      <c r="LQ29" s="475">
        <v>14</v>
      </c>
      <c r="LR29" s="475" t="s">
        <v>721</v>
      </c>
      <c r="LS29" s="475" t="s">
        <v>721</v>
      </c>
      <c r="LT29" s="475" t="s">
        <v>721</v>
      </c>
      <c r="LU29" s="475" t="s">
        <v>721</v>
      </c>
      <c r="LV29" s="475" t="s">
        <v>721</v>
      </c>
      <c r="LW29" s="475" t="s">
        <v>721</v>
      </c>
      <c r="LX29" s="475" t="s">
        <v>721</v>
      </c>
      <c r="LY29" s="475" t="s">
        <v>721</v>
      </c>
      <c r="LZ29" s="475" t="s">
        <v>721</v>
      </c>
      <c r="MA29" s="475" t="s">
        <v>721</v>
      </c>
      <c r="MB29" s="475" t="s">
        <v>721</v>
      </c>
      <c r="MC29" s="475" t="s">
        <v>721</v>
      </c>
      <c r="MD29" s="475" t="s">
        <v>721</v>
      </c>
      <c r="ME29" s="475" t="s">
        <v>721</v>
      </c>
      <c r="MF29" s="475" t="s">
        <v>721</v>
      </c>
      <c r="MG29" s="475" t="s">
        <v>721</v>
      </c>
      <c r="MH29" s="475" t="s">
        <v>721</v>
      </c>
      <c r="MI29" s="475" t="s">
        <v>721</v>
      </c>
      <c r="MJ29" s="475" t="s">
        <v>721</v>
      </c>
      <c r="MK29" s="475" t="s">
        <v>721</v>
      </c>
      <c r="ML29" s="475" t="s">
        <v>721</v>
      </c>
      <c r="MM29" s="475" t="s">
        <v>721</v>
      </c>
      <c r="MN29" s="475" t="s">
        <v>721</v>
      </c>
      <c r="MO29" s="475" t="s">
        <v>721</v>
      </c>
      <c r="MP29" s="475" t="s">
        <v>721</v>
      </c>
      <c r="MQ29" s="475" t="s">
        <v>721</v>
      </c>
      <c r="MR29" s="475" t="s">
        <v>721</v>
      </c>
      <c r="MS29" s="475" t="s">
        <v>721</v>
      </c>
      <c r="MT29" s="475" t="s">
        <v>721</v>
      </c>
      <c r="MU29" s="475" t="s">
        <v>721</v>
      </c>
      <c r="MV29" s="475" t="s">
        <v>721</v>
      </c>
      <c r="MW29" s="475" t="s">
        <v>721</v>
      </c>
      <c r="MX29" s="475" t="s">
        <v>721</v>
      </c>
      <c r="MY29" s="475" t="s">
        <v>721</v>
      </c>
      <c r="MZ29" s="475" t="s">
        <v>721</v>
      </c>
      <c r="NA29" s="475" t="s">
        <v>721</v>
      </c>
      <c r="NB29" s="475" t="s">
        <v>721</v>
      </c>
      <c r="NC29" s="476">
        <v>0.56399999999999995</v>
      </c>
      <c r="ND29" s="476">
        <v>0.436</v>
      </c>
      <c r="NE29" s="476">
        <v>0.59</v>
      </c>
      <c r="NF29" s="476">
        <v>0.308</v>
      </c>
      <c r="NG29" s="476" t="s">
        <v>721</v>
      </c>
      <c r="NH29" s="476" t="s">
        <v>721</v>
      </c>
      <c r="NI29" s="476" t="s">
        <v>721</v>
      </c>
      <c r="NJ29" s="476" t="s">
        <v>721</v>
      </c>
      <c r="NK29" s="476" t="s">
        <v>721</v>
      </c>
      <c r="NL29" s="476" t="s">
        <v>721</v>
      </c>
      <c r="NM29" s="476" t="s">
        <v>721</v>
      </c>
      <c r="NN29" s="476" t="s">
        <v>721</v>
      </c>
      <c r="NO29" s="476" t="s">
        <v>721</v>
      </c>
      <c r="NP29" s="476" t="s">
        <v>721</v>
      </c>
      <c r="NQ29" s="476" t="s">
        <v>721</v>
      </c>
      <c r="NR29" s="476" t="s">
        <v>721</v>
      </c>
      <c r="NS29" s="476" t="s">
        <v>721</v>
      </c>
      <c r="NT29" s="476" t="s">
        <v>721</v>
      </c>
      <c r="NU29" s="476" t="s">
        <v>721</v>
      </c>
      <c r="NV29" s="476" t="s">
        <v>721</v>
      </c>
      <c r="NW29" s="476" t="s">
        <v>721</v>
      </c>
      <c r="NX29" s="476" t="s">
        <v>721</v>
      </c>
      <c r="NY29" s="476" t="s">
        <v>721</v>
      </c>
      <c r="NZ29" s="476" t="s">
        <v>721</v>
      </c>
      <c r="OA29" s="476" t="s">
        <v>721</v>
      </c>
      <c r="OB29" s="476" t="s">
        <v>721</v>
      </c>
      <c r="OC29" s="476" t="s">
        <v>721</v>
      </c>
      <c r="OD29" s="476" t="s">
        <v>721</v>
      </c>
      <c r="OE29" s="476">
        <v>0.82099999999999995</v>
      </c>
      <c r="OF29" s="476" t="s">
        <v>721</v>
      </c>
      <c r="OG29" s="476" t="s">
        <v>721</v>
      </c>
      <c r="OH29" s="476" t="s">
        <v>721</v>
      </c>
      <c r="OI29" s="476" t="s">
        <v>721</v>
      </c>
      <c r="OJ29" s="476" t="s">
        <v>721</v>
      </c>
      <c r="OK29" s="476" t="s">
        <v>721</v>
      </c>
      <c r="OL29" s="476" t="s">
        <v>721</v>
      </c>
      <c r="OM29" s="476" t="s">
        <v>721</v>
      </c>
      <c r="ON29" s="476" t="s">
        <v>721</v>
      </c>
      <c r="OO29" s="476" t="s">
        <v>721</v>
      </c>
      <c r="OP29" s="476" t="s">
        <v>721</v>
      </c>
      <c r="OQ29" s="476" t="s">
        <v>721</v>
      </c>
      <c r="OR29" s="476" t="s">
        <v>721</v>
      </c>
      <c r="OS29" s="476" t="s">
        <v>721</v>
      </c>
      <c r="OT29" s="476" t="s">
        <v>721</v>
      </c>
      <c r="OU29" s="476" t="s">
        <v>721</v>
      </c>
      <c r="OV29" s="476" t="s">
        <v>721</v>
      </c>
      <c r="OW29" s="476" t="s">
        <v>721</v>
      </c>
      <c r="OX29" s="476" t="s">
        <v>721</v>
      </c>
      <c r="OY29" s="476" t="s">
        <v>721</v>
      </c>
      <c r="OZ29" s="476" t="s">
        <v>721</v>
      </c>
      <c r="PA29" s="476" t="s">
        <v>721</v>
      </c>
      <c r="PB29" s="476" t="s">
        <v>721</v>
      </c>
      <c r="PC29" s="476" t="s">
        <v>721</v>
      </c>
      <c r="PD29" s="476" t="s">
        <v>721</v>
      </c>
      <c r="PE29" s="476" t="s">
        <v>721</v>
      </c>
      <c r="PF29" s="476" t="s">
        <v>721</v>
      </c>
      <c r="PG29" s="476" t="s">
        <v>721</v>
      </c>
      <c r="PH29" s="476" t="s">
        <v>721</v>
      </c>
      <c r="PI29" s="476" t="s">
        <v>721</v>
      </c>
      <c r="PJ29" s="476" t="s">
        <v>721</v>
      </c>
      <c r="PK29" s="476" t="s">
        <v>721</v>
      </c>
      <c r="PL29" s="476">
        <v>0.8</v>
      </c>
      <c r="PM29" s="476" t="s">
        <v>721</v>
      </c>
      <c r="PN29" s="476" t="s">
        <v>721</v>
      </c>
      <c r="PO29" s="476" t="s">
        <v>721</v>
      </c>
      <c r="PP29" s="476" t="s">
        <v>721</v>
      </c>
      <c r="PQ29" s="476" t="s">
        <v>721</v>
      </c>
      <c r="PR29" s="476" t="s">
        <v>721</v>
      </c>
      <c r="PS29" s="476" t="s">
        <v>721</v>
      </c>
      <c r="PT29" s="476" t="s">
        <v>721</v>
      </c>
      <c r="PU29" s="476" t="s">
        <v>721</v>
      </c>
      <c r="PV29" s="476" t="s">
        <v>721</v>
      </c>
      <c r="PW29" s="476" t="s">
        <v>721</v>
      </c>
      <c r="PX29" s="476" t="s">
        <v>721</v>
      </c>
      <c r="PY29" s="476" t="s">
        <v>721</v>
      </c>
      <c r="PZ29" s="476" t="s">
        <v>721</v>
      </c>
      <c r="QA29" s="476" t="s">
        <v>721</v>
      </c>
      <c r="QB29" s="476" t="s">
        <v>721</v>
      </c>
      <c r="QC29" s="476" t="s">
        <v>721</v>
      </c>
      <c r="QD29" s="476" t="s">
        <v>721</v>
      </c>
      <c r="QE29" s="476" t="s">
        <v>721</v>
      </c>
      <c r="QF29" s="476" t="s">
        <v>721</v>
      </c>
      <c r="QG29" s="476" t="s">
        <v>721</v>
      </c>
      <c r="QH29" s="476" t="s">
        <v>721</v>
      </c>
      <c r="QI29" s="476" t="s">
        <v>721</v>
      </c>
      <c r="QJ29" s="476" t="s">
        <v>721</v>
      </c>
      <c r="QK29" s="476" t="s">
        <v>721</v>
      </c>
      <c r="QL29" s="476" t="s">
        <v>721</v>
      </c>
      <c r="QM29" s="476" t="s">
        <v>721</v>
      </c>
      <c r="QN29" s="476" t="s">
        <v>721</v>
      </c>
      <c r="QO29" s="476" t="s">
        <v>721</v>
      </c>
      <c r="QP29" s="476" t="s">
        <v>721</v>
      </c>
      <c r="QQ29" s="476" t="s">
        <v>721</v>
      </c>
      <c r="QR29" s="476" t="s">
        <v>721</v>
      </c>
      <c r="QS29" s="476" t="s">
        <v>721</v>
      </c>
      <c r="QT29" s="476" t="s">
        <v>721</v>
      </c>
      <c r="QU29" s="476" t="s">
        <v>721</v>
      </c>
      <c r="QV29" s="476" t="s">
        <v>721</v>
      </c>
      <c r="QW29" s="476" t="s">
        <v>721</v>
      </c>
      <c r="QX29" s="476" t="s">
        <v>721</v>
      </c>
      <c r="QY29" s="476" t="s">
        <v>721</v>
      </c>
      <c r="QZ29" s="476" t="s">
        <v>721</v>
      </c>
      <c r="RA29" s="476" t="s">
        <v>721</v>
      </c>
      <c r="RB29" s="476" t="s">
        <v>721</v>
      </c>
      <c r="RC29" s="476" t="s">
        <v>721</v>
      </c>
      <c r="RD29" s="476" t="s">
        <v>721</v>
      </c>
      <c r="RE29" s="476" t="s">
        <v>721</v>
      </c>
      <c r="RF29" s="476" t="s">
        <v>721</v>
      </c>
      <c r="RG29" s="476" t="s">
        <v>721</v>
      </c>
      <c r="RH29" s="476" t="s">
        <v>721</v>
      </c>
      <c r="RI29" s="476" t="s">
        <v>721</v>
      </c>
      <c r="RJ29" s="476" t="s">
        <v>721</v>
      </c>
      <c r="RK29" s="476" t="s">
        <v>721</v>
      </c>
      <c r="RL29" s="476" t="s">
        <v>721</v>
      </c>
      <c r="RM29" s="476" t="s">
        <v>721</v>
      </c>
      <c r="RN29" s="476" t="s">
        <v>721</v>
      </c>
      <c r="RO29" s="476" t="s">
        <v>721</v>
      </c>
      <c r="RP29" s="476" t="s">
        <v>721</v>
      </c>
      <c r="RQ29" s="476" t="s">
        <v>721</v>
      </c>
      <c r="RR29" s="476" t="s">
        <v>721</v>
      </c>
      <c r="RS29" s="476" t="s">
        <v>721</v>
      </c>
      <c r="RT29" s="476" t="s">
        <v>721</v>
      </c>
      <c r="RU29" s="476" t="s">
        <v>721</v>
      </c>
      <c r="RV29" s="476" t="s">
        <v>721</v>
      </c>
      <c r="RW29" s="476" t="s">
        <v>721</v>
      </c>
      <c r="RX29" s="476">
        <v>0.61099999999999999</v>
      </c>
      <c r="RY29" s="476">
        <v>0.27900000000000003</v>
      </c>
      <c r="RZ29" s="476" t="s">
        <v>721</v>
      </c>
      <c r="SA29" s="476" t="s">
        <v>721</v>
      </c>
      <c r="SB29" s="476">
        <v>7.4999999999999997E-2</v>
      </c>
      <c r="SC29" s="476" t="s">
        <v>721</v>
      </c>
      <c r="SD29" s="476">
        <v>3.5000000000000003E-2</v>
      </c>
      <c r="SE29" s="476" t="s">
        <v>721</v>
      </c>
      <c r="SF29" s="476" t="s">
        <v>721</v>
      </c>
      <c r="SG29" s="476" t="s">
        <v>721</v>
      </c>
      <c r="SH29" s="476" t="s">
        <v>721</v>
      </c>
      <c r="SI29" s="476" t="s">
        <v>721</v>
      </c>
      <c r="SJ29" s="476" t="s">
        <v>721</v>
      </c>
      <c r="SK29" s="476" t="s">
        <v>721</v>
      </c>
      <c r="SL29" s="476" t="s">
        <v>721</v>
      </c>
      <c r="SM29" s="476" t="s">
        <v>721</v>
      </c>
      <c r="SN29" s="476" t="s">
        <v>721</v>
      </c>
      <c r="SO29" s="476" t="s">
        <v>721</v>
      </c>
      <c r="SP29" s="476" t="s">
        <v>721</v>
      </c>
      <c r="SQ29" s="476" t="s">
        <v>721</v>
      </c>
      <c r="SR29" s="476" t="s">
        <v>721</v>
      </c>
      <c r="SS29" s="476" t="s">
        <v>721</v>
      </c>
      <c r="ST29" s="476" t="s">
        <v>721</v>
      </c>
      <c r="SU29" s="476" t="s">
        <v>721</v>
      </c>
      <c r="SV29" s="476" t="s">
        <v>721</v>
      </c>
      <c r="SW29" s="476" t="s">
        <v>721</v>
      </c>
      <c r="SX29" s="476" t="s">
        <v>721</v>
      </c>
      <c r="SY29" s="476" t="s">
        <v>721</v>
      </c>
      <c r="SZ29" s="476" t="s">
        <v>721</v>
      </c>
      <c r="TA29" s="476" t="s">
        <v>721</v>
      </c>
      <c r="TB29" s="476" t="s">
        <v>721</v>
      </c>
      <c r="TC29" s="476" t="s">
        <v>721</v>
      </c>
      <c r="TD29" s="476" t="s">
        <v>721</v>
      </c>
      <c r="TE29" s="476" t="s">
        <v>721</v>
      </c>
      <c r="TF29" s="476" t="s">
        <v>721</v>
      </c>
      <c r="TG29" s="476" t="s">
        <v>721</v>
      </c>
      <c r="TH29" s="476" t="s">
        <v>721</v>
      </c>
      <c r="TI29" s="476" t="s">
        <v>721</v>
      </c>
      <c r="TJ29" s="476" t="s">
        <v>721</v>
      </c>
      <c r="TK29" s="476" t="s">
        <v>721</v>
      </c>
      <c r="TL29" s="476" t="s">
        <v>721</v>
      </c>
      <c r="TM29" s="476" t="s">
        <v>721</v>
      </c>
      <c r="TN29" s="476" t="s">
        <v>721</v>
      </c>
      <c r="TO29" s="476" t="s">
        <v>721</v>
      </c>
      <c r="TP29" s="476" t="s">
        <v>721</v>
      </c>
      <c r="TQ29" s="476" t="s">
        <v>721</v>
      </c>
      <c r="TR29" s="476" t="s">
        <v>721</v>
      </c>
      <c r="TS29" s="476" t="s">
        <v>721</v>
      </c>
      <c r="TT29" s="476" t="s">
        <v>721</v>
      </c>
      <c r="TU29" s="476" t="s">
        <v>721</v>
      </c>
      <c r="TV29" s="476" t="s">
        <v>721</v>
      </c>
      <c r="TW29" s="476" t="s">
        <v>721</v>
      </c>
      <c r="TX29" s="476" t="s">
        <v>721</v>
      </c>
      <c r="TY29" s="476" t="s">
        <v>721</v>
      </c>
      <c r="TZ29" s="476" t="s">
        <v>721</v>
      </c>
      <c r="UA29" s="476" t="s">
        <v>721</v>
      </c>
      <c r="UB29" s="476" t="s">
        <v>721</v>
      </c>
      <c r="UC29" s="476">
        <v>0.60899999999999999</v>
      </c>
      <c r="UD29" s="476" t="s">
        <v>721</v>
      </c>
      <c r="UE29" s="476" t="s">
        <v>721</v>
      </c>
      <c r="UF29" s="476" t="s">
        <v>721</v>
      </c>
      <c r="UG29" s="476" t="s">
        <v>721</v>
      </c>
      <c r="UH29" s="476" t="s">
        <v>721</v>
      </c>
      <c r="UI29" s="476" t="s">
        <v>721</v>
      </c>
      <c r="UJ29" s="476" t="s">
        <v>721</v>
      </c>
      <c r="UK29" s="476" t="s">
        <v>721</v>
      </c>
      <c r="UL29" s="476" t="s">
        <v>721</v>
      </c>
      <c r="UM29" s="476" t="s">
        <v>721</v>
      </c>
      <c r="UN29" s="476" t="s">
        <v>721</v>
      </c>
      <c r="UO29" s="476" t="s">
        <v>721</v>
      </c>
      <c r="UP29" s="476" t="s">
        <v>721</v>
      </c>
      <c r="UQ29" s="476" t="s">
        <v>721</v>
      </c>
      <c r="UR29" s="476" t="s">
        <v>721</v>
      </c>
      <c r="US29" s="476" t="s">
        <v>721</v>
      </c>
      <c r="UT29" s="476" t="s">
        <v>721</v>
      </c>
      <c r="UU29" s="476" t="s">
        <v>721</v>
      </c>
      <c r="UV29" s="476" t="s">
        <v>721</v>
      </c>
      <c r="UW29" s="476" t="s">
        <v>721</v>
      </c>
      <c r="UX29" s="476" t="s">
        <v>721</v>
      </c>
      <c r="UY29" s="476" t="s">
        <v>721</v>
      </c>
      <c r="UZ29" s="476" t="s">
        <v>721</v>
      </c>
      <c r="VA29" s="476" t="s">
        <v>721</v>
      </c>
      <c r="VB29" s="476" t="s">
        <v>721</v>
      </c>
      <c r="VC29" s="476" t="s">
        <v>721</v>
      </c>
      <c r="VD29" s="476" t="s">
        <v>721</v>
      </c>
      <c r="VE29" s="476" t="s">
        <v>721</v>
      </c>
      <c r="VF29" s="476" t="s">
        <v>721</v>
      </c>
      <c r="VG29" s="476" t="s">
        <v>721</v>
      </c>
      <c r="VH29" s="476" t="s">
        <v>721</v>
      </c>
      <c r="VI29" s="476" t="s">
        <v>721</v>
      </c>
      <c r="VJ29" s="476" t="s">
        <v>721</v>
      </c>
      <c r="VK29" s="476" t="s">
        <v>721</v>
      </c>
      <c r="VL29" s="476" t="s">
        <v>721</v>
      </c>
      <c r="VM29" s="476" t="s">
        <v>721</v>
      </c>
      <c r="VN29" s="476" t="s">
        <v>721</v>
      </c>
      <c r="VO29" s="28"/>
      <c r="VP29" s="28"/>
      <c r="VQ29" s="28"/>
      <c r="VR29" s="28"/>
      <c r="VS29" s="28"/>
      <c r="VT29" s="28"/>
      <c r="VU29" s="28"/>
      <c r="VV29" s="28"/>
      <c r="VW29" s="28"/>
      <c r="VX29" s="28"/>
      <c r="VY29" s="28"/>
      <c r="VZ29" s="28"/>
      <c r="WA29" s="28"/>
      <c r="WB29" s="28"/>
      <c r="WC29" s="28"/>
      <c r="WD29" s="28"/>
      <c r="WE29" s="28"/>
      <c r="WF29" s="28"/>
      <c r="WG29" s="28"/>
      <c r="WH29" s="28"/>
      <c r="WI29" s="28"/>
      <c r="WJ29" s="28"/>
      <c r="WK29" s="28"/>
      <c r="WL29" s="28"/>
      <c r="WM29" s="28"/>
      <c r="WN29" s="28"/>
      <c r="WO29" s="28"/>
      <c r="WP29" s="28"/>
      <c r="WQ29" s="28"/>
      <c r="WR29" s="28"/>
      <c r="WS29" s="28"/>
      <c r="WT29" s="28"/>
      <c r="WU29" s="28"/>
      <c r="WV29" s="28"/>
      <c r="WW29" s="28"/>
    </row>
    <row r="30" spans="1:621" s="151" customFormat="1" ht="15.75" customHeight="1" x14ac:dyDescent="0.35">
      <c r="A30" s="477" t="s">
        <v>40</v>
      </c>
      <c r="B30" s="492" t="s">
        <v>17</v>
      </c>
      <c r="C30" s="493">
        <v>17.89</v>
      </c>
      <c r="D30" s="494">
        <v>6335</v>
      </c>
      <c r="E30" s="473">
        <v>684622.9</v>
      </c>
      <c r="F30" s="473">
        <v>108.1</v>
      </c>
      <c r="G30" s="474">
        <v>6255</v>
      </c>
      <c r="H30" s="474">
        <v>5745</v>
      </c>
      <c r="I30" s="474">
        <v>4448</v>
      </c>
      <c r="J30" s="474">
        <v>3503</v>
      </c>
      <c r="K30" s="474">
        <v>2279</v>
      </c>
      <c r="L30" s="473">
        <v>363386.4</v>
      </c>
      <c r="M30" s="474">
        <v>4005</v>
      </c>
      <c r="N30" s="473">
        <v>321236.5</v>
      </c>
      <c r="O30" s="494">
        <v>499</v>
      </c>
      <c r="P30" s="495">
        <v>87711.1</v>
      </c>
      <c r="Q30" s="494">
        <v>1309</v>
      </c>
      <c r="R30" s="495">
        <v>30849.599999999999</v>
      </c>
      <c r="S30" s="494">
        <v>1953</v>
      </c>
      <c r="T30" s="495">
        <v>195396.5</v>
      </c>
      <c r="U30" s="494">
        <v>70</v>
      </c>
      <c r="V30" s="495">
        <v>8239.9</v>
      </c>
      <c r="W30" s="494">
        <v>4312</v>
      </c>
      <c r="X30" s="495">
        <v>480986.5</v>
      </c>
      <c r="Y30" s="494">
        <v>5758</v>
      </c>
      <c r="Z30" s="494">
        <v>3522</v>
      </c>
      <c r="AA30" s="494">
        <v>4457</v>
      </c>
      <c r="AB30" s="494">
        <v>3192</v>
      </c>
      <c r="AC30" s="494">
        <v>376</v>
      </c>
      <c r="AD30" s="494">
        <v>1448</v>
      </c>
      <c r="AE30" s="494">
        <v>2719</v>
      </c>
      <c r="AF30" s="495">
        <v>184525.5</v>
      </c>
      <c r="AG30" s="494">
        <v>3090</v>
      </c>
      <c r="AH30" s="495">
        <v>466019.1</v>
      </c>
      <c r="AI30" s="494">
        <v>259</v>
      </c>
      <c r="AJ30" s="495">
        <v>10981.3</v>
      </c>
      <c r="AK30" s="494">
        <v>216</v>
      </c>
      <c r="AL30" s="495">
        <v>23097</v>
      </c>
      <c r="AM30" s="496">
        <v>3560</v>
      </c>
      <c r="AN30" s="496">
        <v>2775</v>
      </c>
      <c r="AO30" s="496">
        <v>992</v>
      </c>
      <c r="AP30" s="496">
        <v>3970</v>
      </c>
      <c r="AQ30" s="496">
        <v>227</v>
      </c>
      <c r="AR30" s="496">
        <v>74</v>
      </c>
      <c r="AS30" s="496">
        <v>25</v>
      </c>
      <c r="AT30" s="496">
        <v>235</v>
      </c>
      <c r="AU30" s="496">
        <v>510</v>
      </c>
      <c r="AV30" s="496" t="s">
        <v>721</v>
      </c>
      <c r="AW30" s="496">
        <v>32</v>
      </c>
      <c r="AX30" s="496" t="s">
        <v>721</v>
      </c>
      <c r="AY30" s="496" t="s">
        <v>721</v>
      </c>
      <c r="AZ30" s="496">
        <v>40</v>
      </c>
      <c r="BA30" s="496" t="s">
        <v>721</v>
      </c>
      <c r="BB30" s="496">
        <v>21</v>
      </c>
      <c r="BC30" s="496" t="s">
        <v>721</v>
      </c>
      <c r="BD30" s="496" t="s">
        <v>721</v>
      </c>
      <c r="BE30" s="496" t="s">
        <v>721</v>
      </c>
      <c r="BF30" s="496">
        <v>61</v>
      </c>
      <c r="BG30" s="496">
        <v>122</v>
      </c>
      <c r="BH30" s="496" t="s">
        <v>721</v>
      </c>
      <c r="BI30" s="496">
        <v>2755</v>
      </c>
      <c r="BJ30" s="496" t="s">
        <v>721</v>
      </c>
      <c r="BK30" s="496" t="s">
        <v>721</v>
      </c>
      <c r="BL30" s="496">
        <v>23</v>
      </c>
      <c r="BM30" s="496">
        <v>59</v>
      </c>
      <c r="BN30" s="496">
        <v>37</v>
      </c>
      <c r="BO30" s="496">
        <v>3286</v>
      </c>
      <c r="BP30" s="496" t="s">
        <v>721</v>
      </c>
      <c r="BQ30" s="496" t="s">
        <v>721</v>
      </c>
      <c r="BR30" s="496" t="s">
        <v>721</v>
      </c>
      <c r="BS30" s="496" t="s">
        <v>721</v>
      </c>
      <c r="BT30" s="496" t="s">
        <v>721</v>
      </c>
      <c r="BU30" s="496" t="s">
        <v>721</v>
      </c>
      <c r="BV30" s="496">
        <v>13</v>
      </c>
      <c r="BW30" s="496" t="s">
        <v>721</v>
      </c>
      <c r="BX30" s="496" t="s">
        <v>721</v>
      </c>
      <c r="BY30" s="496" t="s">
        <v>721</v>
      </c>
      <c r="BZ30" s="496" t="s">
        <v>721</v>
      </c>
      <c r="CA30" s="496" t="s">
        <v>721</v>
      </c>
      <c r="CB30" s="496" t="s">
        <v>721</v>
      </c>
      <c r="CC30" s="496" t="s">
        <v>721</v>
      </c>
      <c r="CD30" s="496">
        <v>11</v>
      </c>
      <c r="CE30" s="496" t="s">
        <v>721</v>
      </c>
      <c r="CF30" s="496" t="s">
        <v>721</v>
      </c>
      <c r="CG30" s="496">
        <v>35</v>
      </c>
      <c r="CH30" s="496" t="s">
        <v>721</v>
      </c>
      <c r="CI30" s="496" t="s">
        <v>721</v>
      </c>
      <c r="CJ30" s="496">
        <v>16</v>
      </c>
      <c r="CK30" s="496">
        <v>60</v>
      </c>
      <c r="CL30" s="496" t="s">
        <v>721</v>
      </c>
      <c r="CM30" s="496" t="s">
        <v>721</v>
      </c>
      <c r="CN30" s="496" t="s">
        <v>721</v>
      </c>
      <c r="CO30" s="496" t="s">
        <v>721</v>
      </c>
      <c r="CP30" s="496">
        <v>1740</v>
      </c>
      <c r="CQ30" s="496" t="s">
        <v>721</v>
      </c>
      <c r="CR30" s="496" t="s">
        <v>721</v>
      </c>
      <c r="CS30" s="496">
        <v>12</v>
      </c>
      <c r="CT30" s="496">
        <v>27</v>
      </c>
      <c r="CU30" s="496">
        <v>15</v>
      </c>
      <c r="CV30" s="496">
        <v>3882</v>
      </c>
      <c r="CW30" s="496">
        <v>16</v>
      </c>
      <c r="CX30" s="496" t="s">
        <v>721</v>
      </c>
      <c r="CY30" s="496" t="s">
        <v>721</v>
      </c>
      <c r="CZ30" s="496" t="s">
        <v>721</v>
      </c>
      <c r="DA30" s="496" t="s">
        <v>721</v>
      </c>
      <c r="DB30" s="496" t="s">
        <v>721</v>
      </c>
      <c r="DC30" s="496" t="s">
        <v>721</v>
      </c>
      <c r="DD30" s="496" t="s">
        <v>721</v>
      </c>
      <c r="DE30" s="496" t="s">
        <v>721</v>
      </c>
      <c r="DF30" s="496" t="s">
        <v>721</v>
      </c>
      <c r="DG30" s="496" t="s">
        <v>721</v>
      </c>
      <c r="DH30" s="496" t="s">
        <v>721</v>
      </c>
      <c r="DI30" s="496" t="s">
        <v>721</v>
      </c>
      <c r="DJ30" s="496" t="s">
        <v>721</v>
      </c>
      <c r="DK30" s="496" t="s">
        <v>721</v>
      </c>
      <c r="DL30" s="496" t="s">
        <v>721</v>
      </c>
      <c r="DM30" s="496" t="s">
        <v>721</v>
      </c>
      <c r="DN30" s="496">
        <v>14</v>
      </c>
      <c r="DO30" s="496" t="s">
        <v>721</v>
      </c>
      <c r="DP30" s="496" t="s">
        <v>721</v>
      </c>
      <c r="DQ30" s="496" t="s">
        <v>721</v>
      </c>
      <c r="DR30" s="496">
        <v>21</v>
      </c>
      <c r="DS30" s="483" t="s">
        <v>721</v>
      </c>
      <c r="DT30" s="483" t="s">
        <v>721</v>
      </c>
      <c r="DU30" s="483" t="s">
        <v>721</v>
      </c>
      <c r="DV30" s="496">
        <v>677</v>
      </c>
      <c r="DW30" s="497">
        <v>89283.7</v>
      </c>
      <c r="DX30" s="496">
        <v>1171</v>
      </c>
      <c r="DY30" s="497">
        <v>152184</v>
      </c>
      <c r="DZ30" s="496">
        <v>1402</v>
      </c>
      <c r="EA30" s="497">
        <v>135051.70000000001</v>
      </c>
      <c r="EB30" s="496">
        <v>1167</v>
      </c>
      <c r="EC30" s="497">
        <v>107997.6</v>
      </c>
      <c r="ED30" s="496">
        <v>1120</v>
      </c>
      <c r="EE30" s="497">
        <v>105691.2</v>
      </c>
      <c r="EF30" s="496">
        <v>798</v>
      </c>
      <c r="EG30" s="497">
        <v>94414.7</v>
      </c>
      <c r="EH30" s="485">
        <v>5034</v>
      </c>
      <c r="EI30" s="486">
        <v>20297.3</v>
      </c>
      <c r="EJ30" s="485">
        <v>5022</v>
      </c>
      <c r="EK30" s="486">
        <v>110918.7</v>
      </c>
      <c r="EL30" s="485">
        <v>4929</v>
      </c>
      <c r="EM30" s="486">
        <v>40437.9</v>
      </c>
      <c r="EN30" s="485">
        <v>5205</v>
      </c>
      <c r="EO30" s="486">
        <v>26693</v>
      </c>
      <c r="EP30" s="485">
        <v>4954</v>
      </c>
      <c r="EQ30" s="486">
        <v>13792.4</v>
      </c>
      <c r="ER30" s="485">
        <v>4974</v>
      </c>
      <c r="ES30" s="486">
        <v>10603.8</v>
      </c>
      <c r="ET30" s="485">
        <v>18</v>
      </c>
      <c r="EU30" s="485">
        <v>4157</v>
      </c>
      <c r="EV30" s="486">
        <v>67600.2</v>
      </c>
      <c r="EW30" s="485">
        <v>631</v>
      </c>
      <c r="EX30" s="486">
        <v>3136.1</v>
      </c>
      <c r="EY30" s="485">
        <v>2737</v>
      </c>
      <c r="EZ30" s="486">
        <v>30227.9</v>
      </c>
      <c r="FA30" s="485">
        <v>595</v>
      </c>
      <c r="FB30" s="486">
        <v>6206.6</v>
      </c>
      <c r="FC30" s="485">
        <v>5231</v>
      </c>
      <c r="FD30" s="486">
        <v>65114.8</v>
      </c>
      <c r="FE30" s="485">
        <v>5325</v>
      </c>
      <c r="FF30" s="486">
        <v>44076.3</v>
      </c>
      <c r="FG30" s="485">
        <v>3496</v>
      </c>
      <c r="FH30" s="486">
        <v>34705</v>
      </c>
      <c r="FI30" s="485">
        <v>3977</v>
      </c>
      <c r="FJ30" s="486">
        <v>22896.7</v>
      </c>
      <c r="FK30" s="485">
        <v>4361</v>
      </c>
      <c r="FL30" s="486">
        <v>14785.1</v>
      </c>
      <c r="FM30" s="485">
        <v>299</v>
      </c>
      <c r="FN30" s="486">
        <v>738.6</v>
      </c>
      <c r="FO30" s="485">
        <v>5341</v>
      </c>
      <c r="FP30" s="486">
        <v>36523.1</v>
      </c>
      <c r="FQ30" s="485">
        <v>4919</v>
      </c>
      <c r="FR30" s="486">
        <v>17055.7</v>
      </c>
      <c r="FS30" s="485">
        <v>48</v>
      </c>
      <c r="FT30" s="486">
        <v>357.4</v>
      </c>
      <c r="FU30" s="485">
        <v>0</v>
      </c>
      <c r="FV30" s="486">
        <v>0</v>
      </c>
      <c r="FW30" s="485">
        <v>0</v>
      </c>
      <c r="FX30" s="486">
        <v>0</v>
      </c>
      <c r="FY30" s="485">
        <v>0</v>
      </c>
      <c r="FZ30" s="486">
        <v>0</v>
      </c>
      <c r="GA30" s="485">
        <v>0</v>
      </c>
      <c r="GB30" s="485">
        <v>0</v>
      </c>
      <c r="GC30" s="487">
        <v>0</v>
      </c>
      <c r="GD30" s="488">
        <v>21</v>
      </c>
      <c r="GE30" s="488">
        <v>494</v>
      </c>
      <c r="GF30" s="488">
        <v>2993</v>
      </c>
      <c r="GG30" s="488">
        <v>9</v>
      </c>
      <c r="GH30" s="488">
        <v>3</v>
      </c>
      <c r="GI30" s="488">
        <v>1</v>
      </c>
      <c r="GJ30" s="488">
        <v>1</v>
      </c>
      <c r="GK30" s="488">
        <v>1767</v>
      </c>
      <c r="GL30" s="488">
        <v>1727</v>
      </c>
      <c r="GM30" s="488">
        <v>3508</v>
      </c>
      <c r="GN30" s="488">
        <v>875</v>
      </c>
      <c r="GO30" s="488">
        <v>172</v>
      </c>
      <c r="GP30" s="488">
        <v>4</v>
      </c>
      <c r="GQ30" s="488">
        <v>54</v>
      </c>
      <c r="GR30" s="488">
        <v>0</v>
      </c>
      <c r="GS30" s="488">
        <v>58</v>
      </c>
      <c r="GT30" s="489">
        <v>3919</v>
      </c>
      <c r="GU30" s="488">
        <v>4</v>
      </c>
      <c r="GV30" s="490">
        <v>0</v>
      </c>
      <c r="GW30" s="490">
        <v>4</v>
      </c>
      <c r="GX30" s="490">
        <v>8</v>
      </c>
      <c r="GY30" s="491">
        <v>8</v>
      </c>
      <c r="GZ30" s="491">
        <v>1</v>
      </c>
      <c r="HA30" s="491">
        <v>9</v>
      </c>
      <c r="HB30" s="475">
        <v>0</v>
      </c>
      <c r="HC30" s="475">
        <v>2</v>
      </c>
      <c r="HD30" s="475">
        <v>0</v>
      </c>
      <c r="HE30" s="475">
        <v>1</v>
      </c>
      <c r="HF30" s="475">
        <v>1</v>
      </c>
      <c r="HG30" s="475">
        <v>0</v>
      </c>
      <c r="HH30" s="475">
        <v>7</v>
      </c>
      <c r="HI30" s="475">
        <v>0</v>
      </c>
      <c r="HJ30" s="475">
        <v>0</v>
      </c>
      <c r="HK30" s="475">
        <v>0</v>
      </c>
      <c r="HL30" s="475">
        <v>2</v>
      </c>
      <c r="HM30" s="475">
        <v>0</v>
      </c>
      <c r="HN30" s="475">
        <v>1</v>
      </c>
      <c r="HO30" s="475">
        <v>0</v>
      </c>
      <c r="HP30" s="475">
        <v>1</v>
      </c>
      <c r="HQ30" s="475">
        <v>1</v>
      </c>
      <c r="HR30" s="475">
        <v>27</v>
      </c>
      <c r="HS30" s="475">
        <v>0</v>
      </c>
      <c r="HT30" s="475">
        <v>0</v>
      </c>
      <c r="HU30" s="475">
        <v>0</v>
      </c>
      <c r="HV30" s="475">
        <v>0</v>
      </c>
      <c r="HW30" s="475">
        <v>0</v>
      </c>
      <c r="HX30" s="475">
        <v>0</v>
      </c>
      <c r="HY30" s="475">
        <v>0</v>
      </c>
      <c r="HZ30" s="475">
        <v>33</v>
      </c>
      <c r="IA30" s="475">
        <v>94</v>
      </c>
      <c r="IB30" s="475" t="s">
        <v>721</v>
      </c>
      <c r="IC30" s="475" t="s">
        <v>721</v>
      </c>
      <c r="ID30" s="475" t="s">
        <v>721</v>
      </c>
      <c r="IE30" s="475" t="s">
        <v>721</v>
      </c>
      <c r="IF30" s="475">
        <v>29</v>
      </c>
      <c r="IG30" s="475" t="s">
        <v>721</v>
      </c>
      <c r="IH30" s="475" t="s">
        <v>721</v>
      </c>
      <c r="II30" s="475" t="s">
        <v>721</v>
      </c>
      <c r="IJ30" s="475" t="s">
        <v>721</v>
      </c>
      <c r="IK30" s="475" t="s">
        <v>721</v>
      </c>
      <c r="IL30" s="475" t="s">
        <v>721</v>
      </c>
      <c r="IM30" s="475" t="s">
        <v>721</v>
      </c>
      <c r="IN30" s="475" t="s">
        <v>721</v>
      </c>
      <c r="IO30" s="475" t="s">
        <v>721</v>
      </c>
      <c r="IP30" s="475" t="s">
        <v>721</v>
      </c>
      <c r="IQ30" s="475" t="s">
        <v>721</v>
      </c>
      <c r="IR30" s="475" t="s">
        <v>721</v>
      </c>
      <c r="IS30" s="475">
        <v>11</v>
      </c>
      <c r="IT30" s="475">
        <v>33</v>
      </c>
      <c r="IU30" s="475" t="s">
        <v>721</v>
      </c>
      <c r="IV30" s="475" t="s">
        <v>721</v>
      </c>
      <c r="IW30" s="475" t="s">
        <v>721</v>
      </c>
      <c r="IX30" s="475" t="s">
        <v>721</v>
      </c>
      <c r="IY30" s="475" t="s">
        <v>721</v>
      </c>
      <c r="IZ30" s="475" t="s">
        <v>721</v>
      </c>
      <c r="JA30" s="475" t="s">
        <v>721</v>
      </c>
      <c r="JB30" s="475" t="s">
        <v>721</v>
      </c>
      <c r="JC30" s="475" t="s">
        <v>721</v>
      </c>
      <c r="JD30" s="475" t="s">
        <v>721</v>
      </c>
      <c r="JE30" s="475" t="s">
        <v>721</v>
      </c>
      <c r="JF30" s="475" t="s">
        <v>721</v>
      </c>
      <c r="JG30" s="475" t="s">
        <v>721</v>
      </c>
      <c r="JH30" s="475" t="s">
        <v>721</v>
      </c>
      <c r="JI30" s="475" t="s">
        <v>721</v>
      </c>
      <c r="JJ30" s="475" t="s">
        <v>721</v>
      </c>
      <c r="JK30" s="475" t="s">
        <v>721</v>
      </c>
      <c r="JL30" s="755">
        <v>107185.2</v>
      </c>
      <c r="JM30" s="755">
        <v>425910</v>
      </c>
      <c r="JN30" s="755">
        <v>24592.799999999999</v>
      </c>
      <c r="JO30" s="755">
        <v>9955</v>
      </c>
      <c r="JP30" s="755">
        <v>2146.6</v>
      </c>
      <c r="JQ30" s="755">
        <v>25424.3</v>
      </c>
      <c r="JR30" s="755">
        <v>54808.7</v>
      </c>
      <c r="JS30" s="755" t="s">
        <v>721</v>
      </c>
      <c r="JT30" s="755">
        <v>3789.5</v>
      </c>
      <c r="JU30" s="755">
        <v>248</v>
      </c>
      <c r="JV30" s="755">
        <v>975.7</v>
      </c>
      <c r="JW30" s="755">
        <v>4721.5</v>
      </c>
      <c r="JX30" s="755">
        <v>908.1</v>
      </c>
      <c r="JY30" s="755">
        <v>3120.8</v>
      </c>
      <c r="JZ30" s="755">
        <v>224.9</v>
      </c>
      <c r="KA30" s="755">
        <v>33.9</v>
      </c>
      <c r="KB30" s="755" t="s">
        <v>721</v>
      </c>
      <c r="KC30" s="755">
        <v>6728.6</v>
      </c>
      <c r="KD30" s="755">
        <v>13849.3</v>
      </c>
      <c r="KE30" s="475">
        <v>77</v>
      </c>
      <c r="KF30" s="475">
        <v>291</v>
      </c>
      <c r="KG30" s="475">
        <v>14</v>
      </c>
      <c r="KH30" s="475">
        <v>13</v>
      </c>
      <c r="KI30" s="475" t="s">
        <v>721</v>
      </c>
      <c r="KJ30" s="475">
        <v>11</v>
      </c>
      <c r="KK30" s="475">
        <v>62</v>
      </c>
      <c r="KL30" s="475" t="s">
        <v>721</v>
      </c>
      <c r="KM30" s="475" t="s">
        <v>721</v>
      </c>
      <c r="KN30" s="475" t="s">
        <v>721</v>
      </c>
      <c r="KO30" s="475" t="s">
        <v>721</v>
      </c>
      <c r="KP30" s="475" t="s">
        <v>721</v>
      </c>
      <c r="KQ30" s="475" t="s">
        <v>721</v>
      </c>
      <c r="KR30" s="475" t="s">
        <v>721</v>
      </c>
      <c r="KS30" s="475" t="s">
        <v>721</v>
      </c>
      <c r="KT30" s="475" t="s">
        <v>721</v>
      </c>
      <c r="KU30" s="475" t="s">
        <v>721</v>
      </c>
      <c r="KV30" s="475" t="s">
        <v>721</v>
      </c>
      <c r="KW30" s="475">
        <v>16</v>
      </c>
      <c r="KX30" s="475">
        <v>136</v>
      </c>
      <c r="KY30" s="475">
        <v>930</v>
      </c>
      <c r="KZ30" s="475">
        <v>34</v>
      </c>
      <c r="LA30" s="475">
        <v>18</v>
      </c>
      <c r="LB30" s="475" t="s">
        <v>721</v>
      </c>
      <c r="LC30" s="475">
        <v>52</v>
      </c>
      <c r="LD30" s="475">
        <v>85</v>
      </c>
      <c r="LE30" s="475" t="s">
        <v>721</v>
      </c>
      <c r="LF30" s="475" t="s">
        <v>721</v>
      </c>
      <c r="LG30" s="475" t="s">
        <v>721</v>
      </c>
      <c r="LH30" s="475" t="s">
        <v>721</v>
      </c>
      <c r="LI30" s="475" t="s">
        <v>721</v>
      </c>
      <c r="LJ30" s="475" t="s">
        <v>721</v>
      </c>
      <c r="LK30" s="475" t="s">
        <v>721</v>
      </c>
      <c r="LL30" s="475" t="s">
        <v>721</v>
      </c>
      <c r="LM30" s="475" t="s">
        <v>721</v>
      </c>
      <c r="LN30" s="475" t="s">
        <v>721</v>
      </c>
      <c r="LO30" s="475">
        <v>11</v>
      </c>
      <c r="LP30" s="475">
        <v>16</v>
      </c>
      <c r="LQ30" s="475">
        <v>664</v>
      </c>
      <c r="LR30" s="475">
        <v>2456</v>
      </c>
      <c r="LS30" s="475">
        <v>152</v>
      </c>
      <c r="LT30" s="475">
        <v>46</v>
      </c>
      <c r="LU30" s="475">
        <v>21</v>
      </c>
      <c r="LV30" s="475">
        <v>137</v>
      </c>
      <c r="LW30" s="475">
        <v>352</v>
      </c>
      <c r="LX30" s="475" t="s">
        <v>721</v>
      </c>
      <c r="LY30" s="475">
        <v>17</v>
      </c>
      <c r="LZ30" s="475" t="s">
        <v>721</v>
      </c>
      <c r="MA30" s="475" t="s">
        <v>721</v>
      </c>
      <c r="MB30" s="475">
        <v>22</v>
      </c>
      <c r="MC30" s="475" t="s">
        <v>721</v>
      </c>
      <c r="MD30" s="475" t="s">
        <v>721</v>
      </c>
      <c r="ME30" s="475" t="s">
        <v>721</v>
      </c>
      <c r="MF30" s="475" t="s">
        <v>721</v>
      </c>
      <c r="MG30" s="475" t="s">
        <v>721</v>
      </c>
      <c r="MH30" s="475">
        <v>34</v>
      </c>
      <c r="MI30" s="475">
        <v>79</v>
      </c>
      <c r="MJ30" s="475">
        <v>316</v>
      </c>
      <c r="MK30" s="475">
        <v>1489</v>
      </c>
      <c r="ML30" s="475">
        <v>74</v>
      </c>
      <c r="MM30" s="475">
        <v>27</v>
      </c>
      <c r="MN30" s="475" t="s">
        <v>721</v>
      </c>
      <c r="MO30" s="475">
        <v>96</v>
      </c>
      <c r="MP30" s="475">
        <v>151</v>
      </c>
      <c r="MQ30" s="475" t="s">
        <v>721</v>
      </c>
      <c r="MR30" s="475">
        <v>15</v>
      </c>
      <c r="MS30" s="475" t="s">
        <v>721</v>
      </c>
      <c r="MT30" s="475" t="s">
        <v>721</v>
      </c>
      <c r="MU30" s="475">
        <v>18</v>
      </c>
      <c r="MV30" s="475" t="s">
        <v>721</v>
      </c>
      <c r="MW30" s="475">
        <v>14</v>
      </c>
      <c r="MX30" s="475" t="s">
        <v>721</v>
      </c>
      <c r="MY30" s="475" t="s">
        <v>721</v>
      </c>
      <c r="MZ30" s="475" t="s">
        <v>721</v>
      </c>
      <c r="NA30" s="475">
        <v>26</v>
      </c>
      <c r="NB30" s="475">
        <v>41</v>
      </c>
      <c r="NC30" s="476">
        <v>0.56200000000000006</v>
      </c>
      <c r="ND30" s="476">
        <v>0.438</v>
      </c>
      <c r="NE30" s="476">
        <v>0.157</v>
      </c>
      <c r="NF30" s="476">
        <v>0.627</v>
      </c>
      <c r="NG30" s="476">
        <v>3.5999999999999997E-2</v>
      </c>
      <c r="NH30" s="476">
        <v>1.2E-2</v>
      </c>
      <c r="NI30" s="476">
        <v>4.0000000000000001E-3</v>
      </c>
      <c r="NJ30" s="476">
        <v>3.6999999999999998E-2</v>
      </c>
      <c r="NK30" s="476">
        <v>8.1000000000000003E-2</v>
      </c>
      <c r="NL30" s="476" t="s">
        <v>721</v>
      </c>
      <c r="NM30" s="476">
        <v>5.0000000000000001E-3</v>
      </c>
      <c r="NN30" s="476" t="s">
        <v>721</v>
      </c>
      <c r="NO30" s="476" t="s">
        <v>721</v>
      </c>
      <c r="NP30" s="476">
        <v>6.0000000000000001E-3</v>
      </c>
      <c r="NQ30" s="476" t="s">
        <v>721</v>
      </c>
      <c r="NR30" s="476">
        <v>3.0000000000000001E-3</v>
      </c>
      <c r="NS30" s="476" t="s">
        <v>721</v>
      </c>
      <c r="NT30" s="476" t="s">
        <v>721</v>
      </c>
      <c r="NU30" s="476" t="s">
        <v>721</v>
      </c>
      <c r="NV30" s="476">
        <v>0.01</v>
      </c>
      <c r="NW30" s="476">
        <v>1.9E-2</v>
      </c>
      <c r="NX30" s="476" t="s">
        <v>721</v>
      </c>
      <c r="NY30" s="476">
        <v>0.435</v>
      </c>
      <c r="NZ30" s="476" t="s">
        <v>721</v>
      </c>
      <c r="OA30" s="476" t="s">
        <v>721</v>
      </c>
      <c r="OB30" s="476">
        <v>4.0000000000000001E-3</v>
      </c>
      <c r="OC30" s="476">
        <v>8.9999999999999993E-3</v>
      </c>
      <c r="OD30" s="476">
        <v>6.0000000000000001E-3</v>
      </c>
      <c r="OE30" s="476">
        <v>0.51900000000000002</v>
      </c>
      <c r="OF30" s="476" t="s">
        <v>721</v>
      </c>
      <c r="OG30" s="476" t="s">
        <v>721</v>
      </c>
      <c r="OH30" s="476" t="s">
        <v>721</v>
      </c>
      <c r="OI30" s="476" t="s">
        <v>721</v>
      </c>
      <c r="OJ30" s="476" t="s">
        <v>721</v>
      </c>
      <c r="OK30" s="476" t="s">
        <v>721</v>
      </c>
      <c r="OL30" s="476">
        <v>2E-3</v>
      </c>
      <c r="OM30" s="476" t="s">
        <v>721</v>
      </c>
      <c r="ON30" s="476" t="s">
        <v>721</v>
      </c>
      <c r="OO30" s="476" t="s">
        <v>721</v>
      </c>
      <c r="OP30" s="476" t="s">
        <v>721</v>
      </c>
      <c r="OQ30" s="476" t="s">
        <v>721</v>
      </c>
      <c r="OR30" s="476" t="s">
        <v>721</v>
      </c>
      <c r="OS30" s="476" t="s">
        <v>721</v>
      </c>
      <c r="OT30" s="476">
        <v>2E-3</v>
      </c>
      <c r="OU30" s="476" t="s">
        <v>721</v>
      </c>
      <c r="OV30" s="476" t="s">
        <v>721</v>
      </c>
      <c r="OW30" s="476">
        <v>6.0000000000000001E-3</v>
      </c>
      <c r="OX30" s="476" t="s">
        <v>721</v>
      </c>
      <c r="OY30" s="476" t="s">
        <v>721</v>
      </c>
      <c r="OZ30" s="476">
        <v>3.0000000000000001E-3</v>
      </c>
      <c r="PA30" s="476">
        <v>8.9999999999999993E-3</v>
      </c>
      <c r="PB30" s="476" t="s">
        <v>721</v>
      </c>
      <c r="PC30" s="476" t="s">
        <v>721</v>
      </c>
      <c r="PD30" s="476" t="s">
        <v>721</v>
      </c>
      <c r="PE30" s="476" t="s">
        <v>721</v>
      </c>
      <c r="PF30" s="476">
        <v>0.30199999999999999</v>
      </c>
      <c r="PG30" s="476" t="s">
        <v>721</v>
      </c>
      <c r="PH30" s="476" t="s">
        <v>721</v>
      </c>
      <c r="PI30" s="476">
        <v>2E-3</v>
      </c>
      <c r="PJ30" s="476">
        <v>5.0000000000000001E-3</v>
      </c>
      <c r="PK30" s="476">
        <v>3.0000000000000001E-3</v>
      </c>
      <c r="PL30" s="476">
        <v>0.67400000000000004</v>
      </c>
      <c r="PM30" s="476">
        <v>3.0000000000000001E-3</v>
      </c>
      <c r="PN30" s="476" t="s">
        <v>721</v>
      </c>
      <c r="PO30" s="476" t="s">
        <v>721</v>
      </c>
      <c r="PP30" s="476" t="s">
        <v>721</v>
      </c>
      <c r="PQ30" s="476" t="s">
        <v>721</v>
      </c>
      <c r="PR30" s="476" t="s">
        <v>721</v>
      </c>
      <c r="PS30" s="476" t="s">
        <v>721</v>
      </c>
      <c r="PT30" s="476" t="s">
        <v>721</v>
      </c>
      <c r="PU30" s="476" t="s">
        <v>721</v>
      </c>
      <c r="PV30" s="476" t="s">
        <v>721</v>
      </c>
      <c r="PW30" s="476" t="s">
        <v>721</v>
      </c>
      <c r="PX30" s="476" t="s">
        <v>721</v>
      </c>
      <c r="PY30" s="476" t="s">
        <v>721</v>
      </c>
      <c r="PZ30" s="476" t="s">
        <v>721</v>
      </c>
      <c r="QA30" s="476" t="s">
        <v>721</v>
      </c>
      <c r="QB30" s="476" t="s">
        <v>721</v>
      </c>
      <c r="QC30" s="476" t="s">
        <v>721</v>
      </c>
      <c r="QD30" s="476">
        <v>2E-3</v>
      </c>
      <c r="QE30" s="476" t="s">
        <v>721</v>
      </c>
      <c r="QF30" s="476" t="s">
        <v>721</v>
      </c>
      <c r="QG30" s="476" t="s">
        <v>721</v>
      </c>
      <c r="QH30" s="476">
        <v>4.0000000000000001E-3</v>
      </c>
      <c r="QI30" s="476" t="s">
        <v>721</v>
      </c>
      <c r="QJ30" s="476" t="s">
        <v>721</v>
      </c>
      <c r="QK30" s="476" t="s">
        <v>721</v>
      </c>
      <c r="QL30" s="476">
        <v>0.192</v>
      </c>
      <c r="QM30" s="476">
        <v>0.54700000000000004</v>
      </c>
      <c r="QN30" s="476" t="s">
        <v>721</v>
      </c>
      <c r="QO30" s="476" t="s">
        <v>721</v>
      </c>
      <c r="QP30" s="476" t="s">
        <v>721</v>
      </c>
      <c r="QQ30" s="476" t="s">
        <v>721</v>
      </c>
      <c r="QR30" s="476">
        <v>0.16900000000000001</v>
      </c>
      <c r="QS30" s="476" t="s">
        <v>721</v>
      </c>
      <c r="QT30" s="476" t="s">
        <v>721</v>
      </c>
      <c r="QU30" s="476" t="s">
        <v>721</v>
      </c>
      <c r="QV30" s="476" t="s">
        <v>721</v>
      </c>
      <c r="QW30" s="476" t="s">
        <v>721</v>
      </c>
      <c r="QX30" s="476" t="s">
        <v>721</v>
      </c>
      <c r="QY30" s="476" t="s">
        <v>721</v>
      </c>
      <c r="QZ30" s="476" t="s">
        <v>721</v>
      </c>
      <c r="RA30" s="476" t="s">
        <v>721</v>
      </c>
      <c r="RB30" s="476" t="s">
        <v>721</v>
      </c>
      <c r="RC30" s="476" t="s">
        <v>721</v>
      </c>
      <c r="RD30" s="476" t="s">
        <v>721</v>
      </c>
      <c r="RE30" s="476">
        <v>0.19</v>
      </c>
      <c r="RF30" s="476">
        <v>0.56899999999999995</v>
      </c>
      <c r="RG30" s="476" t="s">
        <v>721</v>
      </c>
      <c r="RH30" s="476" t="s">
        <v>721</v>
      </c>
      <c r="RI30" s="476" t="s">
        <v>721</v>
      </c>
      <c r="RJ30" s="476" t="s">
        <v>721</v>
      </c>
      <c r="RK30" s="476" t="s">
        <v>721</v>
      </c>
      <c r="RL30" s="476" t="s">
        <v>721</v>
      </c>
      <c r="RM30" s="476" t="s">
        <v>721</v>
      </c>
      <c r="RN30" s="476" t="s">
        <v>721</v>
      </c>
      <c r="RO30" s="476" t="s">
        <v>721</v>
      </c>
      <c r="RP30" s="476" t="s">
        <v>721</v>
      </c>
      <c r="RQ30" s="476" t="s">
        <v>721</v>
      </c>
      <c r="RR30" s="476" t="s">
        <v>721</v>
      </c>
      <c r="RS30" s="476" t="s">
        <v>721</v>
      </c>
      <c r="RT30" s="476" t="s">
        <v>721</v>
      </c>
      <c r="RU30" s="476" t="s">
        <v>721</v>
      </c>
      <c r="RV30" s="476" t="s">
        <v>721</v>
      </c>
      <c r="RW30" s="476" t="s">
        <v>721</v>
      </c>
      <c r="RX30" s="476">
        <v>0.157</v>
      </c>
      <c r="RY30" s="476">
        <v>0.622</v>
      </c>
      <c r="RZ30" s="476">
        <v>3.5999999999999997E-2</v>
      </c>
      <c r="SA30" s="476">
        <v>1.4999999999999999E-2</v>
      </c>
      <c r="SB30" s="476">
        <v>3.0000000000000001E-3</v>
      </c>
      <c r="SC30" s="476">
        <v>3.6999999999999998E-2</v>
      </c>
      <c r="SD30" s="476">
        <v>0.08</v>
      </c>
      <c r="SE30" s="476" t="s">
        <v>721</v>
      </c>
      <c r="SF30" s="476">
        <v>6.0000000000000001E-3</v>
      </c>
      <c r="SG30" s="476">
        <v>0</v>
      </c>
      <c r="SH30" s="476">
        <v>1E-3</v>
      </c>
      <c r="SI30" s="476">
        <v>7.0000000000000001E-3</v>
      </c>
      <c r="SJ30" s="476">
        <v>1E-3</v>
      </c>
      <c r="SK30" s="476">
        <v>5.0000000000000001E-3</v>
      </c>
      <c r="SL30" s="476">
        <v>0</v>
      </c>
      <c r="SM30" s="476">
        <v>0</v>
      </c>
      <c r="SN30" s="476" t="s">
        <v>721</v>
      </c>
      <c r="SO30" s="476">
        <v>0.01</v>
      </c>
      <c r="SP30" s="476">
        <v>0.02</v>
      </c>
      <c r="SQ30" s="476">
        <v>0.154</v>
      </c>
      <c r="SR30" s="476">
        <v>0.58299999999999996</v>
      </c>
      <c r="SS30" s="476">
        <v>2.8000000000000001E-2</v>
      </c>
      <c r="ST30" s="476">
        <v>2.5999999999999999E-2</v>
      </c>
      <c r="SU30" s="476" t="s">
        <v>721</v>
      </c>
      <c r="SV30" s="476">
        <v>2.1999999999999999E-2</v>
      </c>
      <c r="SW30" s="476">
        <v>0.124</v>
      </c>
      <c r="SX30" s="476" t="s">
        <v>721</v>
      </c>
      <c r="SY30" s="476" t="s">
        <v>721</v>
      </c>
      <c r="SZ30" s="476" t="s">
        <v>721</v>
      </c>
      <c r="TA30" s="476" t="s">
        <v>721</v>
      </c>
      <c r="TB30" s="476" t="s">
        <v>721</v>
      </c>
      <c r="TC30" s="476" t="s">
        <v>721</v>
      </c>
      <c r="TD30" s="476" t="s">
        <v>721</v>
      </c>
      <c r="TE30" s="476" t="s">
        <v>721</v>
      </c>
      <c r="TF30" s="476" t="s">
        <v>721</v>
      </c>
      <c r="TG30" s="476" t="s">
        <v>721</v>
      </c>
      <c r="TH30" s="476" t="s">
        <v>721</v>
      </c>
      <c r="TI30" s="476">
        <v>3.2000000000000001E-2</v>
      </c>
      <c r="TJ30" s="476">
        <v>0.104</v>
      </c>
      <c r="TK30" s="476">
        <v>0.71</v>
      </c>
      <c r="TL30" s="476">
        <v>2.5999999999999999E-2</v>
      </c>
      <c r="TM30" s="476">
        <v>1.4E-2</v>
      </c>
      <c r="TN30" s="476" t="s">
        <v>721</v>
      </c>
      <c r="TO30" s="476">
        <v>0.04</v>
      </c>
      <c r="TP30" s="476">
        <v>6.5000000000000002E-2</v>
      </c>
      <c r="TQ30" s="476" t="s">
        <v>721</v>
      </c>
      <c r="TR30" s="476" t="s">
        <v>721</v>
      </c>
      <c r="TS30" s="476" t="s">
        <v>721</v>
      </c>
      <c r="TT30" s="476" t="s">
        <v>721</v>
      </c>
      <c r="TU30" s="476" t="s">
        <v>721</v>
      </c>
      <c r="TV30" s="476" t="s">
        <v>721</v>
      </c>
      <c r="TW30" s="476" t="s">
        <v>721</v>
      </c>
      <c r="TX30" s="476" t="s">
        <v>721</v>
      </c>
      <c r="TY30" s="476" t="s">
        <v>721</v>
      </c>
      <c r="TZ30" s="476" t="s">
        <v>721</v>
      </c>
      <c r="UA30" s="476">
        <v>8.0000000000000002E-3</v>
      </c>
      <c r="UB30" s="476">
        <v>1.2E-2</v>
      </c>
      <c r="UC30" s="476">
        <v>0.16600000000000001</v>
      </c>
      <c r="UD30" s="476">
        <v>0.61299999999999999</v>
      </c>
      <c r="UE30" s="476">
        <v>3.7999999999999999E-2</v>
      </c>
      <c r="UF30" s="476">
        <v>1.0999999999999999E-2</v>
      </c>
      <c r="UG30" s="476">
        <v>5.0000000000000001E-3</v>
      </c>
      <c r="UH30" s="476">
        <v>3.4000000000000002E-2</v>
      </c>
      <c r="UI30" s="476">
        <v>8.7999999999999995E-2</v>
      </c>
      <c r="UJ30" s="476" t="s">
        <v>721</v>
      </c>
      <c r="UK30" s="476">
        <v>4.0000000000000001E-3</v>
      </c>
      <c r="UL30" s="476" t="s">
        <v>721</v>
      </c>
      <c r="UM30" s="476" t="s">
        <v>721</v>
      </c>
      <c r="UN30" s="476">
        <v>5.0000000000000001E-3</v>
      </c>
      <c r="UO30" s="476" t="s">
        <v>721</v>
      </c>
      <c r="UP30" s="476" t="s">
        <v>721</v>
      </c>
      <c r="UQ30" s="476" t="s">
        <v>721</v>
      </c>
      <c r="UR30" s="476" t="s">
        <v>721</v>
      </c>
      <c r="US30" s="476" t="s">
        <v>721</v>
      </c>
      <c r="UT30" s="476">
        <v>8.0000000000000002E-3</v>
      </c>
      <c r="UU30" s="476">
        <v>0.02</v>
      </c>
      <c r="UV30" s="476">
        <v>0.13900000000000001</v>
      </c>
      <c r="UW30" s="476">
        <v>0.65300000000000002</v>
      </c>
      <c r="UX30" s="476">
        <v>3.2000000000000001E-2</v>
      </c>
      <c r="UY30" s="476">
        <v>1.2E-2</v>
      </c>
      <c r="UZ30" s="476" t="s">
        <v>721</v>
      </c>
      <c r="VA30" s="476">
        <v>4.2000000000000003E-2</v>
      </c>
      <c r="VB30" s="476">
        <v>6.6000000000000003E-2</v>
      </c>
      <c r="VC30" s="476" t="s">
        <v>721</v>
      </c>
      <c r="VD30" s="476">
        <v>7.0000000000000001E-3</v>
      </c>
      <c r="VE30" s="476" t="s">
        <v>721</v>
      </c>
      <c r="VF30" s="476" t="s">
        <v>721</v>
      </c>
      <c r="VG30" s="476">
        <v>8.0000000000000002E-3</v>
      </c>
      <c r="VH30" s="476" t="s">
        <v>721</v>
      </c>
      <c r="VI30" s="476">
        <v>6.0000000000000001E-3</v>
      </c>
      <c r="VJ30" s="476" t="s">
        <v>721</v>
      </c>
      <c r="VK30" s="476" t="s">
        <v>721</v>
      </c>
      <c r="VL30" s="476" t="s">
        <v>721</v>
      </c>
      <c r="VM30" s="476">
        <v>1.0999999999999999E-2</v>
      </c>
      <c r="VN30" s="476">
        <v>1.7999999999999999E-2</v>
      </c>
      <c r="VO30" s="28"/>
      <c r="VP30" s="28"/>
      <c r="VQ30" s="28"/>
      <c r="VR30" s="28"/>
      <c r="VS30" s="28"/>
      <c r="VT30" s="28"/>
      <c r="VU30" s="28"/>
      <c r="VV30" s="28"/>
      <c r="VW30" s="28"/>
      <c r="VX30" s="28"/>
      <c r="VY30" s="28"/>
      <c r="VZ30" s="28"/>
      <c r="WA30" s="28"/>
      <c r="WB30" s="28"/>
      <c r="WC30" s="28"/>
      <c r="WD30" s="28"/>
      <c r="WE30" s="28"/>
      <c r="WF30" s="28"/>
      <c r="WG30" s="28"/>
      <c r="WH30" s="28"/>
      <c r="WI30" s="28"/>
      <c r="WJ30" s="28"/>
      <c r="WK30" s="28"/>
      <c r="WL30" s="28"/>
      <c r="WM30" s="28"/>
      <c r="WN30" s="28"/>
      <c r="WO30" s="28"/>
      <c r="WP30" s="28"/>
      <c r="WQ30" s="28"/>
      <c r="WR30" s="28"/>
      <c r="WS30" s="28"/>
      <c r="WT30" s="28"/>
      <c r="WU30" s="28"/>
      <c r="WV30" s="28"/>
      <c r="WW30" s="28"/>
    </row>
    <row r="31" spans="1:621" s="151" customFormat="1" ht="15.75" customHeight="1" x14ac:dyDescent="0.35">
      <c r="A31" s="477" t="s">
        <v>41</v>
      </c>
      <c r="B31" s="492" t="s">
        <v>17</v>
      </c>
      <c r="C31" s="493">
        <v>16.95</v>
      </c>
      <c r="D31" s="494">
        <v>1526</v>
      </c>
      <c r="E31" s="473">
        <v>189566.7</v>
      </c>
      <c r="F31" s="473">
        <v>124.2</v>
      </c>
      <c r="G31" s="474">
        <v>1524</v>
      </c>
      <c r="H31" s="474">
        <v>1503</v>
      </c>
      <c r="I31" s="474">
        <v>1712</v>
      </c>
      <c r="J31" s="474">
        <v>866</v>
      </c>
      <c r="K31" s="474">
        <v>596</v>
      </c>
      <c r="L31" s="473">
        <v>102528.5</v>
      </c>
      <c r="M31" s="474">
        <v>920</v>
      </c>
      <c r="N31" s="473">
        <v>87038.2</v>
      </c>
      <c r="O31" s="494">
        <v>191</v>
      </c>
      <c r="P31" s="495">
        <v>33087.5</v>
      </c>
      <c r="Q31" s="494">
        <v>212</v>
      </c>
      <c r="R31" s="495">
        <v>8498.5</v>
      </c>
      <c r="S31" s="480">
        <v>532</v>
      </c>
      <c r="T31" s="481">
        <v>61016.1</v>
      </c>
      <c r="U31" s="480">
        <v>15</v>
      </c>
      <c r="V31" s="481">
        <v>2290.1999999999998</v>
      </c>
      <c r="W31" s="480">
        <v>979</v>
      </c>
      <c r="X31" s="481">
        <v>126260.4</v>
      </c>
      <c r="Y31" s="494">
        <v>1534</v>
      </c>
      <c r="Z31" s="494">
        <v>800</v>
      </c>
      <c r="AA31" s="494">
        <v>929</v>
      </c>
      <c r="AB31" s="494">
        <v>689</v>
      </c>
      <c r="AC31" s="494">
        <v>70</v>
      </c>
      <c r="AD31" s="494">
        <v>345</v>
      </c>
      <c r="AE31" s="494">
        <v>616</v>
      </c>
      <c r="AF31" s="495">
        <v>45559</v>
      </c>
      <c r="AG31" s="494">
        <v>814</v>
      </c>
      <c r="AH31" s="495">
        <v>136631.9</v>
      </c>
      <c r="AI31" s="494">
        <v>33</v>
      </c>
      <c r="AJ31" s="495">
        <v>1566.1</v>
      </c>
      <c r="AK31" s="494">
        <v>53</v>
      </c>
      <c r="AL31" s="495">
        <v>5809.7</v>
      </c>
      <c r="AM31" s="496">
        <v>853</v>
      </c>
      <c r="AN31" s="496">
        <v>673</v>
      </c>
      <c r="AO31" s="496">
        <v>678</v>
      </c>
      <c r="AP31" s="496">
        <v>557</v>
      </c>
      <c r="AQ31" s="496">
        <v>66</v>
      </c>
      <c r="AR31" s="496">
        <v>14</v>
      </c>
      <c r="AS31" s="496" t="s">
        <v>721</v>
      </c>
      <c r="AT31" s="496">
        <v>103</v>
      </c>
      <c r="AU31" s="496">
        <v>30</v>
      </c>
      <c r="AV31" s="496" t="s">
        <v>721</v>
      </c>
      <c r="AW31" s="496" t="s">
        <v>721</v>
      </c>
      <c r="AX31" s="496" t="s">
        <v>721</v>
      </c>
      <c r="AY31" s="496" t="s">
        <v>721</v>
      </c>
      <c r="AZ31" s="496" t="s">
        <v>721</v>
      </c>
      <c r="BA31" s="496" t="s">
        <v>721</v>
      </c>
      <c r="BB31" s="496">
        <v>21</v>
      </c>
      <c r="BC31" s="496" t="s">
        <v>721</v>
      </c>
      <c r="BD31" s="496" t="s">
        <v>721</v>
      </c>
      <c r="BE31" s="496" t="s">
        <v>721</v>
      </c>
      <c r="BF31" s="496" t="s">
        <v>721</v>
      </c>
      <c r="BG31" s="496">
        <v>31</v>
      </c>
      <c r="BH31" s="496" t="s">
        <v>721</v>
      </c>
      <c r="BI31" s="496">
        <v>429</v>
      </c>
      <c r="BJ31" s="496" t="s">
        <v>721</v>
      </c>
      <c r="BK31" s="496" t="s">
        <v>721</v>
      </c>
      <c r="BL31" s="496" t="s">
        <v>721</v>
      </c>
      <c r="BM31" s="496">
        <v>49</v>
      </c>
      <c r="BN31" s="496">
        <v>13</v>
      </c>
      <c r="BO31" s="496">
        <v>997</v>
      </c>
      <c r="BP31" s="496" t="s">
        <v>721</v>
      </c>
      <c r="BQ31" s="496" t="s">
        <v>721</v>
      </c>
      <c r="BR31" s="496" t="s">
        <v>721</v>
      </c>
      <c r="BS31" s="496" t="s">
        <v>721</v>
      </c>
      <c r="BT31" s="496" t="s">
        <v>721</v>
      </c>
      <c r="BU31" s="496" t="s">
        <v>721</v>
      </c>
      <c r="BV31" s="496" t="s">
        <v>721</v>
      </c>
      <c r="BW31" s="496" t="s">
        <v>721</v>
      </c>
      <c r="BX31" s="496" t="s">
        <v>721</v>
      </c>
      <c r="BY31" s="496" t="s">
        <v>721</v>
      </c>
      <c r="BZ31" s="496" t="s">
        <v>721</v>
      </c>
      <c r="CA31" s="496" t="s">
        <v>721</v>
      </c>
      <c r="CB31" s="496" t="s">
        <v>721</v>
      </c>
      <c r="CC31" s="496" t="s">
        <v>721</v>
      </c>
      <c r="CD31" s="496" t="s">
        <v>721</v>
      </c>
      <c r="CE31" s="496" t="s">
        <v>721</v>
      </c>
      <c r="CF31" s="496" t="s">
        <v>721</v>
      </c>
      <c r="CG31" s="496" t="s">
        <v>721</v>
      </c>
      <c r="CH31" s="496" t="s">
        <v>721</v>
      </c>
      <c r="CI31" s="496" t="s">
        <v>721</v>
      </c>
      <c r="CJ31" s="496" t="s">
        <v>721</v>
      </c>
      <c r="CK31" s="496" t="s">
        <v>721</v>
      </c>
      <c r="CL31" s="496" t="s">
        <v>721</v>
      </c>
      <c r="CM31" s="496">
        <v>11</v>
      </c>
      <c r="CN31" s="496" t="s">
        <v>721</v>
      </c>
      <c r="CO31" s="496" t="s">
        <v>721</v>
      </c>
      <c r="CP31" s="496">
        <v>293</v>
      </c>
      <c r="CQ31" s="496" t="s">
        <v>721</v>
      </c>
      <c r="CR31" s="496" t="s">
        <v>721</v>
      </c>
      <c r="CS31" s="496" t="s">
        <v>721</v>
      </c>
      <c r="CT31" s="496">
        <v>21</v>
      </c>
      <c r="CU31" s="496" t="s">
        <v>721</v>
      </c>
      <c r="CV31" s="496">
        <v>1000</v>
      </c>
      <c r="CW31" s="496">
        <v>196</v>
      </c>
      <c r="CX31" s="496" t="s">
        <v>721</v>
      </c>
      <c r="CY31" s="496" t="s">
        <v>721</v>
      </c>
      <c r="CZ31" s="496" t="s">
        <v>721</v>
      </c>
      <c r="DA31" s="496" t="s">
        <v>721</v>
      </c>
      <c r="DB31" s="496" t="s">
        <v>721</v>
      </c>
      <c r="DC31" s="496" t="s">
        <v>721</v>
      </c>
      <c r="DD31" s="496" t="s">
        <v>721</v>
      </c>
      <c r="DE31" s="496" t="s">
        <v>721</v>
      </c>
      <c r="DF31" s="496" t="s">
        <v>721</v>
      </c>
      <c r="DG31" s="496" t="s">
        <v>721</v>
      </c>
      <c r="DH31" s="496" t="s">
        <v>721</v>
      </c>
      <c r="DI31" s="496" t="s">
        <v>721</v>
      </c>
      <c r="DJ31" s="496" t="s">
        <v>721</v>
      </c>
      <c r="DK31" s="496" t="s">
        <v>721</v>
      </c>
      <c r="DL31" s="496" t="s">
        <v>721</v>
      </c>
      <c r="DM31" s="496" t="s">
        <v>721</v>
      </c>
      <c r="DN31" s="496" t="s">
        <v>721</v>
      </c>
      <c r="DO31" s="496" t="s">
        <v>721</v>
      </c>
      <c r="DP31" s="496" t="s">
        <v>721</v>
      </c>
      <c r="DQ31" s="496" t="s">
        <v>721</v>
      </c>
      <c r="DR31" s="496" t="s">
        <v>721</v>
      </c>
      <c r="DS31" s="483" t="s">
        <v>721</v>
      </c>
      <c r="DT31" s="483" t="s">
        <v>721</v>
      </c>
      <c r="DU31" s="483" t="s">
        <v>721</v>
      </c>
      <c r="DV31" s="496">
        <v>137</v>
      </c>
      <c r="DW31" s="497">
        <v>24731.599999999999</v>
      </c>
      <c r="DX31" s="496">
        <v>310</v>
      </c>
      <c r="DY31" s="497">
        <v>44141</v>
      </c>
      <c r="DZ31" s="496">
        <v>308</v>
      </c>
      <c r="EA31" s="497">
        <v>34292.5</v>
      </c>
      <c r="EB31" s="496">
        <v>295</v>
      </c>
      <c r="EC31" s="497">
        <v>29878.7</v>
      </c>
      <c r="ED31" s="496">
        <v>284</v>
      </c>
      <c r="EE31" s="497">
        <v>32405.599999999999</v>
      </c>
      <c r="EF31" s="496">
        <v>192</v>
      </c>
      <c r="EG31" s="497">
        <v>24117.3</v>
      </c>
      <c r="EH31" s="485">
        <v>1269</v>
      </c>
      <c r="EI31" s="486">
        <v>4447.7</v>
      </c>
      <c r="EJ31" s="485">
        <v>1288</v>
      </c>
      <c r="EK31" s="486">
        <v>32003.599999999999</v>
      </c>
      <c r="EL31" s="485">
        <v>1259</v>
      </c>
      <c r="EM31" s="486">
        <v>15116.7</v>
      </c>
      <c r="EN31" s="485">
        <v>1344</v>
      </c>
      <c r="EO31" s="486">
        <v>6563.1</v>
      </c>
      <c r="EP31" s="485">
        <v>1273</v>
      </c>
      <c r="EQ31" s="486">
        <v>4357</v>
      </c>
      <c r="ER31" s="485">
        <v>1285</v>
      </c>
      <c r="ES31" s="486">
        <v>2721.5</v>
      </c>
      <c r="ET31" s="485">
        <v>1</v>
      </c>
      <c r="EU31" s="485">
        <v>996</v>
      </c>
      <c r="EV31" s="486">
        <v>15607.6</v>
      </c>
      <c r="EW31" s="485">
        <v>167</v>
      </c>
      <c r="EX31" s="486">
        <v>926.2</v>
      </c>
      <c r="EY31" s="485">
        <v>706</v>
      </c>
      <c r="EZ31" s="486">
        <v>7426</v>
      </c>
      <c r="FA31" s="485">
        <v>84</v>
      </c>
      <c r="FB31" s="486">
        <v>1005.4</v>
      </c>
      <c r="FC31" s="485">
        <v>1303</v>
      </c>
      <c r="FD31" s="486">
        <v>16850.3</v>
      </c>
      <c r="FE31" s="485">
        <v>1298</v>
      </c>
      <c r="FF31" s="486">
        <v>10409.799999999999</v>
      </c>
      <c r="FG31" s="485">
        <v>526</v>
      </c>
      <c r="FH31" s="486">
        <v>5097.1000000000004</v>
      </c>
      <c r="FI31" s="485">
        <v>833</v>
      </c>
      <c r="FJ31" s="486">
        <v>5743</v>
      </c>
      <c r="FK31" s="485">
        <v>1119</v>
      </c>
      <c r="FL31" s="486">
        <v>3488.6</v>
      </c>
      <c r="FM31" s="485">
        <v>71</v>
      </c>
      <c r="FN31" s="486">
        <v>184.5</v>
      </c>
      <c r="FO31" s="485">
        <v>1306</v>
      </c>
      <c r="FP31" s="486">
        <v>9697.2999999999993</v>
      </c>
      <c r="FQ31" s="485">
        <v>1220</v>
      </c>
      <c r="FR31" s="486">
        <v>5432.5</v>
      </c>
      <c r="FS31" s="485">
        <v>118</v>
      </c>
      <c r="FT31" s="486">
        <v>1049.9000000000001</v>
      </c>
      <c r="FU31" s="485">
        <v>0</v>
      </c>
      <c r="FV31" s="486">
        <v>0</v>
      </c>
      <c r="FW31" s="485">
        <v>0</v>
      </c>
      <c r="FX31" s="486">
        <v>0</v>
      </c>
      <c r="FY31" s="485">
        <v>0</v>
      </c>
      <c r="FZ31" s="486">
        <v>0</v>
      </c>
      <c r="GA31" s="485">
        <v>0</v>
      </c>
      <c r="GB31" s="485">
        <v>0</v>
      </c>
      <c r="GC31" s="487">
        <v>0</v>
      </c>
      <c r="GD31" s="488">
        <v>42</v>
      </c>
      <c r="GE31" s="488">
        <v>12</v>
      </c>
      <c r="GF31" s="488">
        <v>723</v>
      </c>
      <c r="GG31" s="488">
        <v>0</v>
      </c>
      <c r="GH31" s="488">
        <v>0</v>
      </c>
      <c r="GI31" s="488">
        <v>0</v>
      </c>
      <c r="GJ31" s="488">
        <v>0</v>
      </c>
      <c r="GK31" s="488">
        <v>90</v>
      </c>
      <c r="GL31" s="488">
        <v>687</v>
      </c>
      <c r="GM31" s="488">
        <v>777</v>
      </c>
      <c r="GN31" s="488">
        <v>70</v>
      </c>
      <c r="GO31" s="488">
        <v>40</v>
      </c>
      <c r="GP31" s="488">
        <v>2</v>
      </c>
      <c r="GQ31" s="488">
        <v>4</v>
      </c>
      <c r="GR31" s="488">
        <v>3</v>
      </c>
      <c r="GS31" s="488">
        <v>9</v>
      </c>
      <c r="GT31" s="489">
        <v>963</v>
      </c>
      <c r="GU31" s="488">
        <v>5</v>
      </c>
      <c r="GV31" s="490">
        <v>0</v>
      </c>
      <c r="GW31" s="490">
        <v>2</v>
      </c>
      <c r="GX31" s="490">
        <v>7</v>
      </c>
      <c r="GY31" s="491">
        <v>2</v>
      </c>
      <c r="GZ31" s="491">
        <v>3</v>
      </c>
      <c r="HA31" s="491">
        <v>5</v>
      </c>
      <c r="HB31" s="475">
        <v>1</v>
      </c>
      <c r="HC31" s="475">
        <v>1</v>
      </c>
      <c r="HD31" s="475">
        <v>0</v>
      </c>
      <c r="HE31" s="475">
        <v>0</v>
      </c>
      <c r="HF31" s="475">
        <v>0</v>
      </c>
      <c r="HG31" s="475">
        <v>0</v>
      </c>
      <c r="HH31" s="475">
        <v>0</v>
      </c>
      <c r="HI31" s="475">
        <v>0</v>
      </c>
      <c r="HJ31" s="475">
        <v>0</v>
      </c>
      <c r="HK31" s="475">
        <v>0</v>
      </c>
      <c r="HL31" s="475">
        <v>0</v>
      </c>
      <c r="HM31" s="475">
        <v>0</v>
      </c>
      <c r="HN31" s="475">
        <v>0</v>
      </c>
      <c r="HO31" s="475">
        <v>0</v>
      </c>
      <c r="HP31" s="475">
        <v>0</v>
      </c>
      <c r="HQ31" s="475">
        <v>1</v>
      </c>
      <c r="HR31" s="475">
        <v>6</v>
      </c>
      <c r="HS31" s="475">
        <v>0</v>
      </c>
      <c r="HT31" s="475">
        <v>0</v>
      </c>
      <c r="HU31" s="475">
        <v>0</v>
      </c>
      <c r="HV31" s="475">
        <v>0</v>
      </c>
      <c r="HW31" s="475">
        <v>0</v>
      </c>
      <c r="HX31" s="475">
        <v>0</v>
      </c>
      <c r="HY31" s="475">
        <v>0</v>
      </c>
      <c r="HZ31" s="475">
        <v>22</v>
      </c>
      <c r="IA31" s="475" t="s">
        <v>721</v>
      </c>
      <c r="IB31" s="475" t="s">
        <v>721</v>
      </c>
      <c r="IC31" s="475" t="s">
        <v>721</v>
      </c>
      <c r="ID31" s="475" t="s">
        <v>721</v>
      </c>
      <c r="IE31" s="475" t="s">
        <v>721</v>
      </c>
      <c r="IF31" s="475" t="s">
        <v>721</v>
      </c>
      <c r="IG31" s="475" t="s">
        <v>721</v>
      </c>
      <c r="IH31" s="475" t="s">
        <v>721</v>
      </c>
      <c r="II31" s="475" t="s">
        <v>721</v>
      </c>
      <c r="IJ31" s="475" t="s">
        <v>721</v>
      </c>
      <c r="IK31" s="475" t="s">
        <v>721</v>
      </c>
      <c r="IL31" s="475" t="s">
        <v>721</v>
      </c>
      <c r="IM31" s="475" t="s">
        <v>721</v>
      </c>
      <c r="IN31" s="475" t="s">
        <v>721</v>
      </c>
      <c r="IO31" s="475" t="s">
        <v>721</v>
      </c>
      <c r="IP31" s="475" t="s">
        <v>721</v>
      </c>
      <c r="IQ31" s="475" t="s">
        <v>721</v>
      </c>
      <c r="IR31" s="475" t="s">
        <v>721</v>
      </c>
      <c r="IS31" s="475" t="s">
        <v>721</v>
      </c>
      <c r="IT31" s="475" t="s">
        <v>721</v>
      </c>
      <c r="IU31" s="475" t="s">
        <v>721</v>
      </c>
      <c r="IV31" s="475" t="s">
        <v>721</v>
      </c>
      <c r="IW31" s="475" t="s">
        <v>721</v>
      </c>
      <c r="IX31" s="475" t="s">
        <v>721</v>
      </c>
      <c r="IY31" s="475" t="s">
        <v>721</v>
      </c>
      <c r="IZ31" s="475" t="s">
        <v>721</v>
      </c>
      <c r="JA31" s="475" t="s">
        <v>721</v>
      </c>
      <c r="JB31" s="475" t="s">
        <v>721</v>
      </c>
      <c r="JC31" s="475" t="s">
        <v>721</v>
      </c>
      <c r="JD31" s="475" t="s">
        <v>721</v>
      </c>
      <c r="JE31" s="475" t="s">
        <v>721</v>
      </c>
      <c r="JF31" s="475" t="s">
        <v>721</v>
      </c>
      <c r="JG31" s="475" t="s">
        <v>721</v>
      </c>
      <c r="JH31" s="475" t="s">
        <v>721</v>
      </c>
      <c r="JI31" s="475" t="s">
        <v>721</v>
      </c>
      <c r="JJ31" s="475" t="s">
        <v>721</v>
      </c>
      <c r="JK31" s="475" t="s">
        <v>721</v>
      </c>
      <c r="JL31" s="755">
        <v>85618.6</v>
      </c>
      <c r="JM31" s="755">
        <v>67677.899999999994</v>
      </c>
      <c r="JN31" s="755">
        <v>6972.6</v>
      </c>
      <c r="JO31" s="755">
        <v>1820.1</v>
      </c>
      <c r="JP31" s="755">
        <v>73.5</v>
      </c>
      <c r="JQ31" s="755">
        <v>13398</v>
      </c>
      <c r="JR31" s="755">
        <v>2985.4</v>
      </c>
      <c r="JS31" s="755" t="s">
        <v>721</v>
      </c>
      <c r="JT31" s="755">
        <v>899.9</v>
      </c>
      <c r="JU31" s="755">
        <v>108.2</v>
      </c>
      <c r="JV31" s="755">
        <v>36.1</v>
      </c>
      <c r="JW31" s="755">
        <v>283</v>
      </c>
      <c r="JX31" s="755" t="s">
        <v>721</v>
      </c>
      <c r="JY31" s="755">
        <v>3678.9</v>
      </c>
      <c r="JZ31" s="755">
        <v>280.8</v>
      </c>
      <c r="KA31" s="755">
        <v>266.8</v>
      </c>
      <c r="KB31" s="755">
        <v>172.3</v>
      </c>
      <c r="KC31" s="755">
        <v>1035.4000000000001</v>
      </c>
      <c r="KD31" s="755">
        <v>4259.2</v>
      </c>
      <c r="KE31" s="475">
        <v>95</v>
      </c>
      <c r="KF31" s="475">
        <v>61</v>
      </c>
      <c r="KG31" s="475" t="s">
        <v>721</v>
      </c>
      <c r="KH31" s="475" t="s">
        <v>721</v>
      </c>
      <c r="KI31" s="475" t="s">
        <v>721</v>
      </c>
      <c r="KJ31" s="475">
        <v>11</v>
      </c>
      <c r="KK31" s="475" t="s">
        <v>721</v>
      </c>
      <c r="KL31" s="475" t="s">
        <v>721</v>
      </c>
      <c r="KM31" s="475" t="s">
        <v>721</v>
      </c>
      <c r="KN31" s="475" t="s">
        <v>721</v>
      </c>
      <c r="KO31" s="475" t="s">
        <v>721</v>
      </c>
      <c r="KP31" s="475" t="s">
        <v>721</v>
      </c>
      <c r="KQ31" s="475" t="s">
        <v>721</v>
      </c>
      <c r="KR31" s="475" t="s">
        <v>721</v>
      </c>
      <c r="KS31" s="475" t="s">
        <v>721</v>
      </c>
      <c r="KT31" s="475" t="s">
        <v>721</v>
      </c>
      <c r="KU31" s="475" t="s">
        <v>721</v>
      </c>
      <c r="KV31" s="475" t="s">
        <v>721</v>
      </c>
      <c r="KW31" s="475" t="s">
        <v>721</v>
      </c>
      <c r="KX31" s="475">
        <v>54</v>
      </c>
      <c r="KY31" s="475">
        <v>127</v>
      </c>
      <c r="KZ31" s="475" t="s">
        <v>721</v>
      </c>
      <c r="LA31" s="475" t="s">
        <v>721</v>
      </c>
      <c r="LB31" s="475" t="s">
        <v>721</v>
      </c>
      <c r="LC31" s="475">
        <v>16</v>
      </c>
      <c r="LD31" s="475" t="s">
        <v>721</v>
      </c>
      <c r="LE31" s="475" t="s">
        <v>721</v>
      </c>
      <c r="LF31" s="475" t="s">
        <v>721</v>
      </c>
      <c r="LG31" s="475" t="s">
        <v>721</v>
      </c>
      <c r="LH31" s="475" t="s">
        <v>721</v>
      </c>
      <c r="LI31" s="475" t="s">
        <v>721</v>
      </c>
      <c r="LJ31" s="475" t="s">
        <v>721</v>
      </c>
      <c r="LK31" s="475" t="s">
        <v>721</v>
      </c>
      <c r="LL31" s="475" t="s">
        <v>721</v>
      </c>
      <c r="LM31" s="475" t="s">
        <v>721</v>
      </c>
      <c r="LN31" s="475" t="s">
        <v>721</v>
      </c>
      <c r="LO31" s="475" t="s">
        <v>721</v>
      </c>
      <c r="LP31" s="475" t="s">
        <v>721</v>
      </c>
      <c r="LQ31" s="475">
        <v>434</v>
      </c>
      <c r="LR31" s="475">
        <v>327</v>
      </c>
      <c r="LS31" s="475">
        <v>43</v>
      </c>
      <c r="LT31" s="475" t="s">
        <v>721</v>
      </c>
      <c r="LU31" s="475" t="s">
        <v>721</v>
      </c>
      <c r="LV31" s="475">
        <v>38</v>
      </c>
      <c r="LW31" s="475">
        <v>21</v>
      </c>
      <c r="LX31" s="475" t="s">
        <v>721</v>
      </c>
      <c r="LY31" s="475" t="s">
        <v>721</v>
      </c>
      <c r="LZ31" s="475" t="s">
        <v>721</v>
      </c>
      <c r="MA31" s="475" t="s">
        <v>721</v>
      </c>
      <c r="MB31" s="475" t="s">
        <v>721</v>
      </c>
      <c r="MC31" s="475" t="s">
        <v>721</v>
      </c>
      <c r="MD31" s="475" t="s">
        <v>721</v>
      </c>
      <c r="ME31" s="475" t="s">
        <v>721</v>
      </c>
      <c r="MF31" s="475" t="s">
        <v>721</v>
      </c>
      <c r="MG31" s="475" t="s">
        <v>721</v>
      </c>
      <c r="MH31" s="475" t="s">
        <v>721</v>
      </c>
      <c r="MI31" s="475">
        <v>22</v>
      </c>
      <c r="MJ31" s="475">
        <v>236</v>
      </c>
      <c r="MK31" s="475">
        <v>229</v>
      </c>
      <c r="ML31" s="475">
        <v>23</v>
      </c>
      <c r="MM31" s="475" t="s">
        <v>721</v>
      </c>
      <c r="MN31" s="475" t="s">
        <v>721</v>
      </c>
      <c r="MO31" s="475">
        <v>64</v>
      </c>
      <c r="MP31" s="475" t="s">
        <v>721</v>
      </c>
      <c r="MQ31" s="475" t="s">
        <v>721</v>
      </c>
      <c r="MR31" s="475" t="s">
        <v>721</v>
      </c>
      <c r="MS31" s="475" t="s">
        <v>721</v>
      </c>
      <c r="MT31" s="475" t="s">
        <v>721</v>
      </c>
      <c r="MU31" s="475" t="s">
        <v>721</v>
      </c>
      <c r="MV31" s="475" t="s">
        <v>721</v>
      </c>
      <c r="MW31" s="475">
        <v>14</v>
      </c>
      <c r="MX31" s="475" t="s">
        <v>721</v>
      </c>
      <c r="MY31" s="475" t="s">
        <v>721</v>
      </c>
      <c r="MZ31" s="475" t="s">
        <v>721</v>
      </c>
      <c r="NA31" s="475" t="s">
        <v>721</v>
      </c>
      <c r="NB31" s="475" t="s">
        <v>721</v>
      </c>
      <c r="NC31" s="476">
        <v>0.55900000000000005</v>
      </c>
      <c r="ND31" s="476">
        <v>0.441</v>
      </c>
      <c r="NE31" s="476">
        <v>0.44400000000000001</v>
      </c>
      <c r="NF31" s="476">
        <v>0.36499999999999999</v>
      </c>
      <c r="NG31" s="476">
        <v>4.3999999999999997E-2</v>
      </c>
      <c r="NH31" s="476">
        <v>8.9999999999999993E-3</v>
      </c>
      <c r="NI31" s="476" t="s">
        <v>721</v>
      </c>
      <c r="NJ31" s="476">
        <v>6.7000000000000004E-2</v>
      </c>
      <c r="NK31" s="476">
        <v>0.02</v>
      </c>
      <c r="NL31" s="476" t="s">
        <v>721</v>
      </c>
      <c r="NM31" s="476" t="s">
        <v>721</v>
      </c>
      <c r="NN31" s="476" t="s">
        <v>721</v>
      </c>
      <c r="NO31" s="476" t="s">
        <v>721</v>
      </c>
      <c r="NP31" s="476" t="s">
        <v>721</v>
      </c>
      <c r="NQ31" s="476" t="s">
        <v>721</v>
      </c>
      <c r="NR31" s="476">
        <v>1.4E-2</v>
      </c>
      <c r="NS31" s="476" t="s">
        <v>721</v>
      </c>
      <c r="NT31" s="476" t="s">
        <v>721</v>
      </c>
      <c r="NU31" s="476" t="s">
        <v>721</v>
      </c>
      <c r="NV31" s="476" t="s">
        <v>721</v>
      </c>
      <c r="NW31" s="476">
        <v>0.02</v>
      </c>
      <c r="NX31" s="476" t="s">
        <v>721</v>
      </c>
      <c r="NY31" s="476">
        <v>0.28100000000000003</v>
      </c>
      <c r="NZ31" s="476" t="s">
        <v>721</v>
      </c>
      <c r="OA31" s="476" t="s">
        <v>721</v>
      </c>
      <c r="OB31" s="476" t="s">
        <v>721</v>
      </c>
      <c r="OC31" s="476">
        <v>3.2000000000000001E-2</v>
      </c>
      <c r="OD31" s="476">
        <v>8.9999999999999993E-3</v>
      </c>
      <c r="OE31" s="476">
        <v>0.65300000000000002</v>
      </c>
      <c r="OF31" s="476" t="s">
        <v>721</v>
      </c>
      <c r="OG31" s="476" t="s">
        <v>721</v>
      </c>
      <c r="OH31" s="476" t="s">
        <v>721</v>
      </c>
      <c r="OI31" s="476" t="s">
        <v>721</v>
      </c>
      <c r="OJ31" s="476" t="s">
        <v>721</v>
      </c>
      <c r="OK31" s="476" t="s">
        <v>721</v>
      </c>
      <c r="OL31" s="476" t="s">
        <v>721</v>
      </c>
      <c r="OM31" s="476" t="s">
        <v>721</v>
      </c>
      <c r="ON31" s="476" t="s">
        <v>721</v>
      </c>
      <c r="OO31" s="476" t="s">
        <v>721</v>
      </c>
      <c r="OP31" s="476" t="s">
        <v>721</v>
      </c>
      <c r="OQ31" s="476" t="s">
        <v>721</v>
      </c>
      <c r="OR31" s="476" t="s">
        <v>721</v>
      </c>
      <c r="OS31" s="476" t="s">
        <v>721</v>
      </c>
      <c r="OT31" s="476" t="s">
        <v>721</v>
      </c>
      <c r="OU31" s="476" t="s">
        <v>721</v>
      </c>
      <c r="OV31" s="476" t="s">
        <v>721</v>
      </c>
      <c r="OW31" s="476" t="s">
        <v>721</v>
      </c>
      <c r="OX31" s="476" t="s">
        <v>721</v>
      </c>
      <c r="OY31" s="476" t="s">
        <v>721</v>
      </c>
      <c r="OZ31" s="476" t="s">
        <v>721</v>
      </c>
      <c r="PA31" s="476" t="s">
        <v>721</v>
      </c>
      <c r="PB31" s="476" t="s">
        <v>721</v>
      </c>
      <c r="PC31" s="476">
        <v>7.0000000000000001E-3</v>
      </c>
      <c r="PD31" s="476" t="s">
        <v>721</v>
      </c>
      <c r="PE31" s="476" t="s">
        <v>721</v>
      </c>
      <c r="PF31" s="476">
        <v>0.191</v>
      </c>
      <c r="PG31" s="476" t="s">
        <v>721</v>
      </c>
      <c r="PH31" s="476" t="s">
        <v>721</v>
      </c>
      <c r="PI31" s="476" t="s">
        <v>721</v>
      </c>
      <c r="PJ31" s="476">
        <v>1.4E-2</v>
      </c>
      <c r="PK31" s="476" t="s">
        <v>721</v>
      </c>
      <c r="PL31" s="476">
        <v>0.65200000000000002</v>
      </c>
      <c r="PM31" s="476">
        <v>0.128</v>
      </c>
      <c r="PN31" s="476" t="s">
        <v>721</v>
      </c>
      <c r="PO31" s="476" t="s">
        <v>721</v>
      </c>
      <c r="PP31" s="476" t="s">
        <v>721</v>
      </c>
      <c r="PQ31" s="476" t="s">
        <v>721</v>
      </c>
      <c r="PR31" s="476" t="s">
        <v>721</v>
      </c>
      <c r="PS31" s="476" t="s">
        <v>721</v>
      </c>
      <c r="PT31" s="476" t="s">
        <v>721</v>
      </c>
      <c r="PU31" s="476" t="s">
        <v>721</v>
      </c>
      <c r="PV31" s="476" t="s">
        <v>721</v>
      </c>
      <c r="PW31" s="476" t="s">
        <v>721</v>
      </c>
      <c r="PX31" s="476" t="s">
        <v>721</v>
      </c>
      <c r="PY31" s="476" t="s">
        <v>721</v>
      </c>
      <c r="PZ31" s="476" t="s">
        <v>721</v>
      </c>
      <c r="QA31" s="476" t="s">
        <v>721</v>
      </c>
      <c r="QB31" s="476" t="s">
        <v>721</v>
      </c>
      <c r="QC31" s="476" t="s">
        <v>721</v>
      </c>
      <c r="QD31" s="476" t="s">
        <v>721</v>
      </c>
      <c r="QE31" s="476" t="s">
        <v>721</v>
      </c>
      <c r="QF31" s="476" t="s">
        <v>721</v>
      </c>
      <c r="QG31" s="476" t="s">
        <v>721</v>
      </c>
      <c r="QH31" s="476" t="s">
        <v>721</v>
      </c>
      <c r="QI31" s="476" t="s">
        <v>721</v>
      </c>
      <c r="QJ31" s="476" t="s">
        <v>721</v>
      </c>
      <c r="QK31" s="476" t="s">
        <v>721</v>
      </c>
      <c r="QL31" s="476">
        <v>0.55000000000000004</v>
      </c>
      <c r="QM31" s="476" t="s">
        <v>721</v>
      </c>
      <c r="QN31" s="476" t="s">
        <v>721</v>
      </c>
      <c r="QO31" s="476" t="s">
        <v>721</v>
      </c>
      <c r="QP31" s="476" t="s">
        <v>721</v>
      </c>
      <c r="QQ31" s="476" t="s">
        <v>721</v>
      </c>
      <c r="QR31" s="476" t="s">
        <v>721</v>
      </c>
      <c r="QS31" s="476" t="s">
        <v>721</v>
      </c>
      <c r="QT31" s="476" t="s">
        <v>721</v>
      </c>
      <c r="QU31" s="476" t="s">
        <v>721</v>
      </c>
      <c r="QV31" s="476" t="s">
        <v>721</v>
      </c>
      <c r="QW31" s="476" t="s">
        <v>721</v>
      </c>
      <c r="QX31" s="476" t="s">
        <v>721</v>
      </c>
      <c r="QY31" s="476" t="s">
        <v>721</v>
      </c>
      <c r="QZ31" s="476" t="s">
        <v>721</v>
      </c>
      <c r="RA31" s="476" t="s">
        <v>721</v>
      </c>
      <c r="RB31" s="476" t="s">
        <v>721</v>
      </c>
      <c r="RC31" s="476" t="s">
        <v>721</v>
      </c>
      <c r="RD31" s="476" t="s">
        <v>721</v>
      </c>
      <c r="RE31" s="476" t="s">
        <v>721</v>
      </c>
      <c r="RF31" s="476" t="s">
        <v>721</v>
      </c>
      <c r="RG31" s="476" t="s">
        <v>721</v>
      </c>
      <c r="RH31" s="476" t="s">
        <v>721</v>
      </c>
      <c r="RI31" s="476" t="s">
        <v>721</v>
      </c>
      <c r="RJ31" s="476" t="s">
        <v>721</v>
      </c>
      <c r="RK31" s="476" t="s">
        <v>721</v>
      </c>
      <c r="RL31" s="476" t="s">
        <v>721</v>
      </c>
      <c r="RM31" s="476" t="s">
        <v>721</v>
      </c>
      <c r="RN31" s="476" t="s">
        <v>721</v>
      </c>
      <c r="RO31" s="476" t="s">
        <v>721</v>
      </c>
      <c r="RP31" s="476" t="s">
        <v>721</v>
      </c>
      <c r="RQ31" s="476" t="s">
        <v>721</v>
      </c>
      <c r="RR31" s="476" t="s">
        <v>721</v>
      </c>
      <c r="RS31" s="476" t="s">
        <v>721</v>
      </c>
      <c r="RT31" s="476" t="s">
        <v>721</v>
      </c>
      <c r="RU31" s="476" t="s">
        <v>721</v>
      </c>
      <c r="RV31" s="476" t="s">
        <v>721</v>
      </c>
      <c r="RW31" s="476" t="s">
        <v>721</v>
      </c>
      <c r="RX31" s="476">
        <v>0.45200000000000001</v>
      </c>
      <c r="RY31" s="476">
        <v>0.35699999999999998</v>
      </c>
      <c r="RZ31" s="476">
        <v>3.6999999999999998E-2</v>
      </c>
      <c r="SA31" s="476">
        <v>0.01</v>
      </c>
      <c r="SB31" s="476">
        <v>0</v>
      </c>
      <c r="SC31" s="476">
        <v>7.0999999999999994E-2</v>
      </c>
      <c r="SD31" s="476">
        <v>1.6E-2</v>
      </c>
      <c r="SE31" s="476" t="s">
        <v>721</v>
      </c>
      <c r="SF31" s="476">
        <v>5.0000000000000001E-3</v>
      </c>
      <c r="SG31" s="476">
        <v>1E-3</v>
      </c>
      <c r="SH31" s="476">
        <v>0</v>
      </c>
      <c r="SI31" s="476">
        <v>1E-3</v>
      </c>
      <c r="SJ31" s="476" t="s">
        <v>721</v>
      </c>
      <c r="SK31" s="476">
        <v>1.9E-2</v>
      </c>
      <c r="SL31" s="476">
        <v>1E-3</v>
      </c>
      <c r="SM31" s="476">
        <v>1E-3</v>
      </c>
      <c r="SN31" s="476">
        <v>1E-3</v>
      </c>
      <c r="SO31" s="476">
        <v>5.0000000000000001E-3</v>
      </c>
      <c r="SP31" s="476">
        <v>2.1999999999999999E-2</v>
      </c>
      <c r="SQ31" s="476">
        <v>0.497</v>
      </c>
      <c r="SR31" s="476">
        <v>0.31900000000000001</v>
      </c>
      <c r="SS31" s="476" t="s">
        <v>721</v>
      </c>
      <c r="ST31" s="476" t="s">
        <v>721</v>
      </c>
      <c r="SU31" s="476" t="s">
        <v>721</v>
      </c>
      <c r="SV31" s="476">
        <v>5.8000000000000003E-2</v>
      </c>
      <c r="SW31" s="476" t="s">
        <v>721</v>
      </c>
      <c r="SX31" s="476" t="s">
        <v>721</v>
      </c>
      <c r="SY31" s="476" t="s">
        <v>721</v>
      </c>
      <c r="SZ31" s="476" t="s">
        <v>721</v>
      </c>
      <c r="TA31" s="476" t="s">
        <v>721</v>
      </c>
      <c r="TB31" s="476" t="s">
        <v>721</v>
      </c>
      <c r="TC31" s="476" t="s">
        <v>721</v>
      </c>
      <c r="TD31" s="476" t="s">
        <v>721</v>
      </c>
      <c r="TE31" s="476" t="s">
        <v>721</v>
      </c>
      <c r="TF31" s="476" t="s">
        <v>721</v>
      </c>
      <c r="TG31" s="476" t="s">
        <v>721</v>
      </c>
      <c r="TH31" s="476" t="s">
        <v>721</v>
      </c>
      <c r="TI31" s="476" t="s">
        <v>721</v>
      </c>
      <c r="TJ31" s="476">
        <v>0.255</v>
      </c>
      <c r="TK31" s="476">
        <v>0.59899999999999998</v>
      </c>
      <c r="TL31" s="476" t="s">
        <v>721</v>
      </c>
      <c r="TM31" s="476" t="s">
        <v>721</v>
      </c>
      <c r="TN31" s="476" t="s">
        <v>721</v>
      </c>
      <c r="TO31" s="476">
        <v>7.4999999999999997E-2</v>
      </c>
      <c r="TP31" s="476" t="s">
        <v>721</v>
      </c>
      <c r="TQ31" s="476" t="s">
        <v>721</v>
      </c>
      <c r="TR31" s="476" t="s">
        <v>721</v>
      </c>
      <c r="TS31" s="476" t="s">
        <v>721</v>
      </c>
      <c r="TT31" s="476" t="s">
        <v>721</v>
      </c>
      <c r="TU31" s="476" t="s">
        <v>721</v>
      </c>
      <c r="TV31" s="476" t="s">
        <v>721</v>
      </c>
      <c r="TW31" s="476" t="s">
        <v>721</v>
      </c>
      <c r="TX31" s="476" t="s">
        <v>721</v>
      </c>
      <c r="TY31" s="476" t="s">
        <v>721</v>
      </c>
      <c r="TZ31" s="476" t="s">
        <v>721</v>
      </c>
      <c r="UA31" s="476" t="s">
        <v>721</v>
      </c>
      <c r="UB31" s="476" t="s">
        <v>721</v>
      </c>
      <c r="UC31" s="476">
        <v>0.47199999999999998</v>
      </c>
      <c r="UD31" s="476">
        <v>0.35499999999999998</v>
      </c>
      <c r="UE31" s="476">
        <v>4.7E-2</v>
      </c>
      <c r="UF31" s="476" t="s">
        <v>721</v>
      </c>
      <c r="UG31" s="476" t="s">
        <v>721</v>
      </c>
      <c r="UH31" s="476">
        <v>4.1000000000000002E-2</v>
      </c>
      <c r="UI31" s="476">
        <v>2.3E-2</v>
      </c>
      <c r="UJ31" s="476" t="s">
        <v>721</v>
      </c>
      <c r="UK31" s="476" t="s">
        <v>721</v>
      </c>
      <c r="UL31" s="476" t="s">
        <v>721</v>
      </c>
      <c r="UM31" s="476" t="s">
        <v>721</v>
      </c>
      <c r="UN31" s="476" t="s">
        <v>721</v>
      </c>
      <c r="UO31" s="476" t="s">
        <v>721</v>
      </c>
      <c r="UP31" s="476" t="s">
        <v>721</v>
      </c>
      <c r="UQ31" s="476" t="s">
        <v>721</v>
      </c>
      <c r="UR31" s="476" t="s">
        <v>721</v>
      </c>
      <c r="US31" s="476" t="s">
        <v>721</v>
      </c>
      <c r="UT31" s="476" t="s">
        <v>721</v>
      </c>
      <c r="UU31" s="476">
        <v>2.4E-2</v>
      </c>
      <c r="UV31" s="476">
        <v>0.39600000000000002</v>
      </c>
      <c r="UW31" s="476">
        <v>0.38400000000000001</v>
      </c>
      <c r="UX31" s="476">
        <v>3.9E-2</v>
      </c>
      <c r="UY31" s="476" t="s">
        <v>721</v>
      </c>
      <c r="UZ31" s="476" t="s">
        <v>721</v>
      </c>
      <c r="VA31" s="476">
        <v>0.107</v>
      </c>
      <c r="VB31" s="476" t="s">
        <v>721</v>
      </c>
      <c r="VC31" s="476" t="s">
        <v>721</v>
      </c>
      <c r="VD31" s="476" t="s">
        <v>721</v>
      </c>
      <c r="VE31" s="476" t="s">
        <v>721</v>
      </c>
      <c r="VF31" s="476" t="s">
        <v>721</v>
      </c>
      <c r="VG31" s="476" t="s">
        <v>721</v>
      </c>
      <c r="VH31" s="476" t="s">
        <v>721</v>
      </c>
      <c r="VI31" s="476">
        <v>2.3E-2</v>
      </c>
      <c r="VJ31" s="476" t="s">
        <v>721</v>
      </c>
      <c r="VK31" s="476" t="s">
        <v>721</v>
      </c>
      <c r="VL31" s="476" t="s">
        <v>721</v>
      </c>
      <c r="VM31" s="476" t="s">
        <v>721</v>
      </c>
      <c r="VN31" s="476" t="s">
        <v>721</v>
      </c>
      <c r="VO31" s="28"/>
      <c r="VP31" s="28"/>
      <c r="VQ31" s="28"/>
      <c r="VR31" s="28"/>
      <c r="VS31" s="28"/>
      <c r="VT31" s="28"/>
      <c r="VU31" s="28"/>
      <c r="VV31" s="28"/>
      <c r="VW31" s="28"/>
      <c r="VX31" s="28"/>
      <c r="VY31" s="28"/>
      <c r="VZ31" s="28"/>
      <c r="WA31" s="28"/>
      <c r="WB31" s="28"/>
      <c r="WC31" s="28"/>
      <c r="WD31" s="28"/>
      <c r="WE31" s="28"/>
      <c r="WF31" s="28"/>
      <c r="WG31" s="28"/>
      <c r="WH31" s="28"/>
      <c r="WI31" s="28"/>
      <c r="WJ31" s="28"/>
      <c r="WK31" s="28"/>
      <c r="WL31" s="28"/>
      <c r="WM31" s="28"/>
      <c r="WN31" s="28"/>
      <c r="WO31" s="28"/>
      <c r="WP31" s="28"/>
      <c r="WQ31" s="28"/>
      <c r="WR31" s="28"/>
      <c r="WS31" s="28"/>
      <c r="WT31" s="28"/>
      <c r="WU31" s="28"/>
      <c r="WV31" s="28"/>
      <c r="WW31" s="28"/>
    </row>
    <row r="32" spans="1:621" s="151" customFormat="1" ht="15.75" customHeight="1" x14ac:dyDescent="0.35">
      <c r="A32" s="477" t="s">
        <v>42</v>
      </c>
      <c r="B32" s="492" t="s">
        <v>15</v>
      </c>
      <c r="C32" s="493">
        <v>16</v>
      </c>
      <c r="D32" s="494">
        <v>982</v>
      </c>
      <c r="E32" s="473">
        <v>112227.8</v>
      </c>
      <c r="F32" s="473">
        <v>114.3</v>
      </c>
      <c r="G32" s="474">
        <v>954</v>
      </c>
      <c r="H32" s="474">
        <v>956</v>
      </c>
      <c r="I32" s="474">
        <v>714</v>
      </c>
      <c r="J32" s="474">
        <v>525</v>
      </c>
      <c r="K32" s="474">
        <v>223</v>
      </c>
      <c r="L32" s="473">
        <v>40933</v>
      </c>
      <c r="M32" s="474">
        <v>752</v>
      </c>
      <c r="N32" s="473">
        <v>71294.8</v>
      </c>
      <c r="O32" s="494">
        <v>152</v>
      </c>
      <c r="P32" s="495">
        <v>27421.8</v>
      </c>
      <c r="Q32" s="494">
        <v>98</v>
      </c>
      <c r="R32" s="495">
        <v>4968.8</v>
      </c>
      <c r="S32" s="494">
        <v>205</v>
      </c>
      <c r="T32" s="495">
        <v>17627.900000000001</v>
      </c>
      <c r="U32" s="494">
        <v>13</v>
      </c>
      <c r="V32" s="495">
        <v>1392.7</v>
      </c>
      <c r="W32" s="494">
        <v>764</v>
      </c>
      <c r="X32" s="495">
        <v>93207.2</v>
      </c>
      <c r="Y32" s="494">
        <v>967</v>
      </c>
      <c r="Z32" s="494">
        <v>489</v>
      </c>
      <c r="AA32" s="494">
        <v>571</v>
      </c>
      <c r="AB32" s="494">
        <v>407</v>
      </c>
      <c r="AC32" s="494">
        <v>58</v>
      </c>
      <c r="AD32" s="494">
        <v>285</v>
      </c>
      <c r="AE32" s="494">
        <v>421</v>
      </c>
      <c r="AF32" s="495">
        <v>27812.799999999999</v>
      </c>
      <c r="AG32" s="494">
        <v>518</v>
      </c>
      <c r="AH32" s="495">
        <v>82305.600000000006</v>
      </c>
      <c r="AI32" s="494">
        <v>26</v>
      </c>
      <c r="AJ32" s="495">
        <v>1193.2</v>
      </c>
      <c r="AK32" s="494">
        <v>10</v>
      </c>
      <c r="AL32" s="495">
        <v>916.2</v>
      </c>
      <c r="AM32" s="496">
        <v>559</v>
      </c>
      <c r="AN32" s="496">
        <v>423</v>
      </c>
      <c r="AO32" s="496">
        <v>856</v>
      </c>
      <c r="AP32" s="496">
        <v>48</v>
      </c>
      <c r="AQ32" s="496" t="s">
        <v>721</v>
      </c>
      <c r="AR32" s="496" t="s">
        <v>721</v>
      </c>
      <c r="AS32" s="496" t="s">
        <v>721</v>
      </c>
      <c r="AT32" s="496" t="s">
        <v>721</v>
      </c>
      <c r="AU32" s="496">
        <v>29</v>
      </c>
      <c r="AV32" s="496" t="s">
        <v>721</v>
      </c>
      <c r="AW32" s="496" t="s">
        <v>721</v>
      </c>
      <c r="AX32" s="496" t="s">
        <v>721</v>
      </c>
      <c r="AY32" s="496" t="s">
        <v>721</v>
      </c>
      <c r="AZ32" s="496" t="s">
        <v>721</v>
      </c>
      <c r="BA32" s="496" t="s">
        <v>721</v>
      </c>
      <c r="BB32" s="496" t="s">
        <v>721</v>
      </c>
      <c r="BC32" s="496" t="s">
        <v>721</v>
      </c>
      <c r="BD32" s="496" t="s">
        <v>721</v>
      </c>
      <c r="BE32" s="496" t="s">
        <v>721</v>
      </c>
      <c r="BF32" s="496" t="s">
        <v>721</v>
      </c>
      <c r="BG32" s="496">
        <v>20</v>
      </c>
      <c r="BH32" s="496" t="s">
        <v>721</v>
      </c>
      <c r="BI32" s="496">
        <v>15</v>
      </c>
      <c r="BJ32" s="496" t="s">
        <v>721</v>
      </c>
      <c r="BK32" s="496" t="s">
        <v>721</v>
      </c>
      <c r="BL32" s="496" t="s">
        <v>721</v>
      </c>
      <c r="BM32" s="496" t="s">
        <v>721</v>
      </c>
      <c r="BN32" s="496" t="s">
        <v>721</v>
      </c>
      <c r="BO32" s="496">
        <v>953</v>
      </c>
      <c r="BP32" s="496" t="s">
        <v>721</v>
      </c>
      <c r="BQ32" s="496" t="s">
        <v>721</v>
      </c>
      <c r="BR32" s="496" t="s">
        <v>721</v>
      </c>
      <c r="BS32" s="496" t="s">
        <v>721</v>
      </c>
      <c r="BT32" s="496" t="s">
        <v>721</v>
      </c>
      <c r="BU32" s="496" t="s">
        <v>721</v>
      </c>
      <c r="BV32" s="496" t="s">
        <v>721</v>
      </c>
      <c r="BW32" s="496" t="s">
        <v>721</v>
      </c>
      <c r="BX32" s="496" t="s">
        <v>721</v>
      </c>
      <c r="BY32" s="496" t="s">
        <v>721</v>
      </c>
      <c r="BZ32" s="496" t="s">
        <v>721</v>
      </c>
      <c r="CA32" s="496" t="s">
        <v>721</v>
      </c>
      <c r="CB32" s="496" t="s">
        <v>721</v>
      </c>
      <c r="CC32" s="496" t="s">
        <v>721</v>
      </c>
      <c r="CD32" s="496" t="s">
        <v>721</v>
      </c>
      <c r="CE32" s="496" t="s">
        <v>721</v>
      </c>
      <c r="CF32" s="496" t="s">
        <v>721</v>
      </c>
      <c r="CG32" s="496" t="s">
        <v>721</v>
      </c>
      <c r="CH32" s="496" t="s">
        <v>721</v>
      </c>
      <c r="CI32" s="496" t="s">
        <v>721</v>
      </c>
      <c r="CJ32" s="496" t="s">
        <v>721</v>
      </c>
      <c r="CK32" s="496" t="s">
        <v>721</v>
      </c>
      <c r="CL32" s="496" t="s">
        <v>721</v>
      </c>
      <c r="CM32" s="496" t="s">
        <v>721</v>
      </c>
      <c r="CN32" s="496" t="s">
        <v>721</v>
      </c>
      <c r="CO32" s="496" t="s">
        <v>721</v>
      </c>
      <c r="CP32" s="496">
        <v>11</v>
      </c>
      <c r="CQ32" s="496" t="s">
        <v>721</v>
      </c>
      <c r="CR32" s="496" t="s">
        <v>721</v>
      </c>
      <c r="CS32" s="496" t="s">
        <v>721</v>
      </c>
      <c r="CT32" s="496" t="s">
        <v>721</v>
      </c>
      <c r="CU32" s="496" t="s">
        <v>721</v>
      </c>
      <c r="CV32" s="496">
        <v>931</v>
      </c>
      <c r="CW32" s="496">
        <v>19</v>
      </c>
      <c r="CX32" s="496" t="s">
        <v>721</v>
      </c>
      <c r="CY32" s="496" t="s">
        <v>721</v>
      </c>
      <c r="CZ32" s="496" t="s">
        <v>721</v>
      </c>
      <c r="DA32" s="496" t="s">
        <v>721</v>
      </c>
      <c r="DB32" s="496" t="s">
        <v>721</v>
      </c>
      <c r="DC32" s="496" t="s">
        <v>721</v>
      </c>
      <c r="DD32" s="496" t="s">
        <v>721</v>
      </c>
      <c r="DE32" s="496" t="s">
        <v>721</v>
      </c>
      <c r="DF32" s="496" t="s">
        <v>721</v>
      </c>
      <c r="DG32" s="496" t="s">
        <v>721</v>
      </c>
      <c r="DH32" s="496" t="s">
        <v>721</v>
      </c>
      <c r="DI32" s="496" t="s">
        <v>721</v>
      </c>
      <c r="DJ32" s="496" t="s">
        <v>721</v>
      </c>
      <c r="DK32" s="496" t="s">
        <v>721</v>
      </c>
      <c r="DL32" s="496" t="s">
        <v>721</v>
      </c>
      <c r="DM32" s="496" t="s">
        <v>721</v>
      </c>
      <c r="DN32" s="496" t="s">
        <v>721</v>
      </c>
      <c r="DO32" s="496" t="s">
        <v>721</v>
      </c>
      <c r="DP32" s="496" t="s">
        <v>721</v>
      </c>
      <c r="DQ32" s="496" t="s">
        <v>721</v>
      </c>
      <c r="DR32" s="496" t="s">
        <v>721</v>
      </c>
      <c r="DS32" s="483" t="s">
        <v>721</v>
      </c>
      <c r="DT32" s="483" t="s">
        <v>721</v>
      </c>
      <c r="DU32" s="483" t="s">
        <v>721</v>
      </c>
      <c r="DV32" s="496">
        <v>99</v>
      </c>
      <c r="DW32" s="497">
        <v>19406.3</v>
      </c>
      <c r="DX32" s="496">
        <v>234</v>
      </c>
      <c r="DY32" s="497">
        <v>34154.199999999997</v>
      </c>
      <c r="DZ32" s="496">
        <v>239</v>
      </c>
      <c r="EA32" s="497">
        <v>23071.200000000001</v>
      </c>
      <c r="EB32" s="496">
        <v>214</v>
      </c>
      <c r="EC32" s="497">
        <v>17718.7</v>
      </c>
      <c r="ED32" s="496">
        <v>135</v>
      </c>
      <c r="EE32" s="497">
        <v>11773.1</v>
      </c>
      <c r="EF32" s="496">
        <v>61</v>
      </c>
      <c r="EG32" s="497">
        <v>6104.3</v>
      </c>
      <c r="EH32" s="485">
        <v>822</v>
      </c>
      <c r="EI32" s="486">
        <v>3073.7</v>
      </c>
      <c r="EJ32" s="485">
        <v>817</v>
      </c>
      <c r="EK32" s="486">
        <v>16871.3</v>
      </c>
      <c r="EL32" s="485">
        <v>814</v>
      </c>
      <c r="EM32" s="486">
        <v>7310.2</v>
      </c>
      <c r="EN32" s="485">
        <v>835</v>
      </c>
      <c r="EO32" s="486">
        <v>4000.5</v>
      </c>
      <c r="EP32" s="485">
        <v>824</v>
      </c>
      <c r="EQ32" s="486">
        <v>2628.9</v>
      </c>
      <c r="ER32" s="485">
        <v>821</v>
      </c>
      <c r="ES32" s="486">
        <v>1691.7</v>
      </c>
      <c r="ET32" s="485">
        <v>0</v>
      </c>
      <c r="EU32" s="485">
        <v>543</v>
      </c>
      <c r="EV32" s="486">
        <v>8418.6</v>
      </c>
      <c r="EW32" s="485">
        <v>119</v>
      </c>
      <c r="EX32" s="486">
        <v>599.6</v>
      </c>
      <c r="EY32" s="485">
        <v>215</v>
      </c>
      <c r="EZ32" s="486">
        <v>2924.5</v>
      </c>
      <c r="FA32" s="485">
        <v>99</v>
      </c>
      <c r="FB32" s="486">
        <v>984.4</v>
      </c>
      <c r="FC32" s="485">
        <v>781</v>
      </c>
      <c r="FD32" s="486">
        <v>9286</v>
      </c>
      <c r="FE32" s="485">
        <v>730</v>
      </c>
      <c r="FF32" s="486">
        <v>5550.9</v>
      </c>
      <c r="FG32" s="485">
        <v>272</v>
      </c>
      <c r="FH32" s="486">
        <v>3303.8</v>
      </c>
      <c r="FI32" s="485">
        <v>490</v>
      </c>
      <c r="FJ32" s="486">
        <v>2972.6</v>
      </c>
      <c r="FK32" s="485">
        <v>627</v>
      </c>
      <c r="FL32" s="486">
        <v>2150.6</v>
      </c>
      <c r="FM32" s="485">
        <v>63</v>
      </c>
      <c r="FN32" s="486">
        <v>155.69999999999999</v>
      </c>
      <c r="FO32" s="485">
        <v>666</v>
      </c>
      <c r="FP32" s="486">
        <v>5023.8</v>
      </c>
      <c r="FQ32" s="485">
        <v>749</v>
      </c>
      <c r="FR32" s="486">
        <v>2608.1</v>
      </c>
      <c r="FS32" s="485">
        <v>29</v>
      </c>
      <c r="FT32" s="486">
        <v>282.3</v>
      </c>
      <c r="FU32" s="485">
        <v>0</v>
      </c>
      <c r="FV32" s="486">
        <v>0</v>
      </c>
      <c r="FW32" s="485">
        <v>0</v>
      </c>
      <c r="FX32" s="486">
        <v>0</v>
      </c>
      <c r="FY32" s="485">
        <v>0</v>
      </c>
      <c r="FZ32" s="486">
        <v>0</v>
      </c>
      <c r="GA32" s="485">
        <v>0</v>
      </c>
      <c r="GB32" s="485">
        <v>0</v>
      </c>
      <c r="GC32" s="487">
        <v>0</v>
      </c>
      <c r="GD32" s="488">
        <v>8</v>
      </c>
      <c r="GE32" s="488">
        <v>20</v>
      </c>
      <c r="GF32" s="488">
        <v>197</v>
      </c>
      <c r="GG32" s="488">
        <v>1</v>
      </c>
      <c r="GH32" s="488">
        <v>1</v>
      </c>
      <c r="GI32" s="488">
        <v>1</v>
      </c>
      <c r="GJ32" s="488">
        <v>0</v>
      </c>
      <c r="GK32" s="488">
        <v>143</v>
      </c>
      <c r="GL32" s="488">
        <v>79</v>
      </c>
      <c r="GM32" s="488">
        <v>225</v>
      </c>
      <c r="GN32" s="488">
        <v>10</v>
      </c>
      <c r="GO32" s="488">
        <v>46</v>
      </c>
      <c r="GP32" s="488">
        <v>0</v>
      </c>
      <c r="GQ32" s="488">
        <v>16</v>
      </c>
      <c r="GR32" s="488">
        <v>4</v>
      </c>
      <c r="GS32" s="488">
        <v>20</v>
      </c>
      <c r="GT32" s="489">
        <v>687</v>
      </c>
      <c r="GU32" s="488">
        <v>0</v>
      </c>
      <c r="GV32" s="490">
        <v>0</v>
      </c>
      <c r="GW32" s="490">
        <v>1</v>
      </c>
      <c r="GX32" s="490">
        <v>1</v>
      </c>
      <c r="GY32" s="491">
        <v>3</v>
      </c>
      <c r="GZ32" s="491">
        <v>3</v>
      </c>
      <c r="HA32" s="491">
        <v>6</v>
      </c>
      <c r="HB32" s="475">
        <v>0</v>
      </c>
      <c r="HC32" s="475">
        <v>0</v>
      </c>
      <c r="HD32" s="475">
        <v>0</v>
      </c>
      <c r="HE32" s="475">
        <v>0</v>
      </c>
      <c r="HF32" s="475">
        <v>0</v>
      </c>
      <c r="HG32" s="475">
        <v>0</v>
      </c>
      <c r="HH32" s="475">
        <v>0</v>
      </c>
      <c r="HI32" s="475">
        <v>0</v>
      </c>
      <c r="HJ32" s="475">
        <v>0</v>
      </c>
      <c r="HK32" s="475">
        <v>0</v>
      </c>
      <c r="HL32" s="475">
        <v>0</v>
      </c>
      <c r="HM32" s="475">
        <v>0</v>
      </c>
      <c r="HN32" s="475">
        <v>0</v>
      </c>
      <c r="HO32" s="475">
        <v>0</v>
      </c>
      <c r="HP32" s="475">
        <v>0</v>
      </c>
      <c r="HQ32" s="475">
        <v>0</v>
      </c>
      <c r="HR32" s="475">
        <v>3</v>
      </c>
      <c r="HS32" s="475">
        <v>0</v>
      </c>
      <c r="HT32" s="475">
        <v>0</v>
      </c>
      <c r="HU32" s="475">
        <v>0</v>
      </c>
      <c r="HV32" s="475">
        <v>0</v>
      </c>
      <c r="HW32" s="475">
        <v>0</v>
      </c>
      <c r="HX32" s="475">
        <v>0</v>
      </c>
      <c r="HY32" s="475">
        <v>0</v>
      </c>
      <c r="HZ32" s="475">
        <v>40</v>
      </c>
      <c r="IA32" s="475" t="s">
        <v>721</v>
      </c>
      <c r="IB32" s="475" t="s">
        <v>721</v>
      </c>
      <c r="IC32" s="475" t="s">
        <v>721</v>
      </c>
      <c r="ID32" s="475" t="s">
        <v>721</v>
      </c>
      <c r="IE32" s="475" t="s">
        <v>721</v>
      </c>
      <c r="IF32" s="475" t="s">
        <v>721</v>
      </c>
      <c r="IG32" s="475" t="s">
        <v>721</v>
      </c>
      <c r="IH32" s="475" t="s">
        <v>721</v>
      </c>
      <c r="II32" s="475" t="s">
        <v>721</v>
      </c>
      <c r="IJ32" s="475" t="s">
        <v>721</v>
      </c>
      <c r="IK32" s="475" t="s">
        <v>721</v>
      </c>
      <c r="IL32" s="475" t="s">
        <v>721</v>
      </c>
      <c r="IM32" s="475" t="s">
        <v>721</v>
      </c>
      <c r="IN32" s="475" t="s">
        <v>721</v>
      </c>
      <c r="IO32" s="475" t="s">
        <v>721</v>
      </c>
      <c r="IP32" s="475" t="s">
        <v>721</v>
      </c>
      <c r="IQ32" s="475" t="s">
        <v>721</v>
      </c>
      <c r="IR32" s="475" t="s">
        <v>721</v>
      </c>
      <c r="IS32" s="475">
        <v>19</v>
      </c>
      <c r="IT32" s="475" t="s">
        <v>721</v>
      </c>
      <c r="IU32" s="475" t="s">
        <v>721</v>
      </c>
      <c r="IV32" s="475" t="s">
        <v>721</v>
      </c>
      <c r="IW32" s="475" t="s">
        <v>721</v>
      </c>
      <c r="IX32" s="475" t="s">
        <v>721</v>
      </c>
      <c r="IY32" s="475" t="s">
        <v>721</v>
      </c>
      <c r="IZ32" s="475" t="s">
        <v>721</v>
      </c>
      <c r="JA32" s="475" t="s">
        <v>721</v>
      </c>
      <c r="JB32" s="475" t="s">
        <v>721</v>
      </c>
      <c r="JC32" s="475" t="s">
        <v>721</v>
      </c>
      <c r="JD32" s="475" t="s">
        <v>721</v>
      </c>
      <c r="JE32" s="475" t="s">
        <v>721</v>
      </c>
      <c r="JF32" s="475" t="s">
        <v>721</v>
      </c>
      <c r="JG32" s="475" t="s">
        <v>721</v>
      </c>
      <c r="JH32" s="475" t="s">
        <v>721</v>
      </c>
      <c r="JI32" s="475" t="s">
        <v>721</v>
      </c>
      <c r="JJ32" s="475" t="s">
        <v>721</v>
      </c>
      <c r="JK32" s="475" t="s">
        <v>721</v>
      </c>
      <c r="JL32" s="755">
        <v>97453.4</v>
      </c>
      <c r="JM32" s="755">
        <v>5948.9</v>
      </c>
      <c r="JN32" s="755">
        <v>1042</v>
      </c>
      <c r="JO32" s="755">
        <v>352</v>
      </c>
      <c r="JP32" s="755">
        <v>780.8</v>
      </c>
      <c r="JQ32" s="755" t="s">
        <v>721</v>
      </c>
      <c r="JR32" s="755">
        <v>2498.8000000000002</v>
      </c>
      <c r="JS32" s="755" t="s">
        <v>721</v>
      </c>
      <c r="JT32" s="755">
        <v>1132</v>
      </c>
      <c r="JU32" s="755">
        <v>280</v>
      </c>
      <c r="JV32" s="755">
        <v>283</v>
      </c>
      <c r="JW32" s="755" t="s">
        <v>721</v>
      </c>
      <c r="JX32" s="755" t="s">
        <v>721</v>
      </c>
      <c r="JY32" s="755">
        <v>76.3</v>
      </c>
      <c r="JZ32" s="755">
        <v>61.6</v>
      </c>
      <c r="KA32" s="755" t="s">
        <v>721</v>
      </c>
      <c r="KB32" s="755">
        <v>70.7</v>
      </c>
      <c r="KC32" s="755">
        <v>101</v>
      </c>
      <c r="KD32" s="755">
        <v>2147.3000000000002</v>
      </c>
      <c r="KE32" s="475">
        <v>127</v>
      </c>
      <c r="KF32" s="475" t="s">
        <v>721</v>
      </c>
      <c r="KG32" s="475" t="s">
        <v>721</v>
      </c>
      <c r="KH32" s="475" t="s">
        <v>721</v>
      </c>
      <c r="KI32" s="475" t="s">
        <v>721</v>
      </c>
      <c r="KJ32" s="475" t="s">
        <v>721</v>
      </c>
      <c r="KK32" s="475" t="s">
        <v>721</v>
      </c>
      <c r="KL32" s="475" t="s">
        <v>721</v>
      </c>
      <c r="KM32" s="475" t="s">
        <v>721</v>
      </c>
      <c r="KN32" s="475" t="s">
        <v>721</v>
      </c>
      <c r="KO32" s="475" t="s">
        <v>721</v>
      </c>
      <c r="KP32" s="475" t="s">
        <v>721</v>
      </c>
      <c r="KQ32" s="475" t="s">
        <v>721</v>
      </c>
      <c r="KR32" s="475" t="s">
        <v>721</v>
      </c>
      <c r="KS32" s="475" t="s">
        <v>721</v>
      </c>
      <c r="KT32" s="475" t="s">
        <v>721</v>
      </c>
      <c r="KU32" s="475" t="s">
        <v>721</v>
      </c>
      <c r="KV32" s="475" t="s">
        <v>721</v>
      </c>
      <c r="KW32" s="475" t="s">
        <v>721</v>
      </c>
      <c r="KX32" s="475">
        <v>87</v>
      </c>
      <c r="KY32" s="475" t="s">
        <v>721</v>
      </c>
      <c r="KZ32" s="475" t="s">
        <v>721</v>
      </c>
      <c r="LA32" s="475" t="s">
        <v>721</v>
      </c>
      <c r="LB32" s="475" t="s">
        <v>721</v>
      </c>
      <c r="LC32" s="475" t="s">
        <v>721</v>
      </c>
      <c r="LD32" s="475" t="s">
        <v>721</v>
      </c>
      <c r="LE32" s="475" t="s">
        <v>721</v>
      </c>
      <c r="LF32" s="475" t="s">
        <v>721</v>
      </c>
      <c r="LG32" s="475" t="s">
        <v>721</v>
      </c>
      <c r="LH32" s="475" t="s">
        <v>721</v>
      </c>
      <c r="LI32" s="475" t="s">
        <v>721</v>
      </c>
      <c r="LJ32" s="475" t="s">
        <v>721</v>
      </c>
      <c r="LK32" s="475" t="s">
        <v>721</v>
      </c>
      <c r="LL32" s="475" t="s">
        <v>721</v>
      </c>
      <c r="LM32" s="475" t="s">
        <v>721</v>
      </c>
      <c r="LN32" s="475" t="s">
        <v>721</v>
      </c>
      <c r="LO32" s="475" t="s">
        <v>721</v>
      </c>
      <c r="LP32" s="475" t="s">
        <v>721</v>
      </c>
      <c r="LQ32" s="475">
        <v>654</v>
      </c>
      <c r="LR32" s="475">
        <v>32</v>
      </c>
      <c r="LS32" s="475" t="s">
        <v>721</v>
      </c>
      <c r="LT32" s="475" t="s">
        <v>721</v>
      </c>
      <c r="LU32" s="475" t="s">
        <v>721</v>
      </c>
      <c r="LV32" s="475" t="s">
        <v>721</v>
      </c>
      <c r="LW32" s="475">
        <v>24</v>
      </c>
      <c r="LX32" s="475" t="s">
        <v>721</v>
      </c>
      <c r="LY32" s="475" t="s">
        <v>721</v>
      </c>
      <c r="LZ32" s="475" t="s">
        <v>721</v>
      </c>
      <c r="MA32" s="475" t="s">
        <v>721</v>
      </c>
      <c r="MB32" s="475" t="s">
        <v>721</v>
      </c>
      <c r="MC32" s="475" t="s">
        <v>721</v>
      </c>
      <c r="MD32" s="475" t="s">
        <v>721</v>
      </c>
      <c r="ME32" s="475" t="s">
        <v>721</v>
      </c>
      <c r="MF32" s="475" t="s">
        <v>721</v>
      </c>
      <c r="MG32" s="475" t="s">
        <v>721</v>
      </c>
      <c r="MH32" s="475" t="s">
        <v>721</v>
      </c>
      <c r="MI32" s="475">
        <v>16</v>
      </c>
      <c r="MJ32" s="475">
        <v>197</v>
      </c>
      <c r="MK32" s="475">
        <v>16</v>
      </c>
      <c r="ML32" s="475" t="s">
        <v>721</v>
      </c>
      <c r="MM32" s="475" t="s">
        <v>721</v>
      </c>
      <c r="MN32" s="475" t="s">
        <v>721</v>
      </c>
      <c r="MO32" s="475" t="s">
        <v>721</v>
      </c>
      <c r="MP32" s="475" t="s">
        <v>721</v>
      </c>
      <c r="MQ32" s="475" t="s">
        <v>721</v>
      </c>
      <c r="MR32" s="475" t="s">
        <v>721</v>
      </c>
      <c r="MS32" s="475" t="s">
        <v>721</v>
      </c>
      <c r="MT32" s="475" t="s">
        <v>721</v>
      </c>
      <c r="MU32" s="475" t="s">
        <v>721</v>
      </c>
      <c r="MV32" s="475" t="s">
        <v>721</v>
      </c>
      <c r="MW32" s="475" t="s">
        <v>721</v>
      </c>
      <c r="MX32" s="475" t="s">
        <v>721</v>
      </c>
      <c r="MY32" s="475" t="s">
        <v>721</v>
      </c>
      <c r="MZ32" s="475" t="s">
        <v>721</v>
      </c>
      <c r="NA32" s="475" t="s">
        <v>721</v>
      </c>
      <c r="NB32" s="475" t="s">
        <v>721</v>
      </c>
      <c r="NC32" s="476">
        <v>0.56899999999999995</v>
      </c>
      <c r="ND32" s="476">
        <v>0.43099999999999999</v>
      </c>
      <c r="NE32" s="476">
        <v>0.872</v>
      </c>
      <c r="NF32" s="476">
        <v>4.9000000000000002E-2</v>
      </c>
      <c r="NG32" s="476" t="s">
        <v>721</v>
      </c>
      <c r="NH32" s="476" t="s">
        <v>721</v>
      </c>
      <c r="NI32" s="476" t="s">
        <v>721</v>
      </c>
      <c r="NJ32" s="476" t="s">
        <v>721</v>
      </c>
      <c r="NK32" s="476">
        <v>0.03</v>
      </c>
      <c r="NL32" s="476" t="s">
        <v>721</v>
      </c>
      <c r="NM32" s="476" t="s">
        <v>721</v>
      </c>
      <c r="NN32" s="476" t="s">
        <v>721</v>
      </c>
      <c r="NO32" s="476" t="s">
        <v>721</v>
      </c>
      <c r="NP32" s="476" t="s">
        <v>721</v>
      </c>
      <c r="NQ32" s="476" t="s">
        <v>721</v>
      </c>
      <c r="NR32" s="476" t="s">
        <v>721</v>
      </c>
      <c r="NS32" s="476" t="s">
        <v>721</v>
      </c>
      <c r="NT32" s="476" t="s">
        <v>721</v>
      </c>
      <c r="NU32" s="476" t="s">
        <v>721</v>
      </c>
      <c r="NV32" s="476" t="s">
        <v>721</v>
      </c>
      <c r="NW32" s="476">
        <v>0.02</v>
      </c>
      <c r="NX32" s="476" t="s">
        <v>721</v>
      </c>
      <c r="NY32" s="476">
        <v>1.4999999999999999E-2</v>
      </c>
      <c r="NZ32" s="476" t="s">
        <v>721</v>
      </c>
      <c r="OA32" s="476" t="s">
        <v>721</v>
      </c>
      <c r="OB32" s="476" t="s">
        <v>721</v>
      </c>
      <c r="OC32" s="476" t="s">
        <v>721</v>
      </c>
      <c r="OD32" s="476" t="s">
        <v>721</v>
      </c>
      <c r="OE32" s="476">
        <v>0.97</v>
      </c>
      <c r="OF32" s="476" t="s">
        <v>721</v>
      </c>
      <c r="OG32" s="476" t="s">
        <v>721</v>
      </c>
      <c r="OH32" s="476" t="s">
        <v>721</v>
      </c>
      <c r="OI32" s="476" t="s">
        <v>721</v>
      </c>
      <c r="OJ32" s="476" t="s">
        <v>721</v>
      </c>
      <c r="OK32" s="476" t="s">
        <v>721</v>
      </c>
      <c r="OL32" s="476" t="s">
        <v>721</v>
      </c>
      <c r="OM32" s="476" t="s">
        <v>721</v>
      </c>
      <c r="ON32" s="476" t="s">
        <v>721</v>
      </c>
      <c r="OO32" s="476" t="s">
        <v>721</v>
      </c>
      <c r="OP32" s="476" t="s">
        <v>721</v>
      </c>
      <c r="OQ32" s="476" t="s">
        <v>721</v>
      </c>
      <c r="OR32" s="476" t="s">
        <v>721</v>
      </c>
      <c r="OS32" s="476" t="s">
        <v>721</v>
      </c>
      <c r="OT32" s="476" t="s">
        <v>721</v>
      </c>
      <c r="OU32" s="476" t="s">
        <v>721</v>
      </c>
      <c r="OV32" s="476" t="s">
        <v>721</v>
      </c>
      <c r="OW32" s="476" t="s">
        <v>721</v>
      </c>
      <c r="OX32" s="476" t="s">
        <v>721</v>
      </c>
      <c r="OY32" s="476" t="s">
        <v>721</v>
      </c>
      <c r="OZ32" s="476" t="s">
        <v>721</v>
      </c>
      <c r="PA32" s="476" t="s">
        <v>721</v>
      </c>
      <c r="PB32" s="476" t="s">
        <v>721</v>
      </c>
      <c r="PC32" s="476" t="s">
        <v>721</v>
      </c>
      <c r="PD32" s="476" t="s">
        <v>721</v>
      </c>
      <c r="PE32" s="476" t="s">
        <v>721</v>
      </c>
      <c r="PF32" s="476">
        <v>1.0999999999999999E-2</v>
      </c>
      <c r="PG32" s="476" t="s">
        <v>721</v>
      </c>
      <c r="PH32" s="476" t="s">
        <v>721</v>
      </c>
      <c r="PI32" s="476" t="s">
        <v>721</v>
      </c>
      <c r="PJ32" s="476" t="s">
        <v>721</v>
      </c>
      <c r="PK32" s="476" t="s">
        <v>721</v>
      </c>
      <c r="PL32" s="476">
        <v>0.96299999999999997</v>
      </c>
      <c r="PM32" s="476">
        <v>0.02</v>
      </c>
      <c r="PN32" s="476" t="s">
        <v>721</v>
      </c>
      <c r="PO32" s="476" t="s">
        <v>721</v>
      </c>
      <c r="PP32" s="476" t="s">
        <v>721</v>
      </c>
      <c r="PQ32" s="476" t="s">
        <v>721</v>
      </c>
      <c r="PR32" s="476" t="s">
        <v>721</v>
      </c>
      <c r="PS32" s="476" t="s">
        <v>721</v>
      </c>
      <c r="PT32" s="476" t="s">
        <v>721</v>
      </c>
      <c r="PU32" s="476" t="s">
        <v>721</v>
      </c>
      <c r="PV32" s="476" t="s">
        <v>721</v>
      </c>
      <c r="PW32" s="476" t="s">
        <v>721</v>
      </c>
      <c r="PX32" s="476" t="s">
        <v>721</v>
      </c>
      <c r="PY32" s="476" t="s">
        <v>721</v>
      </c>
      <c r="PZ32" s="476" t="s">
        <v>721</v>
      </c>
      <c r="QA32" s="476" t="s">
        <v>721</v>
      </c>
      <c r="QB32" s="476" t="s">
        <v>721</v>
      </c>
      <c r="QC32" s="476" t="s">
        <v>721</v>
      </c>
      <c r="QD32" s="476" t="s">
        <v>721</v>
      </c>
      <c r="QE32" s="476" t="s">
        <v>721</v>
      </c>
      <c r="QF32" s="476" t="s">
        <v>721</v>
      </c>
      <c r="QG32" s="476" t="s">
        <v>721</v>
      </c>
      <c r="QH32" s="476" t="s">
        <v>721</v>
      </c>
      <c r="QI32" s="476" t="s">
        <v>721</v>
      </c>
      <c r="QJ32" s="476" t="s">
        <v>721</v>
      </c>
      <c r="QK32" s="476" t="s">
        <v>721</v>
      </c>
      <c r="QL32" s="476">
        <v>0.87</v>
      </c>
      <c r="QM32" s="476" t="s">
        <v>721</v>
      </c>
      <c r="QN32" s="476" t="s">
        <v>721</v>
      </c>
      <c r="QO32" s="476" t="s">
        <v>721</v>
      </c>
      <c r="QP32" s="476" t="s">
        <v>721</v>
      </c>
      <c r="QQ32" s="476" t="s">
        <v>721</v>
      </c>
      <c r="QR32" s="476" t="s">
        <v>721</v>
      </c>
      <c r="QS32" s="476" t="s">
        <v>721</v>
      </c>
      <c r="QT32" s="476" t="s">
        <v>721</v>
      </c>
      <c r="QU32" s="476" t="s">
        <v>721</v>
      </c>
      <c r="QV32" s="476" t="s">
        <v>721</v>
      </c>
      <c r="QW32" s="476" t="s">
        <v>721</v>
      </c>
      <c r="QX32" s="476" t="s">
        <v>721</v>
      </c>
      <c r="QY32" s="476" t="s">
        <v>721</v>
      </c>
      <c r="QZ32" s="476" t="s">
        <v>721</v>
      </c>
      <c r="RA32" s="476" t="s">
        <v>721</v>
      </c>
      <c r="RB32" s="476" t="s">
        <v>721</v>
      </c>
      <c r="RC32" s="476" t="s">
        <v>721</v>
      </c>
      <c r="RD32" s="476" t="s">
        <v>721</v>
      </c>
      <c r="RE32" s="476">
        <v>0.95</v>
      </c>
      <c r="RF32" s="476" t="s">
        <v>721</v>
      </c>
      <c r="RG32" s="476" t="s">
        <v>721</v>
      </c>
      <c r="RH32" s="476" t="s">
        <v>721</v>
      </c>
      <c r="RI32" s="476" t="s">
        <v>721</v>
      </c>
      <c r="RJ32" s="476" t="s">
        <v>721</v>
      </c>
      <c r="RK32" s="476" t="s">
        <v>721</v>
      </c>
      <c r="RL32" s="476" t="s">
        <v>721</v>
      </c>
      <c r="RM32" s="476" t="s">
        <v>721</v>
      </c>
      <c r="RN32" s="476" t="s">
        <v>721</v>
      </c>
      <c r="RO32" s="476" t="s">
        <v>721</v>
      </c>
      <c r="RP32" s="476" t="s">
        <v>721</v>
      </c>
      <c r="RQ32" s="476" t="s">
        <v>721</v>
      </c>
      <c r="RR32" s="476" t="s">
        <v>721</v>
      </c>
      <c r="RS32" s="476" t="s">
        <v>721</v>
      </c>
      <c r="RT32" s="476" t="s">
        <v>721</v>
      </c>
      <c r="RU32" s="476" t="s">
        <v>721</v>
      </c>
      <c r="RV32" s="476" t="s">
        <v>721</v>
      </c>
      <c r="RW32" s="476" t="s">
        <v>721</v>
      </c>
      <c r="RX32" s="476">
        <v>0.86799999999999999</v>
      </c>
      <c r="RY32" s="476">
        <v>5.2999999999999999E-2</v>
      </c>
      <c r="RZ32" s="476">
        <v>8.9999999999999993E-3</v>
      </c>
      <c r="SA32" s="476">
        <v>3.0000000000000001E-3</v>
      </c>
      <c r="SB32" s="476">
        <v>7.0000000000000001E-3</v>
      </c>
      <c r="SC32" s="476" t="s">
        <v>721</v>
      </c>
      <c r="SD32" s="476">
        <v>2.1999999999999999E-2</v>
      </c>
      <c r="SE32" s="476" t="s">
        <v>721</v>
      </c>
      <c r="SF32" s="476">
        <v>0.01</v>
      </c>
      <c r="SG32" s="476">
        <v>2E-3</v>
      </c>
      <c r="SH32" s="476">
        <v>3.0000000000000001E-3</v>
      </c>
      <c r="SI32" s="476" t="s">
        <v>721</v>
      </c>
      <c r="SJ32" s="476" t="s">
        <v>721</v>
      </c>
      <c r="SK32" s="476">
        <v>1E-3</v>
      </c>
      <c r="SL32" s="476">
        <v>1E-3</v>
      </c>
      <c r="SM32" s="476" t="s">
        <v>721</v>
      </c>
      <c r="SN32" s="476">
        <v>1E-3</v>
      </c>
      <c r="SO32" s="476">
        <v>1E-3</v>
      </c>
      <c r="SP32" s="476">
        <v>1.9E-2</v>
      </c>
      <c r="SQ32" s="476">
        <v>0.83599999999999997</v>
      </c>
      <c r="SR32" s="476" t="s">
        <v>721</v>
      </c>
      <c r="SS32" s="476" t="s">
        <v>721</v>
      </c>
      <c r="ST32" s="476" t="s">
        <v>721</v>
      </c>
      <c r="SU32" s="476" t="s">
        <v>721</v>
      </c>
      <c r="SV32" s="476" t="s">
        <v>721</v>
      </c>
      <c r="SW32" s="476" t="s">
        <v>721</v>
      </c>
      <c r="SX32" s="476" t="s">
        <v>721</v>
      </c>
      <c r="SY32" s="476" t="s">
        <v>721</v>
      </c>
      <c r="SZ32" s="476" t="s">
        <v>721</v>
      </c>
      <c r="TA32" s="476" t="s">
        <v>721</v>
      </c>
      <c r="TB32" s="476" t="s">
        <v>721</v>
      </c>
      <c r="TC32" s="476" t="s">
        <v>721</v>
      </c>
      <c r="TD32" s="476" t="s">
        <v>721</v>
      </c>
      <c r="TE32" s="476" t="s">
        <v>721</v>
      </c>
      <c r="TF32" s="476" t="s">
        <v>721</v>
      </c>
      <c r="TG32" s="476" t="s">
        <v>721</v>
      </c>
      <c r="TH32" s="476" t="s">
        <v>721</v>
      </c>
      <c r="TI32" s="476" t="s">
        <v>721</v>
      </c>
      <c r="TJ32" s="476">
        <v>0.88800000000000001</v>
      </c>
      <c r="TK32" s="476" t="s">
        <v>721</v>
      </c>
      <c r="TL32" s="476" t="s">
        <v>721</v>
      </c>
      <c r="TM32" s="476" t="s">
        <v>721</v>
      </c>
      <c r="TN32" s="476" t="s">
        <v>721</v>
      </c>
      <c r="TO32" s="476" t="s">
        <v>721</v>
      </c>
      <c r="TP32" s="476" t="s">
        <v>721</v>
      </c>
      <c r="TQ32" s="476" t="s">
        <v>721</v>
      </c>
      <c r="TR32" s="476" t="s">
        <v>721</v>
      </c>
      <c r="TS32" s="476" t="s">
        <v>721</v>
      </c>
      <c r="TT32" s="476" t="s">
        <v>721</v>
      </c>
      <c r="TU32" s="476" t="s">
        <v>721</v>
      </c>
      <c r="TV32" s="476" t="s">
        <v>721</v>
      </c>
      <c r="TW32" s="476" t="s">
        <v>721</v>
      </c>
      <c r="TX32" s="476" t="s">
        <v>721</v>
      </c>
      <c r="TY32" s="476" t="s">
        <v>721</v>
      </c>
      <c r="TZ32" s="476" t="s">
        <v>721</v>
      </c>
      <c r="UA32" s="476" t="s">
        <v>721</v>
      </c>
      <c r="UB32" s="476" t="s">
        <v>721</v>
      </c>
      <c r="UC32" s="476">
        <v>0.87</v>
      </c>
      <c r="UD32" s="476">
        <v>4.2999999999999997E-2</v>
      </c>
      <c r="UE32" s="476" t="s">
        <v>721</v>
      </c>
      <c r="UF32" s="476" t="s">
        <v>721</v>
      </c>
      <c r="UG32" s="476" t="s">
        <v>721</v>
      </c>
      <c r="UH32" s="476" t="s">
        <v>721</v>
      </c>
      <c r="UI32" s="476">
        <v>3.2000000000000001E-2</v>
      </c>
      <c r="UJ32" s="476" t="s">
        <v>721</v>
      </c>
      <c r="UK32" s="476" t="s">
        <v>721</v>
      </c>
      <c r="UL32" s="476" t="s">
        <v>721</v>
      </c>
      <c r="UM32" s="476" t="s">
        <v>721</v>
      </c>
      <c r="UN32" s="476" t="s">
        <v>721</v>
      </c>
      <c r="UO32" s="476" t="s">
        <v>721</v>
      </c>
      <c r="UP32" s="476" t="s">
        <v>721</v>
      </c>
      <c r="UQ32" s="476" t="s">
        <v>721</v>
      </c>
      <c r="UR32" s="476" t="s">
        <v>721</v>
      </c>
      <c r="US32" s="476" t="s">
        <v>721</v>
      </c>
      <c r="UT32" s="476" t="s">
        <v>721</v>
      </c>
      <c r="UU32" s="476">
        <v>2.1000000000000001E-2</v>
      </c>
      <c r="UV32" s="476">
        <v>0.88300000000000001</v>
      </c>
      <c r="UW32" s="476">
        <v>7.1999999999999995E-2</v>
      </c>
      <c r="UX32" s="476" t="s">
        <v>721</v>
      </c>
      <c r="UY32" s="476" t="s">
        <v>721</v>
      </c>
      <c r="UZ32" s="476" t="s">
        <v>721</v>
      </c>
      <c r="VA32" s="476" t="s">
        <v>721</v>
      </c>
      <c r="VB32" s="476" t="s">
        <v>721</v>
      </c>
      <c r="VC32" s="476" t="s">
        <v>721</v>
      </c>
      <c r="VD32" s="476" t="s">
        <v>721</v>
      </c>
      <c r="VE32" s="476" t="s">
        <v>721</v>
      </c>
      <c r="VF32" s="476" t="s">
        <v>721</v>
      </c>
      <c r="VG32" s="476" t="s">
        <v>721</v>
      </c>
      <c r="VH32" s="476" t="s">
        <v>721</v>
      </c>
      <c r="VI32" s="476" t="s">
        <v>721</v>
      </c>
      <c r="VJ32" s="476" t="s">
        <v>721</v>
      </c>
      <c r="VK32" s="476" t="s">
        <v>721</v>
      </c>
      <c r="VL32" s="476" t="s">
        <v>721</v>
      </c>
      <c r="VM32" s="476" t="s">
        <v>721</v>
      </c>
      <c r="VN32" s="476" t="s">
        <v>721</v>
      </c>
      <c r="VO32" s="28"/>
      <c r="VP32" s="28"/>
      <c r="VQ32" s="28"/>
      <c r="VR32" s="28"/>
      <c r="VS32" s="28"/>
      <c r="VT32" s="28"/>
      <c r="VU32" s="28"/>
      <c r="VV32" s="28"/>
      <c r="VW32" s="28"/>
      <c r="VX32" s="28"/>
      <c r="VY32" s="28"/>
      <c r="VZ32" s="28"/>
      <c r="WA32" s="28"/>
      <c r="WB32" s="28"/>
      <c r="WC32" s="28"/>
      <c r="WD32" s="28"/>
      <c r="WE32" s="28"/>
      <c r="WF32" s="28"/>
      <c r="WG32" s="28"/>
      <c r="WH32" s="28"/>
      <c r="WI32" s="28"/>
      <c r="WJ32" s="28"/>
      <c r="WK32" s="28"/>
      <c r="WL32" s="28"/>
      <c r="WM32" s="28"/>
      <c r="WN32" s="28"/>
      <c r="WO32" s="28"/>
      <c r="WP32" s="28"/>
      <c r="WQ32" s="28"/>
      <c r="WR32" s="28"/>
      <c r="WS32" s="28"/>
      <c r="WT32" s="28"/>
      <c r="WU32" s="28"/>
      <c r="WV32" s="28"/>
      <c r="WW32" s="28"/>
    </row>
    <row r="33" spans="1:621" s="151" customFormat="1" ht="15.75" customHeight="1" x14ac:dyDescent="0.35">
      <c r="A33" s="477" t="s">
        <v>3</v>
      </c>
      <c r="B33" s="492" t="s">
        <v>12</v>
      </c>
      <c r="C33" s="493">
        <v>16.75</v>
      </c>
      <c r="D33" s="494">
        <v>44738</v>
      </c>
      <c r="E33" s="473">
        <v>4887227.0999999996</v>
      </c>
      <c r="F33" s="473">
        <v>109.2</v>
      </c>
      <c r="G33" s="474">
        <v>44639</v>
      </c>
      <c r="H33" s="474">
        <v>37108</v>
      </c>
      <c r="I33" s="474">
        <v>22878</v>
      </c>
      <c r="J33" s="474">
        <v>17228</v>
      </c>
      <c r="K33" s="474">
        <v>10324</v>
      </c>
      <c r="L33" s="473">
        <v>1634432.5</v>
      </c>
      <c r="M33" s="474">
        <v>34414</v>
      </c>
      <c r="N33" s="473">
        <v>3252794.6</v>
      </c>
      <c r="O33" s="494">
        <v>6806</v>
      </c>
      <c r="P33" s="495">
        <v>1258313.8</v>
      </c>
      <c r="Q33" s="494">
        <v>5125</v>
      </c>
      <c r="R33" s="495">
        <v>128439.9</v>
      </c>
      <c r="S33" s="494">
        <v>20903</v>
      </c>
      <c r="T33" s="495">
        <v>1866740.1</v>
      </c>
      <c r="U33" s="494">
        <v>415</v>
      </c>
      <c r="V33" s="495">
        <v>49821.599999999999</v>
      </c>
      <c r="W33" s="494">
        <v>23420</v>
      </c>
      <c r="X33" s="495">
        <v>2970665.4</v>
      </c>
      <c r="Y33" s="494">
        <v>37402</v>
      </c>
      <c r="Z33" s="494">
        <v>24077</v>
      </c>
      <c r="AA33" s="494">
        <v>30480</v>
      </c>
      <c r="AB33" s="494">
        <v>22300</v>
      </c>
      <c r="AC33" s="494">
        <v>1993</v>
      </c>
      <c r="AD33" s="494">
        <v>9519</v>
      </c>
      <c r="AE33" s="494">
        <v>22588</v>
      </c>
      <c r="AF33" s="495">
        <v>1487567.3</v>
      </c>
      <c r="AG33" s="494">
        <v>19916</v>
      </c>
      <c r="AH33" s="495">
        <v>3246681.8</v>
      </c>
      <c r="AI33" s="494">
        <v>1202</v>
      </c>
      <c r="AJ33" s="495">
        <v>49360.4</v>
      </c>
      <c r="AK33" s="494">
        <v>1032</v>
      </c>
      <c r="AL33" s="495">
        <v>103617.60000000001</v>
      </c>
      <c r="AM33" s="496">
        <v>25821</v>
      </c>
      <c r="AN33" s="496">
        <v>18917</v>
      </c>
      <c r="AO33" s="496">
        <v>11762</v>
      </c>
      <c r="AP33" s="496">
        <v>10473</v>
      </c>
      <c r="AQ33" s="496">
        <v>1194</v>
      </c>
      <c r="AR33" s="496">
        <v>749</v>
      </c>
      <c r="AS33" s="496">
        <v>68</v>
      </c>
      <c r="AT33" s="496">
        <v>1126</v>
      </c>
      <c r="AU33" s="496">
        <v>498</v>
      </c>
      <c r="AV33" s="496">
        <v>15</v>
      </c>
      <c r="AW33" s="496">
        <v>1375</v>
      </c>
      <c r="AX33" s="496">
        <v>317</v>
      </c>
      <c r="AY33" s="496">
        <v>94</v>
      </c>
      <c r="AZ33" s="496">
        <v>2482</v>
      </c>
      <c r="BA33" s="496">
        <v>70</v>
      </c>
      <c r="BB33" s="496">
        <v>669</v>
      </c>
      <c r="BC33" s="496" t="s">
        <v>721</v>
      </c>
      <c r="BD33" s="496" t="s">
        <v>721</v>
      </c>
      <c r="BE33" s="496">
        <v>100</v>
      </c>
      <c r="BF33" s="496">
        <v>12008</v>
      </c>
      <c r="BG33" s="496">
        <v>1722</v>
      </c>
      <c r="BH33" s="496">
        <v>13</v>
      </c>
      <c r="BI33" s="496">
        <v>6491</v>
      </c>
      <c r="BJ33" s="496">
        <v>224</v>
      </c>
      <c r="BK33" s="496">
        <v>23</v>
      </c>
      <c r="BL33" s="496">
        <v>2199</v>
      </c>
      <c r="BM33" s="496">
        <v>395</v>
      </c>
      <c r="BN33" s="496">
        <v>651</v>
      </c>
      <c r="BO33" s="496">
        <v>17744</v>
      </c>
      <c r="BP33" s="496" t="s">
        <v>721</v>
      </c>
      <c r="BQ33" s="496" t="s">
        <v>721</v>
      </c>
      <c r="BR33" s="496">
        <v>733</v>
      </c>
      <c r="BS33" s="496">
        <v>50</v>
      </c>
      <c r="BT33" s="496">
        <v>255</v>
      </c>
      <c r="BU33" s="496">
        <v>131</v>
      </c>
      <c r="BV33" s="496" t="s">
        <v>721</v>
      </c>
      <c r="BW33" s="496" t="s">
        <v>721</v>
      </c>
      <c r="BX33" s="496" t="s">
        <v>721</v>
      </c>
      <c r="BY33" s="496">
        <v>71</v>
      </c>
      <c r="BZ33" s="496">
        <v>14</v>
      </c>
      <c r="CA33" s="496" t="s">
        <v>721</v>
      </c>
      <c r="CB33" s="496" t="s">
        <v>721</v>
      </c>
      <c r="CC33" s="496" t="s">
        <v>721</v>
      </c>
      <c r="CD33" s="496">
        <v>208</v>
      </c>
      <c r="CE33" s="496" t="s">
        <v>721</v>
      </c>
      <c r="CF33" s="496" t="s">
        <v>721</v>
      </c>
      <c r="CG33" s="496">
        <v>989</v>
      </c>
      <c r="CH33" s="496">
        <v>15</v>
      </c>
      <c r="CI33" s="496">
        <v>32</v>
      </c>
      <c r="CJ33" s="496">
        <v>2769</v>
      </c>
      <c r="CK33" s="496">
        <v>11650</v>
      </c>
      <c r="CL33" s="496">
        <v>29</v>
      </c>
      <c r="CM33" s="496">
        <v>17</v>
      </c>
      <c r="CN33" s="496" t="s">
        <v>721</v>
      </c>
      <c r="CO33" s="496">
        <v>12</v>
      </c>
      <c r="CP33" s="496">
        <v>4511</v>
      </c>
      <c r="CQ33" s="496">
        <v>82</v>
      </c>
      <c r="CR33" s="496">
        <v>28</v>
      </c>
      <c r="CS33" s="496">
        <v>1416</v>
      </c>
      <c r="CT33" s="496">
        <v>190</v>
      </c>
      <c r="CU33" s="496">
        <v>250</v>
      </c>
      <c r="CV33" s="496">
        <v>21149</v>
      </c>
      <c r="CW33" s="496">
        <v>164</v>
      </c>
      <c r="CX33" s="496" t="s">
        <v>721</v>
      </c>
      <c r="CY33" s="496">
        <v>317</v>
      </c>
      <c r="CZ33" s="496">
        <v>188</v>
      </c>
      <c r="DA33" s="496">
        <v>73</v>
      </c>
      <c r="DB33" s="496">
        <v>23</v>
      </c>
      <c r="DC33" s="496" t="s">
        <v>721</v>
      </c>
      <c r="DD33" s="496" t="s">
        <v>721</v>
      </c>
      <c r="DE33" s="496" t="s">
        <v>721</v>
      </c>
      <c r="DF33" s="496">
        <v>21</v>
      </c>
      <c r="DG33" s="496" t="s">
        <v>721</v>
      </c>
      <c r="DH33" s="496" t="s">
        <v>721</v>
      </c>
      <c r="DI33" s="496" t="s">
        <v>721</v>
      </c>
      <c r="DJ33" s="496" t="s">
        <v>721</v>
      </c>
      <c r="DK33" s="496">
        <v>86</v>
      </c>
      <c r="DL33" s="496">
        <v>12</v>
      </c>
      <c r="DM33" s="496" t="s">
        <v>721</v>
      </c>
      <c r="DN33" s="496">
        <v>471</v>
      </c>
      <c r="DO33" s="496" t="s">
        <v>721</v>
      </c>
      <c r="DP33" s="496">
        <v>20</v>
      </c>
      <c r="DQ33" s="496">
        <v>1128</v>
      </c>
      <c r="DR33" s="496">
        <v>7232</v>
      </c>
      <c r="DS33" s="483" t="s">
        <v>721</v>
      </c>
      <c r="DT33" s="483" t="s">
        <v>721</v>
      </c>
      <c r="DU33" s="483" t="s">
        <v>721</v>
      </c>
      <c r="DV33" s="496">
        <v>5215</v>
      </c>
      <c r="DW33" s="497">
        <v>892319.9</v>
      </c>
      <c r="DX33" s="496">
        <v>6684</v>
      </c>
      <c r="DY33" s="497">
        <v>1042878.3</v>
      </c>
      <c r="DZ33" s="496">
        <v>5736</v>
      </c>
      <c r="EA33" s="497">
        <v>530540.5</v>
      </c>
      <c r="EB33" s="496">
        <v>7023</v>
      </c>
      <c r="EC33" s="497">
        <v>560330.6</v>
      </c>
      <c r="ED33" s="496">
        <v>11054</v>
      </c>
      <c r="EE33" s="497">
        <v>913930</v>
      </c>
      <c r="EF33" s="496">
        <v>9026</v>
      </c>
      <c r="EG33" s="497">
        <v>947227.8</v>
      </c>
      <c r="EH33" s="485">
        <v>36195</v>
      </c>
      <c r="EI33" s="486">
        <v>100668.7</v>
      </c>
      <c r="EJ33" s="485">
        <v>36359</v>
      </c>
      <c r="EK33" s="486">
        <v>759004</v>
      </c>
      <c r="EL33" s="485">
        <v>35994</v>
      </c>
      <c r="EM33" s="486">
        <v>303197.7</v>
      </c>
      <c r="EN33" s="485">
        <v>37599</v>
      </c>
      <c r="EO33" s="486">
        <v>174317.1</v>
      </c>
      <c r="EP33" s="485">
        <v>36139</v>
      </c>
      <c r="EQ33" s="486">
        <v>91824.1</v>
      </c>
      <c r="ER33" s="485">
        <v>36213</v>
      </c>
      <c r="ES33" s="486">
        <v>73381.3</v>
      </c>
      <c r="ET33" s="485">
        <v>19</v>
      </c>
      <c r="EU33" s="485">
        <v>31031</v>
      </c>
      <c r="EV33" s="486">
        <v>404400.8</v>
      </c>
      <c r="EW33" s="485">
        <v>3113</v>
      </c>
      <c r="EX33" s="486">
        <v>15375.1</v>
      </c>
      <c r="EY33" s="485">
        <v>12196</v>
      </c>
      <c r="EZ33" s="486">
        <v>145228.20000000001</v>
      </c>
      <c r="FA33" s="485">
        <v>2189</v>
      </c>
      <c r="FB33" s="486">
        <v>22943.8</v>
      </c>
      <c r="FC33" s="485">
        <v>39132</v>
      </c>
      <c r="FD33" s="486">
        <v>479558.3</v>
      </c>
      <c r="FE33" s="485">
        <v>37737</v>
      </c>
      <c r="FF33" s="486">
        <v>276466.5</v>
      </c>
      <c r="FG33" s="485">
        <v>9217</v>
      </c>
      <c r="FH33" s="486">
        <v>66323.199999999997</v>
      </c>
      <c r="FI33" s="485">
        <v>25924</v>
      </c>
      <c r="FJ33" s="486">
        <v>146115.1</v>
      </c>
      <c r="FK33" s="485">
        <v>33878</v>
      </c>
      <c r="FL33" s="486">
        <v>105727.8</v>
      </c>
      <c r="FM33" s="485">
        <v>2268</v>
      </c>
      <c r="FN33" s="486">
        <v>5716.8</v>
      </c>
      <c r="FO33" s="485">
        <v>33131</v>
      </c>
      <c r="FP33" s="486">
        <v>233506</v>
      </c>
      <c r="FQ33" s="485">
        <v>35891</v>
      </c>
      <c r="FR33" s="486">
        <v>98216.1</v>
      </c>
      <c r="FS33" s="485">
        <v>135</v>
      </c>
      <c r="FT33" s="486">
        <v>859.3</v>
      </c>
      <c r="FU33" s="485">
        <v>0</v>
      </c>
      <c r="FV33" s="486">
        <v>0</v>
      </c>
      <c r="FW33" s="485">
        <v>0</v>
      </c>
      <c r="FX33" s="486">
        <v>0</v>
      </c>
      <c r="FY33" s="485">
        <v>0</v>
      </c>
      <c r="FZ33" s="486">
        <v>0</v>
      </c>
      <c r="GA33" s="485">
        <v>0</v>
      </c>
      <c r="GB33" s="485">
        <v>0</v>
      </c>
      <c r="GC33" s="487">
        <v>0</v>
      </c>
      <c r="GD33" s="488">
        <v>13</v>
      </c>
      <c r="GE33" s="488">
        <v>453</v>
      </c>
      <c r="GF33" s="488">
        <v>3565</v>
      </c>
      <c r="GG33" s="488">
        <v>33</v>
      </c>
      <c r="GH33" s="488">
        <v>14</v>
      </c>
      <c r="GI33" s="488">
        <v>7</v>
      </c>
      <c r="GJ33" s="488">
        <v>2</v>
      </c>
      <c r="GK33" s="488">
        <v>1560</v>
      </c>
      <c r="GL33" s="488">
        <v>2415</v>
      </c>
      <c r="GM33" s="488">
        <v>4031</v>
      </c>
      <c r="GN33" s="488">
        <v>4753</v>
      </c>
      <c r="GO33" s="488">
        <v>1043</v>
      </c>
      <c r="GP33" s="488">
        <v>38</v>
      </c>
      <c r="GQ33" s="488">
        <v>132</v>
      </c>
      <c r="GR33" s="488">
        <v>8</v>
      </c>
      <c r="GS33" s="488">
        <v>178</v>
      </c>
      <c r="GT33" s="489">
        <v>29338</v>
      </c>
      <c r="GU33" s="488">
        <v>38</v>
      </c>
      <c r="GV33" s="490">
        <v>2</v>
      </c>
      <c r="GW33" s="490">
        <v>23</v>
      </c>
      <c r="GX33" s="490">
        <v>63</v>
      </c>
      <c r="GY33" s="491">
        <v>121</v>
      </c>
      <c r="GZ33" s="491">
        <v>123</v>
      </c>
      <c r="HA33" s="491">
        <v>244</v>
      </c>
      <c r="HB33" s="475">
        <v>5</v>
      </c>
      <c r="HC33" s="475">
        <v>7</v>
      </c>
      <c r="HD33" s="475">
        <v>0</v>
      </c>
      <c r="HE33" s="475">
        <v>1</v>
      </c>
      <c r="HF33" s="475">
        <v>1</v>
      </c>
      <c r="HG33" s="475">
        <v>1</v>
      </c>
      <c r="HH33" s="475">
        <v>16</v>
      </c>
      <c r="HI33" s="475">
        <v>0</v>
      </c>
      <c r="HJ33" s="475">
        <v>0</v>
      </c>
      <c r="HK33" s="475">
        <v>0</v>
      </c>
      <c r="HL33" s="475">
        <v>1</v>
      </c>
      <c r="HM33" s="475">
        <v>5</v>
      </c>
      <c r="HN33" s="475">
        <v>0</v>
      </c>
      <c r="HO33" s="475">
        <v>10</v>
      </c>
      <c r="HP33" s="475">
        <v>1</v>
      </c>
      <c r="HQ33" s="475">
        <v>10</v>
      </c>
      <c r="HR33" s="475">
        <v>179</v>
      </c>
      <c r="HS33" s="475">
        <v>0</v>
      </c>
      <c r="HT33" s="475">
        <v>0</v>
      </c>
      <c r="HU33" s="475">
        <v>0</v>
      </c>
      <c r="HV33" s="475">
        <v>0</v>
      </c>
      <c r="HW33" s="475">
        <v>0</v>
      </c>
      <c r="HX33" s="475">
        <v>0</v>
      </c>
      <c r="HY33" s="475">
        <v>0</v>
      </c>
      <c r="HZ33" s="475">
        <v>259</v>
      </c>
      <c r="IA33" s="475">
        <v>293</v>
      </c>
      <c r="IB33" s="475">
        <v>21</v>
      </c>
      <c r="IC33" s="475">
        <v>30</v>
      </c>
      <c r="ID33" s="475" t="s">
        <v>721</v>
      </c>
      <c r="IE33" s="475">
        <v>35</v>
      </c>
      <c r="IF33" s="475">
        <v>20</v>
      </c>
      <c r="IG33" s="475" t="s">
        <v>721</v>
      </c>
      <c r="IH33" s="475">
        <v>28</v>
      </c>
      <c r="II33" s="475" t="s">
        <v>721</v>
      </c>
      <c r="IJ33" s="475" t="s">
        <v>721</v>
      </c>
      <c r="IK33" s="475">
        <v>42</v>
      </c>
      <c r="IL33" s="475" t="s">
        <v>721</v>
      </c>
      <c r="IM33" s="475">
        <v>14</v>
      </c>
      <c r="IN33" s="475" t="s">
        <v>721</v>
      </c>
      <c r="IO33" s="475" t="s">
        <v>721</v>
      </c>
      <c r="IP33" s="475" t="s">
        <v>721</v>
      </c>
      <c r="IQ33" s="475">
        <v>206</v>
      </c>
      <c r="IR33" s="475">
        <v>87</v>
      </c>
      <c r="IS33" s="475">
        <v>67</v>
      </c>
      <c r="IT33" s="475">
        <v>60</v>
      </c>
      <c r="IU33" s="475" t="s">
        <v>721</v>
      </c>
      <c r="IV33" s="475" t="s">
        <v>721</v>
      </c>
      <c r="IW33" s="475" t="s">
        <v>721</v>
      </c>
      <c r="IX33" s="475" t="s">
        <v>721</v>
      </c>
      <c r="IY33" s="475" t="s">
        <v>721</v>
      </c>
      <c r="IZ33" s="475" t="s">
        <v>721</v>
      </c>
      <c r="JA33" s="475" t="s">
        <v>721</v>
      </c>
      <c r="JB33" s="475" t="s">
        <v>721</v>
      </c>
      <c r="JC33" s="475" t="s">
        <v>721</v>
      </c>
      <c r="JD33" s="475" t="s">
        <v>721</v>
      </c>
      <c r="JE33" s="475" t="s">
        <v>721</v>
      </c>
      <c r="JF33" s="475" t="s">
        <v>721</v>
      </c>
      <c r="JG33" s="475" t="s">
        <v>721</v>
      </c>
      <c r="JH33" s="475" t="s">
        <v>721</v>
      </c>
      <c r="JI33" s="475" t="s">
        <v>721</v>
      </c>
      <c r="JJ33" s="475">
        <v>18</v>
      </c>
      <c r="JK33" s="475">
        <v>14</v>
      </c>
      <c r="JL33" s="755">
        <v>1467822.9</v>
      </c>
      <c r="JM33" s="755">
        <v>1277486</v>
      </c>
      <c r="JN33" s="755">
        <v>139522.9</v>
      </c>
      <c r="JO33" s="755">
        <v>88412.800000000003</v>
      </c>
      <c r="JP33" s="755">
        <v>7704.2</v>
      </c>
      <c r="JQ33" s="755">
        <v>128385.5</v>
      </c>
      <c r="JR33" s="755">
        <v>40555.800000000003</v>
      </c>
      <c r="JS33" s="755">
        <v>1466.4</v>
      </c>
      <c r="JT33" s="755">
        <v>144874.79999999999</v>
      </c>
      <c r="JU33" s="755">
        <v>31577.599999999999</v>
      </c>
      <c r="JV33" s="755">
        <v>11550.9</v>
      </c>
      <c r="JW33" s="755">
        <v>249541.7</v>
      </c>
      <c r="JX33" s="755">
        <v>7081.6</v>
      </c>
      <c r="JY33" s="755">
        <v>73865.3</v>
      </c>
      <c r="JZ33" s="755">
        <v>1641.1</v>
      </c>
      <c r="KA33" s="755">
        <v>767.2</v>
      </c>
      <c r="KB33" s="755">
        <v>9835.6</v>
      </c>
      <c r="KC33" s="755">
        <v>1018983.4</v>
      </c>
      <c r="KD33" s="755">
        <v>186151.4</v>
      </c>
      <c r="KE33" s="475">
        <v>2293</v>
      </c>
      <c r="KF33" s="475">
        <v>2281</v>
      </c>
      <c r="KG33" s="475">
        <v>183</v>
      </c>
      <c r="KH33" s="475">
        <v>140</v>
      </c>
      <c r="KI33" s="475" t="s">
        <v>721</v>
      </c>
      <c r="KJ33" s="475">
        <v>163</v>
      </c>
      <c r="KK33" s="475">
        <v>33</v>
      </c>
      <c r="KL33" s="475" t="s">
        <v>721</v>
      </c>
      <c r="KM33" s="475">
        <v>149</v>
      </c>
      <c r="KN33" s="475">
        <v>24</v>
      </c>
      <c r="KO33" s="475">
        <v>24</v>
      </c>
      <c r="KP33" s="475">
        <v>237</v>
      </c>
      <c r="KQ33" s="475" t="s">
        <v>721</v>
      </c>
      <c r="KR33" s="475">
        <v>89</v>
      </c>
      <c r="KS33" s="475" t="s">
        <v>721</v>
      </c>
      <c r="KT33" s="475" t="s">
        <v>721</v>
      </c>
      <c r="KU33" s="475" t="s">
        <v>721</v>
      </c>
      <c r="KV33" s="475">
        <v>848</v>
      </c>
      <c r="KW33" s="475">
        <v>309</v>
      </c>
      <c r="KX33" s="475">
        <v>1532</v>
      </c>
      <c r="KY33" s="475">
        <v>1240</v>
      </c>
      <c r="KZ33" s="475">
        <v>128</v>
      </c>
      <c r="LA33" s="475">
        <v>103</v>
      </c>
      <c r="LB33" s="475" t="s">
        <v>721</v>
      </c>
      <c r="LC33" s="475">
        <v>158</v>
      </c>
      <c r="LD33" s="475">
        <v>26</v>
      </c>
      <c r="LE33" s="475" t="s">
        <v>721</v>
      </c>
      <c r="LF33" s="475">
        <v>165</v>
      </c>
      <c r="LG33" s="475">
        <v>49</v>
      </c>
      <c r="LH33" s="475" t="s">
        <v>721</v>
      </c>
      <c r="LI33" s="475">
        <v>123</v>
      </c>
      <c r="LJ33" s="475" t="s">
        <v>721</v>
      </c>
      <c r="LK33" s="475">
        <v>103</v>
      </c>
      <c r="LL33" s="475" t="s">
        <v>721</v>
      </c>
      <c r="LM33" s="475" t="s">
        <v>721</v>
      </c>
      <c r="LN33" s="475">
        <v>19</v>
      </c>
      <c r="LO33" s="475">
        <v>1297</v>
      </c>
      <c r="LP33" s="475">
        <v>155</v>
      </c>
      <c r="LQ33" s="475">
        <v>8499</v>
      </c>
      <c r="LR33" s="475">
        <v>7655</v>
      </c>
      <c r="LS33" s="475">
        <v>877</v>
      </c>
      <c r="LT33" s="475">
        <v>545</v>
      </c>
      <c r="LU33" s="475">
        <v>53</v>
      </c>
      <c r="LV33" s="475">
        <v>782</v>
      </c>
      <c r="LW33" s="475">
        <v>420</v>
      </c>
      <c r="LX33" s="475">
        <v>13</v>
      </c>
      <c r="LY33" s="475">
        <v>1033</v>
      </c>
      <c r="LZ33" s="475">
        <v>241</v>
      </c>
      <c r="MA33" s="475">
        <v>77</v>
      </c>
      <c r="MB33" s="475">
        <v>2072</v>
      </c>
      <c r="MC33" s="475">
        <v>49</v>
      </c>
      <c r="MD33" s="475">
        <v>463</v>
      </c>
      <c r="ME33" s="475" t="s">
        <v>721</v>
      </c>
      <c r="MF33" s="475" t="s">
        <v>721</v>
      </c>
      <c r="MG33" s="475">
        <v>72</v>
      </c>
      <c r="MH33" s="475">
        <v>10162</v>
      </c>
      <c r="MI33" s="475">
        <v>1389</v>
      </c>
      <c r="MJ33" s="475">
        <v>3263</v>
      </c>
      <c r="MK33" s="475">
        <v>2818</v>
      </c>
      <c r="ML33" s="475">
        <v>317</v>
      </c>
      <c r="MM33" s="475">
        <v>204</v>
      </c>
      <c r="MN33" s="475">
        <v>15</v>
      </c>
      <c r="MO33" s="475">
        <v>344</v>
      </c>
      <c r="MP33" s="475">
        <v>78</v>
      </c>
      <c r="MQ33" s="475" t="s">
        <v>721</v>
      </c>
      <c r="MR33" s="475">
        <v>342</v>
      </c>
      <c r="MS33" s="475">
        <v>76</v>
      </c>
      <c r="MT33" s="475">
        <v>17</v>
      </c>
      <c r="MU33" s="475">
        <v>410</v>
      </c>
      <c r="MV33" s="475">
        <v>21</v>
      </c>
      <c r="MW33" s="475">
        <v>206</v>
      </c>
      <c r="MX33" s="475" t="s">
        <v>721</v>
      </c>
      <c r="MY33" s="475" t="s">
        <v>721</v>
      </c>
      <c r="MZ33" s="475">
        <v>28</v>
      </c>
      <c r="NA33" s="475">
        <v>1846</v>
      </c>
      <c r="NB33" s="475">
        <v>333</v>
      </c>
      <c r="NC33" s="476">
        <v>0.57699999999999996</v>
      </c>
      <c r="ND33" s="476">
        <v>0.42299999999999999</v>
      </c>
      <c r="NE33" s="476">
        <v>0.26300000000000001</v>
      </c>
      <c r="NF33" s="476">
        <v>0.23400000000000001</v>
      </c>
      <c r="NG33" s="476">
        <v>2.7E-2</v>
      </c>
      <c r="NH33" s="476">
        <v>1.7000000000000001E-2</v>
      </c>
      <c r="NI33" s="476">
        <v>2E-3</v>
      </c>
      <c r="NJ33" s="476">
        <v>2.5000000000000001E-2</v>
      </c>
      <c r="NK33" s="476">
        <v>1.0999999999999999E-2</v>
      </c>
      <c r="NL33" s="476">
        <v>0</v>
      </c>
      <c r="NM33" s="476">
        <v>3.1E-2</v>
      </c>
      <c r="NN33" s="476">
        <v>7.0000000000000001E-3</v>
      </c>
      <c r="NO33" s="476">
        <v>2E-3</v>
      </c>
      <c r="NP33" s="476">
        <v>5.5E-2</v>
      </c>
      <c r="NQ33" s="476">
        <v>2E-3</v>
      </c>
      <c r="NR33" s="476">
        <v>1.4999999999999999E-2</v>
      </c>
      <c r="NS33" s="476" t="s">
        <v>721</v>
      </c>
      <c r="NT33" s="476" t="s">
        <v>721</v>
      </c>
      <c r="NU33" s="476">
        <v>2E-3</v>
      </c>
      <c r="NV33" s="476">
        <v>0.26800000000000002</v>
      </c>
      <c r="NW33" s="476">
        <v>3.7999999999999999E-2</v>
      </c>
      <c r="NX33" s="476">
        <v>0</v>
      </c>
      <c r="NY33" s="476">
        <v>0.14499999999999999</v>
      </c>
      <c r="NZ33" s="476">
        <v>5.0000000000000001E-3</v>
      </c>
      <c r="OA33" s="476">
        <v>1E-3</v>
      </c>
      <c r="OB33" s="476">
        <v>4.9000000000000002E-2</v>
      </c>
      <c r="OC33" s="476">
        <v>8.9999999999999993E-3</v>
      </c>
      <c r="OD33" s="476">
        <v>1.4999999999999999E-2</v>
      </c>
      <c r="OE33" s="476">
        <v>0.39700000000000002</v>
      </c>
      <c r="OF33" s="476" t="s">
        <v>721</v>
      </c>
      <c r="OG33" s="476" t="s">
        <v>721</v>
      </c>
      <c r="OH33" s="476">
        <v>1.6E-2</v>
      </c>
      <c r="OI33" s="476">
        <v>1E-3</v>
      </c>
      <c r="OJ33" s="476">
        <v>6.0000000000000001E-3</v>
      </c>
      <c r="OK33" s="476">
        <v>3.0000000000000001E-3</v>
      </c>
      <c r="OL33" s="476" t="s">
        <v>721</v>
      </c>
      <c r="OM33" s="476" t="s">
        <v>721</v>
      </c>
      <c r="ON33" s="476" t="s">
        <v>721</v>
      </c>
      <c r="OO33" s="476">
        <v>2E-3</v>
      </c>
      <c r="OP33" s="476">
        <v>0</v>
      </c>
      <c r="OQ33" s="476" t="s">
        <v>721</v>
      </c>
      <c r="OR33" s="476" t="s">
        <v>721</v>
      </c>
      <c r="OS33" s="476" t="s">
        <v>721</v>
      </c>
      <c r="OT33" s="476">
        <v>5.0000000000000001E-3</v>
      </c>
      <c r="OU33" s="476" t="s">
        <v>721</v>
      </c>
      <c r="OV33" s="476" t="s">
        <v>721</v>
      </c>
      <c r="OW33" s="476">
        <v>2.1999999999999999E-2</v>
      </c>
      <c r="OX33" s="476">
        <v>0</v>
      </c>
      <c r="OY33" s="476">
        <v>1E-3</v>
      </c>
      <c r="OZ33" s="476">
        <v>6.2E-2</v>
      </c>
      <c r="PA33" s="476">
        <v>0.26</v>
      </c>
      <c r="PB33" s="476">
        <v>1E-3</v>
      </c>
      <c r="PC33" s="476">
        <v>0</v>
      </c>
      <c r="PD33" s="476" t="s">
        <v>721</v>
      </c>
      <c r="PE33" s="476">
        <v>0</v>
      </c>
      <c r="PF33" s="476">
        <v>0.121</v>
      </c>
      <c r="PG33" s="476">
        <v>2E-3</v>
      </c>
      <c r="PH33" s="476">
        <v>1E-3</v>
      </c>
      <c r="PI33" s="476">
        <v>3.7999999999999999E-2</v>
      </c>
      <c r="PJ33" s="476">
        <v>5.0000000000000001E-3</v>
      </c>
      <c r="PK33" s="476">
        <v>7.0000000000000001E-3</v>
      </c>
      <c r="PL33" s="476">
        <v>0.56499999999999995</v>
      </c>
      <c r="PM33" s="476">
        <v>4.0000000000000001E-3</v>
      </c>
      <c r="PN33" s="476" t="s">
        <v>721</v>
      </c>
      <c r="PO33" s="476">
        <v>8.0000000000000002E-3</v>
      </c>
      <c r="PP33" s="476">
        <v>5.0000000000000001E-3</v>
      </c>
      <c r="PQ33" s="476">
        <v>2E-3</v>
      </c>
      <c r="PR33" s="476">
        <v>1E-3</v>
      </c>
      <c r="PS33" s="476" t="s">
        <v>721</v>
      </c>
      <c r="PT33" s="476" t="s">
        <v>721</v>
      </c>
      <c r="PU33" s="476" t="s">
        <v>721</v>
      </c>
      <c r="PV33" s="476">
        <v>1E-3</v>
      </c>
      <c r="PW33" s="476" t="s">
        <v>721</v>
      </c>
      <c r="PX33" s="476" t="s">
        <v>721</v>
      </c>
      <c r="PY33" s="476" t="s">
        <v>721</v>
      </c>
      <c r="PZ33" s="476" t="s">
        <v>721</v>
      </c>
      <c r="QA33" s="476">
        <v>2E-3</v>
      </c>
      <c r="QB33" s="476">
        <v>0</v>
      </c>
      <c r="QC33" s="476" t="s">
        <v>721</v>
      </c>
      <c r="QD33" s="476">
        <v>1.2999999999999999E-2</v>
      </c>
      <c r="QE33" s="476" t="s">
        <v>721</v>
      </c>
      <c r="QF33" s="476">
        <v>1E-3</v>
      </c>
      <c r="QG33" s="476">
        <v>0.03</v>
      </c>
      <c r="QH33" s="476">
        <v>0.193</v>
      </c>
      <c r="QI33" s="476" t="s">
        <v>721</v>
      </c>
      <c r="QJ33" s="476" t="s">
        <v>721</v>
      </c>
      <c r="QK33" s="476" t="s">
        <v>721</v>
      </c>
      <c r="QL33" s="476">
        <v>0.248</v>
      </c>
      <c r="QM33" s="476">
        <v>0.28100000000000003</v>
      </c>
      <c r="QN33" s="476">
        <v>0.02</v>
      </c>
      <c r="QO33" s="476">
        <v>2.9000000000000001E-2</v>
      </c>
      <c r="QP33" s="476" t="s">
        <v>721</v>
      </c>
      <c r="QQ33" s="476">
        <v>3.4000000000000002E-2</v>
      </c>
      <c r="QR33" s="476">
        <v>1.9E-2</v>
      </c>
      <c r="QS33" s="476" t="s">
        <v>721</v>
      </c>
      <c r="QT33" s="476">
        <v>2.7E-2</v>
      </c>
      <c r="QU33" s="476" t="s">
        <v>721</v>
      </c>
      <c r="QV33" s="476" t="s">
        <v>721</v>
      </c>
      <c r="QW33" s="476">
        <v>0.04</v>
      </c>
      <c r="QX33" s="476" t="s">
        <v>721</v>
      </c>
      <c r="QY33" s="476">
        <v>1.2999999999999999E-2</v>
      </c>
      <c r="QZ33" s="476" t="s">
        <v>721</v>
      </c>
      <c r="RA33" s="476" t="s">
        <v>721</v>
      </c>
      <c r="RB33" s="476" t="s">
        <v>721</v>
      </c>
      <c r="RC33" s="476">
        <v>0.19800000000000001</v>
      </c>
      <c r="RD33" s="476">
        <v>8.3000000000000004E-2</v>
      </c>
      <c r="RE33" s="476">
        <v>0.376</v>
      </c>
      <c r="RF33" s="476">
        <v>0.33700000000000002</v>
      </c>
      <c r="RG33" s="476" t="s">
        <v>721</v>
      </c>
      <c r="RH33" s="476" t="s">
        <v>721</v>
      </c>
      <c r="RI33" s="476" t="s">
        <v>721</v>
      </c>
      <c r="RJ33" s="476" t="s">
        <v>721</v>
      </c>
      <c r="RK33" s="476" t="s">
        <v>721</v>
      </c>
      <c r="RL33" s="476" t="s">
        <v>721</v>
      </c>
      <c r="RM33" s="476" t="s">
        <v>721</v>
      </c>
      <c r="RN33" s="476" t="s">
        <v>721</v>
      </c>
      <c r="RO33" s="476" t="s">
        <v>721</v>
      </c>
      <c r="RP33" s="476" t="s">
        <v>721</v>
      </c>
      <c r="RQ33" s="476" t="s">
        <v>721</v>
      </c>
      <c r="RR33" s="476" t="s">
        <v>721</v>
      </c>
      <c r="RS33" s="476" t="s">
        <v>721</v>
      </c>
      <c r="RT33" s="476" t="s">
        <v>721</v>
      </c>
      <c r="RU33" s="476" t="s">
        <v>721</v>
      </c>
      <c r="RV33" s="476">
        <v>0.10100000000000001</v>
      </c>
      <c r="RW33" s="476">
        <v>7.9000000000000001E-2</v>
      </c>
      <c r="RX33" s="476">
        <v>0.3</v>
      </c>
      <c r="RY33" s="476">
        <v>0.26100000000000001</v>
      </c>
      <c r="RZ33" s="476">
        <v>2.9000000000000001E-2</v>
      </c>
      <c r="SA33" s="476">
        <v>1.7999999999999999E-2</v>
      </c>
      <c r="SB33" s="476">
        <v>2E-3</v>
      </c>
      <c r="SC33" s="476">
        <v>2.5999999999999999E-2</v>
      </c>
      <c r="SD33" s="476">
        <v>8.0000000000000002E-3</v>
      </c>
      <c r="SE33" s="476">
        <v>0</v>
      </c>
      <c r="SF33" s="476">
        <v>0.03</v>
      </c>
      <c r="SG33" s="476">
        <v>6.0000000000000001E-3</v>
      </c>
      <c r="SH33" s="476">
        <v>2E-3</v>
      </c>
      <c r="SI33" s="476">
        <v>5.0999999999999997E-2</v>
      </c>
      <c r="SJ33" s="476">
        <v>1E-3</v>
      </c>
      <c r="SK33" s="476">
        <v>1.4999999999999999E-2</v>
      </c>
      <c r="SL33" s="476">
        <v>0</v>
      </c>
      <c r="SM33" s="476">
        <v>0</v>
      </c>
      <c r="SN33" s="476">
        <v>2E-3</v>
      </c>
      <c r="SO33" s="476">
        <v>0.20799999999999999</v>
      </c>
      <c r="SP33" s="476">
        <v>3.7999999999999999E-2</v>
      </c>
      <c r="SQ33" s="476">
        <v>0.33700000000000002</v>
      </c>
      <c r="SR33" s="476">
        <v>0.33500000000000002</v>
      </c>
      <c r="SS33" s="476">
        <v>2.7E-2</v>
      </c>
      <c r="ST33" s="476">
        <v>2.1000000000000001E-2</v>
      </c>
      <c r="SU33" s="476" t="s">
        <v>721</v>
      </c>
      <c r="SV33" s="476">
        <v>2.4E-2</v>
      </c>
      <c r="SW33" s="476">
        <v>5.0000000000000001E-3</v>
      </c>
      <c r="SX33" s="476" t="s">
        <v>721</v>
      </c>
      <c r="SY33" s="476">
        <v>2.1999999999999999E-2</v>
      </c>
      <c r="SZ33" s="476">
        <v>4.0000000000000001E-3</v>
      </c>
      <c r="TA33" s="476">
        <v>4.0000000000000001E-3</v>
      </c>
      <c r="TB33" s="476">
        <v>3.5000000000000003E-2</v>
      </c>
      <c r="TC33" s="476" t="s">
        <v>721</v>
      </c>
      <c r="TD33" s="476">
        <v>1.2999999999999999E-2</v>
      </c>
      <c r="TE33" s="476" t="s">
        <v>721</v>
      </c>
      <c r="TF33" s="476" t="s">
        <v>721</v>
      </c>
      <c r="TG33" s="476" t="s">
        <v>721</v>
      </c>
      <c r="TH33" s="476">
        <v>0.125</v>
      </c>
      <c r="TI33" s="476">
        <v>4.4999999999999998E-2</v>
      </c>
      <c r="TJ33" s="476">
        <v>0.29899999999999999</v>
      </c>
      <c r="TK33" s="476">
        <v>0.24199999999999999</v>
      </c>
      <c r="TL33" s="476">
        <v>2.5000000000000001E-2</v>
      </c>
      <c r="TM33" s="476">
        <v>0.02</v>
      </c>
      <c r="TN33" s="476" t="s">
        <v>721</v>
      </c>
      <c r="TO33" s="476">
        <v>3.1E-2</v>
      </c>
      <c r="TP33" s="476">
        <v>5.0000000000000001E-3</v>
      </c>
      <c r="TQ33" s="476" t="s">
        <v>721</v>
      </c>
      <c r="TR33" s="476">
        <v>3.2000000000000001E-2</v>
      </c>
      <c r="TS33" s="476">
        <v>0.01</v>
      </c>
      <c r="TT33" s="476" t="s">
        <v>721</v>
      </c>
      <c r="TU33" s="476">
        <v>2.4E-2</v>
      </c>
      <c r="TV33" s="476" t="s">
        <v>721</v>
      </c>
      <c r="TW33" s="476">
        <v>0.02</v>
      </c>
      <c r="TX33" s="476" t="s">
        <v>721</v>
      </c>
      <c r="TY33" s="476" t="s">
        <v>721</v>
      </c>
      <c r="TZ33" s="476">
        <v>4.0000000000000001E-3</v>
      </c>
      <c r="UA33" s="476">
        <v>0.253</v>
      </c>
      <c r="UB33" s="476">
        <v>0.03</v>
      </c>
      <c r="UC33" s="476">
        <v>0.247</v>
      </c>
      <c r="UD33" s="476">
        <v>0.222</v>
      </c>
      <c r="UE33" s="476">
        <v>2.5000000000000001E-2</v>
      </c>
      <c r="UF33" s="476">
        <v>1.6E-2</v>
      </c>
      <c r="UG33" s="476">
        <v>2E-3</v>
      </c>
      <c r="UH33" s="476">
        <v>2.3E-2</v>
      </c>
      <c r="UI33" s="476">
        <v>1.2E-2</v>
      </c>
      <c r="UJ33" s="476">
        <v>0</v>
      </c>
      <c r="UK33" s="476">
        <v>0.03</v>
      </c>
      <c r="UL33" s="476">
        <v>7.0000000000000001E-3</v>
      </c>
      <c r="UM33" s="476">
        <v>2E-3</v>
      </c>
      <c r="UN33" s="476">
        <v>0.06</v>
      </c>
      <c r="UO33" s="476">
        <v>1E-3</v>
      </c>
      <c r="UP33" s="476">
        <v>1.2999999999999999E-2</v>
      </c>
      <c r="UQ33" s="476" t="s">
        <v>721</v>
      </c>
      <c r="UR33" s="476" t="s">
        <v>721</v>
      </c>
      <c r="US33" s="476">
        <v>2E-3</v>
      </c>
      <c r="UT33" s="476">
        <v>0.29499999999999998</v>
      </c>
      <c r="UU33" s="476">
        <v>0.04</v>
      </c>
      <c r="UV33" s="476">
        <v>0.316</v>
      </c>
      <c r="UW33" s="476">
        <v>0.27300000000000002</v>
      </c>
      <c r="UX33" s="476">
        <v>3.1E-2</v>
      </c>
      <c r="UY33" s="476">
        <v>0.02</v>
      </c>
      <c r="UZ33" s="476">
        <v>1E-3</v>
      </c>
      <c r="VA33" s="476">
        <v>3.3000000000000002E-2</v>
      </c>
      <c r="VB33" s="476">
        <v>8.0000000000000002E-3</v>
      </c>
      <c r="VC33" s="476" t="s">
        <v>721</v>
      </c>
      <c r="VD33" s="476">
        <v>3.3000000000000002E-2</v>
      </c>
      <c r="VE33" s="476">
        <v>7.0000000000000001E-3</v>
      </c>
      <c r="VF33" s="476">
        <v>2E-3</v>
      </c>
      <c r="VG33" s="476">
        <v>0.04</v>
      </c>
      <c r="VH33" s="476">
        <v>2E-3</v>
      </c>
      <c r="VI33" s="476">
        <v>0.02</v>
      </c>
      <c r="VJ33" s="476" t="s">
        <v>721</v>
      </c>
      <c r="VK33" s="476" t="s">
        <v>721</v>
      </c>
      <c r="VL33" s="476">
        <v>3.0000000000000001E-3</v>
      </c>
      <c r="VM33" s="476">
        <v>0.17899999999999999</v>
      </c>
      <c r="VN33" s="476">
        <v>3.2000000000000001E-2</v>
      </c>
      <c r="VO33" s="28"/>
      <c r="VP33" s="28"/>
      <c r="VQ33" s="28"/>
      <c r="VR33" s="28"/>
      <c r="VS33" s="28"/>
      <c r="VT33" s="28"/>
      <c r="VU33" s="28"/>
      <c r="VV33" s="28"/>
      <c r="VW33" s="28"/>
      <c r="VX33" s="28"/>
      <c r="VY33" s="28"/>
      <c r="VZ33" s="28"/>
      <c r="WA33" s="28"/>
      <c r="WB33" s="28"/>
      <c r="WC33" s="28"/>
      <c r="WD33" s="28"/>
      <c r="WE33" s="28"/>
      <c r="WF33" s="28"/>
      <c r="WG33" s="28"/>
      <c r="WH33" s="28"/>
      <c r="WI33" s="28"/>
      <c r="WJ33" s="28"/>
      <c r="WK33" s="28"/>
      <c r="WL33" s="28"/>
      <c r="WM33" s="28"/>
      <c r="WN33" s="28"/>
      <c r="WO33" s="28"/>
      <c r="WP33" s="28"/>
      <c r="WQ33" s="28"/>
      <c r="WR33" s="28"/>
      <c r="WS33" s="28"/>
      <c r="WT33" s="28"/>
      <c r="WU33" s="28"/>
      <c r="WV33" s="28"/>
      <c r="WW33" s="28"/>
    </row>
    <row r="34" spans="1:621" s="151" customFormat="1" ht="15.75" customHeight="1" x14ac:dyDescent="0.35">
      <c r="A34" s="477" t="s">
        <v>43</v>
      </c>
      <c r="B34" s="492" t="s">
        <v>17</v>
      </c>
      <c r="C34" s="493">
        <v>15.9</v>
      </c>
      <c r="D34" s="494">
        <v>4589</v>
      </c>
      <c r="E34" s="473">
        <v>669277.30000000005</v>
      </c>
      <c r="F34" s="473">
        <v>145.80000000000001</v>
      </c>
      <c r="G34" s="474">
        <v>4564</v>
      </c>
      <c r="H34" s="474">
        <v>4487</v>
      </c>
      <c r="I34" s="474">
        <v>2423</v>
      </c>
      <c r="J34" s="474">
        <v>1920</v>
      </c>
      <c r="K34" s="474">
        <v>1801</v>
      </c>
      <c r="L34" s="473">
        <v>348266.6</v>
      </c>
      <c r="M34" s="474">
        <v>2753</v>
      </c>
      <c r="N34" s="473">
        <v>321010.7</v>
      </c>
      <c r="O34" s="494">
        <v>1109</v>
      </c>
      <c r="P34" s="495">
        <v>195080.9</v>
      </c>
      <c r="Q34" s="494">
        <v>668</v>
      </c>
      <c r="R34" s="495">
        <v>30779.8</v>
      </c>
      <c r="S34" s="494">
        <v>928</v>
      </c>
      <c r="T34" s="495">
        <v>111338.4</v>
      </c>
      <c r="U34" s="494">
        <v>55</v>
      </c>
      <c r="V34" s="495">
        <v>8522.7999999999993</v>
      </c>
      <c r="W34" s="494">
        <v>3606</v>
      </c>
      <c r="X34" s="495">
        <v>549416.1</v>
      </c>
      <c r="Y34" s="494">
        <v>4490</v>
      </c>
      <c r="Z34" s="494">
        <v>2925</v>
      </c>
      <c r="AA34" s="494">
        <v>3234</v>
      </c>
      <c r="AB34" s="494">
        <v>2567</v>
      </c>
      <c r="AC34" s="494">
        <v>172</v>
      </c>
      <c r="AD34" s="494">
        <v>1573</v>
      </c>
      <c r="AE34" s="494">
        <v>1613</v>
      </c>
      <c r="AF34" s="495">
        <v>111617.8</v>
      </c>
      <c r="AG34" s="494">
        <v>2708</v>
      </c>
      <c r="AH34" s="495">
        <v>538839.1</v>
      </c>
      <c r="AI34" s="494">
        <v>137</v>
      </c>
      <c r="AJ34" s="495">
        <v>6342.7</v>
      </c>
      <c r="AK34" s="494">
        <v>96</v>
      </c>
      <c r="AL34" s="495">
        <v>12477.7</v>
      </c>
      <c r="AM34" s="496">
        <v>2498</v>
      </c>
      <c r="AN34" s="496">
        <v>2091</v>
      </c>
      <c r="AO34" s="496">
        <v>2597</v>
      </c>
      <c r="AP34" s="496">
        <v>426</v>
      </c>
      <c r="AQ34" s="496">
        <v>168</v>
      </c>
      <c r="AR34" s="496">
        <v>120</v>
      </c>
      <c r="AS34" s="496">
        <v>37</v>
      </c>
      <c r="AT34" s="496">
        <v>138</v>
      </c>
      <c r="AU34" s="496">
        <v>781</v>
      </c>
      <c r="AV34" s="496" t="s">
        <v>721</v>
      </c>
      <c r="AW34" s="496">
        <v>41</v>
      </c>
      <c r="AX34" s="496" t="s">
        <v>721</v>
      </c>
      <c r="AY34" s="496" t="s">
        <v>721</v>
      </c>
      <c r="AZ34" s="496">
        <v>17</v>
      </c>
      <c r="BA34" s="496" t="s">
        <v>721</v>
      </c>
      <c r="BB34" s="496">
        <v>109</v>
      </c>
      <c r="BC34" s="496" t="s">
        <v>721</v>
      </c>
      <c r="BD34" s="496" t="s">
        <v>721</v>
      </c>
      <c r="BE34" s="496" t="s">
        <v>721</v>
      </c>
      <c r="BF34" s="496">
        <v>33</v>
      </c>
      <c r="BG34" s="496">
        <v>105</v>
      </c>
      <c r="BH34" s="496" t="s">
        <v>721</v>
      </c>
      <c r="BI34" s="496">
        <v>139</v>
      </c>
      <c r="BJ34" s="496">
        <v>13</v>
      </c>
      <c r="BK34" s="496" t="s">
        <v>721</v>
      </c>
      <c r="BL34" s="496">
        <v>12</v>
      </c>
      <c r="BM34" s="496">
        <v>48</v>
      </c>
      <c r="BN34" s="496">
        <v>165</v>
      </c>
      <c r="BO34" s="496">
        <v>3752</v>
      </c>
      <c r="BP34" s="496">
        <v>17</v>
      </c>
      <c r="BQ34" s="496" t="s">
        <v>721</v>
      </c>
      <c r="BR34" s="496">
        <v>23</v>
      </c>
      <c r="BS34" s="496" t="s">
        <v>721</v>
      </c>
      <c r="BT34" s="496" t="s">
        <v>721</v>
      </c>
      <c r="BU34" s="496">
        <v>16</v>
      </c>
      <c r="BV34" s="496" t="s">
        <v>721</v>
      </c>
      <c r="BW34" s="496" t="s">
        <v>721</v>
      </c>
      <c r="BX34" s="496" t="s">
        <v>721</v>
      </c>
      <c r="BY34" s="496" t="s">
        <v>721</v>
      </c>
      <c r="BZ34" s="496" t="s">
        <v>721</v>
      </c>
      <c r="CA34" s="496" t="s">
        <v>721</v>
      </c>
      <c r="CB34" s="496" t="s">
        <v>721</v>
      </c>
      <c r="CC34" s="496" t="s">
        <v>721</v>
      </c>
      <c r="CD34" s="496">
        <v>157</v>
      </c>
      <c r="CE34" s="496" t="s">
        <v>721</v>
      </c>
      <c r="CF34" s="496" t="s">
        <v>721</v>
      </c>
      <c r="CG34" s="496">
        <v>50</v>
      </c>
      <c r="CH34" s="496" t="s">
        <v>721</v>
      </c>
      <c r="CI34" s="496" t="s">
        <v>721</v>
      </c>
      <c r="CJ34" s="496">
        <v>102</v>
      </c>
      <c r="CK34" s="496">
        <v>24</v>
      </c>
      <c r="CL34" s="496" t="s">
        <v>721</v>
      </c>
      <c r="CM34" s="496">
        <v>29</v>
      </c>
      <c r="CN34" s="496">
        <v>13</v>
      </c>
      <c r="CO34" s="496" t="s">
        <v>721</v>
      </c>
      <c r="CP34" s="496">
        <v>71</v>
      </c>
      <c r="CQ34" s="496" t="s">
        <v>721</v>
      </c>
      <c r="CR34" s="496" t="s">
        <v>721</v>
      </c>
      <c r="CS34" s="496" t="s">
        <v>721</v>
      </c>
      <c r="CT34" s="496">
        <v>27</v>
      </c>
      <c r="CU34" s="496">
        <v>44</v>
      </c>
      <c r="CV34" s="496">
        <v>3981</v>
      </c>
      <c r="CW34" s="496">
        <v>175</v>
      </c>
      <c r="CX34" s="496" t="s">
        <v>721</v>
      </c>
      <c r="CY34" s="496" t="s">
        <v>721</v>
      </c>
      <c r="CZ34" s="496" t="s">
        <v>721</v>
      </c>
      <c r="DA34" s="496" t="s">
        <v>721</v>
      </c>
      <c r="DB34" s="496" t="s">
        <v>721</v>
      </c>
      <c r="DC34" s="496" t="s">
        <v>721</v>
      </c>
      <c r="DD34" s="496" t="s">
        <v>721</v>
      </c>
      <c r="DE34" s="496" t="s">
        <v>721</v>
      </c>
      <c r="DF34" s="496" t="s">
        <v>721</v>
      </c>
      <c r="DG34" s="496" t="s">
        <v>721</v>
      </c>
      <c r="DH34" s="496" t="s">
        <v>721</v>
      </c>
      <c r="DI34" s="496" t="s">
        <v>721</v>
      </c>
      <c r="DJ34" s="496" t="s">
        <v>721</v>
      </c>
      <c r="DK34" s="496">
        <v>76</v>
      </c>
      <c r="DL34" s="496" t="s">
        <v>721</v>
      </c>
      <c r="DM34" s="496" t="s">
        <v>721</v>
      </c>
      <c r="DN34" s="496">
        <v>14</v>
      </c>
      <c r="DO34" s="496" t="s">
        <v>721</v>
      </c>
      <c r="DP34" s="496" t="s">
        <v>721</v>
      </c>
      <c r="DQ34" s="496">
        <v>55</v>
      </c>
      <c r="DR34" s="496">
        <v>11</v>
      </c>
      <c r="DS34" s="483" t="s">
        <v>721</v>
      </c>
      <c r="DT34" s="483" t="s">
        <v>721</v>
      </c>
      <c r="DU34" s="483" t="s">
        <v>721</v>
      </c>
      <c r="DV34" s="496">
        <v>875</v>
      </c>
      <c r="DW34" s="497">
        <v>167457.5</v>
      </c>
      <c r="DX34" s="496">
        <v>1036</v>
      </c>
      <c r="DY34" s="497">
        <v>185067.8</v>
      </c>
      <c r="DZ34" s="496">
        <v>805</v>
      </c>
      <c r="EA34" s="497">
        <v>94230.5</v>
      </c>
      <c r="EB34" s="496">
        <v>757</v>
      </c>
      <c r="EC34" s="497">
        <v>82043.100000000006</v>
      </c>
      <c r="ED34" s="496">
        <v>669</v>
      </c>
      <c r="EE34" s="497">
        <v>78579.899999999994</v>
      </c>
      <c r="EF34" s="496">
        <v>447</v>
      </c>
      <c r="EG34" s="497">
        <v>61898.5</v>
      </c>
      <c r="EH34" s="485">
        <v>3411</v>
      </c>
      <c r="EI34" s="486">
        <v>11691.1</v>
      </c>
      <c r="EJ34" s="485">
        <v>3408</v>
      </c>
      <c r="EK34" s="486">
        <v>78579.5</v>
      </c>
      <c r="EL34" s="485">
        <v>3371</v>
      </c>
      <c r="EM34" s="486">
        <v>33818.199999999997</v>
      </c>
      <c r="EN34" s="485">
        <v>3768</v>
      </c>
      <c r="EO34" s="486">
        <v>19396.7</v>
      </c>
      <c r="EP34" s="485">
        <v>3408</v>
      </c>
      <c r="EQ34" s="486">
        <v>9664.1</v>
      </c>
      <c r="ER34" s="485">
        <v>3383</v>
      </c>
      <c r="ES34" s="486">
        <v>6786.3</v>
      </c>
      <c r="ET34" s="485">
        <v>0</v>
      </c>
      <c r="EU34" s="485">
        <v>3127</v>
      </c>
      <c r="EV34" s="486">
        <v>52002.6</v>
      </c>
      <c r="EW34" s="485">
        <v>799</v>
      </c>
      <c r="EX34" s="486">
        <v>6963.1</v>
      </c>
      <c r="EY34" s="485">
        <v>2700</v>
      </c>
      <c r="EZ34" s="486">
        <v>32476.7</v>
      </c>
      <c r="FA34" s="485">
        <v>632</v>
      </c>
      <c r="FB34" s="486">
        <v>6557.1</v>
      </c>
      <c r="FC34" s="485">
        <v>3857</v>
      </c>
      <c r="FD34" s="486">
        <v>51000.5</v>
      </c>
      <c r="FE34" s="485">
        <v>3872</v>
      </c>
      <c r="FF34" s="486">
        <v>31219.599999999999</v>
      </c>
      <c r="FG34" s="485">
        <v>2485</v>
      </c>
      <c r="FH34" s="486">
        <v>29083.200000000001</v>
      </c>
      <c r="FI34" s="485">
        <v>2563</v>
      </c>
      <c r="FJ34" s="486">
        <v>16964.7</v>
      </c>
      <c r="FK34" s="485">
        <v>2943</v>
      </c>
      <c r="FL34" s="486">
        <v>11255</v>
      </c>
      <c r="FM34" s="485">
        <v>286</v>
      </c>
      <c r="FN34" s="486">
        <v>676.9</v>
      </c>
      <c r="FO34" s="485">
        <v>3410</v>
      </c>
      <c r="FP34" s="486">
        <v>25819.4</v>
      </c>
      <c r="FQ34" s="485">
        <v>3859</v>
      </c>
      <c r="FR34" s="486">
        <v>18024.599999999999</v>
      </c>
      <c r="FS34" s="485">
        <v>167</v>
      </c>
      <c r="FT34" s="486">
        <v>1428.8</v>
      </c>
      <c r="FU34" s="485">
        <v>0</v>
      </c>
      <c r="FV34" s="486">
        <v>0</v>
      </c>
      <c r="FW34" s="485">
        <v>0</v>
      </c>
      <c r="FX34" s="486">
        <v>0</v>
      </c>
      <c r="FY34" s="485">
        <v>0</v>
      </c>
      <c r="FZ34" s="486">
        <v>0</v>
      </c>
      <c r="GA34" s="485">
        <v>0</v>
      </c>
      <c r="GB34" s="485">
        <v>0</v>
      </c>
      <c r="GC34" s="487">
        <v>0</v>
      </c>
      <c r="GD34" s="488">
        <v>19</v>
      </c>
      <c r="GE34" s="488">
        <v>94</v>
      </c>
      <c r="GF34" s="488">
        <v>1799</v>
      </c>
      <c r="GG34" s="488">
        <v>4</v>
      </c>
      <c r="GH34" s="488">
        <v>2</v>
      </c>
      <c r="GI34" s="488">
        <v>1</v>
      </c>
      <c r="GJ34" s="488">
        <v>0</v>
      </c>
      <c r="GK34" s="488">
        <v>520</v>
      </c>
      <c r="GL34" s="488">
        <v>1385</v>
      </c>
      <c r="GM34" s="488">
        <v>1912</v>
      </c>
      <c r="GN34" s="488">
        <v>1201</v>
      </c>
      <c r="GO34" s="488">
        <v>130</v>
      </c>
      <c r="GP34" s="488">
        <v>3</v>
      </c>
      <c r="GQ34" s="488">
        <v>45</v>
      </c>
      <c r="GR34" s="488">
        <v>12</v>
      </c>
      <c r="GS34" s="488">
        <v>60</v>
      </c>
      <c r="GT34" s="489">
        <v>3333</v>
      </c>
      <c r="GU34" s="488">
        <v>4</v>
      </c>
      <c r="GV34" s="490">
        <v>0</v>
      </c>
      <c r="GW34" s="490">
        <v>4</v>
      </c>
      <c r="GX34" s="490">
        <v>8</v>
      </c>
      <c r="GY34" s="491">
        <v>29</v>
      </c>
      <c r="GZ34" s="491">
        <v>32</v>
      </c>
      <c r="HA34" s="491">
        <v>61</v>
      </c>
      <c r="HB34" s="475">
        <v>3</v>
      </c>
      <c r="HC34" s="475">
        <v>0</v>
      </c>
      <c r="HD34" s="475">
        <v>0</v>
      </c>
      <c r="HE34" s="475">
        <v>0</v>
      </c>
      <c r="HF34" s="475">
        <v>0</v>
      </c>
      <c r="HG34" s="475">
        <v>3</v>
      </c>
      <c r="HH34" s="475">
        <v>0</v>
      </c>
      <c r="HI34" s="475">
        <v>0</v>
      </c>
      <c r="HJ34" s="475">
        <v>0</v>
      </c>
      <c r="HK34" s="475">
        <v>0</v>
      </c>
      <c r="HL34" s="475">
        <v>0</v>
      </c>
      <c r="HM34" s="475">
        <v>0</v>
      </c>
      <c r="HN34" s="475">
        <v>0</v>
      </c>
      <c r="HO34" s="475">
        <v>0</v>
      </c>
      <c r="HP34" s="475">
        <v>0</v>
      </c>
      <c r="HQ34" s="475">
        <v>0</v>
      </c>
      <c r="HR34" s="475">
        <v>12</v>
      </c>
      <c r="HS34" s="475">
        <v>0</v>
      </c>
      <c r="HT34" s="475">
        <v>0</v>
      </c>
      <c r="HU34" s="475">
        <v>0</v>
      </c>
      <c r="HV34" s="475">
        <v>0</v>
      </c>
      <c r="HW34" s="475">
        <v>0</v>
      </c>
      <c r="HX34" s="475">
        <v>0</v>
      </c>
      <c r="HY34" s="475">
        <v>0</v>
      </c>
      <c r="HZ34" s="475">
        <v>64</v>
      </c>
      <c r="IA34" s="475">
        <v>19</v>
      </c>
      <c r="IB34" s="475" t="s">
        <v>721</v>
      </c>
      <c r="IC34" s="475" t="s">
        <v>721</v>
      </c>
      <c r="ID34" s="475" t="s">
        <v>721</v>
      </c>
      <c r="IE34" s="475" t="s">
        <v>721</v>
      </c>
      <c r="IF34" s="475">
        <v>27</v>
      </c>
      <c r="IG34" s="475" t="s">
        <v>721</v>
      </c>
      <c r="IH34" s="475" t="s">
        <v>721</v>
      </c>
      <c r="II34" s="475" t="s">
        <v>721</v>
      </c>
      <c r="IJ34" s="475" t="s">
        <v>721</v>
      </c>
      <c r="IK34" s="475" t="s">
        <v>721</v>
      </c>
      <c r="IL34" s="475" t="s">
        <v>721</v>
      </c>
      <c r="IM34" s="475" t="s">
        <v>721</v>
      </c>
      <c r="IN34" s="475" t="s">
        <v>721</v>
      </c>
      <c r="IO34" s="475" t="s">
        <v>721</v>
      </c>
      <c r="IP34" s="475" t="s">
        <v>721</v>
      </c>
      <c r="IQ34" s="475" t="s">
        <v>721</v>
      </c>
      <c r="IR34" s="475" t="s">
        <v>721</v>
      </c>
      <c r="IS34" s="475">
        <v>31</v>
      </c>
      <c r="IT34" s="475" t="s">
        <v>721</v>
      </c>
      <c r="IU34" s="475" t="s">
        <v>721</v>
      </c>
      <c r="IV34" s="475" t="s">
        <v>721</v>
      </c>
      <c r="IW34" s="475" t="s">
        <v>721</v>
      </c>
      <c r="IX34" s="475" t="s">
        <v>721</v>
      </c>
      <c r="IY34" s="475">
        <v>13</v>
      </c>
      <c r="IZ34" s="475" t="s">
        <v>721</v>
      </c>
      <c r="JA34" s="475" t="s">
        <v>721</v>
      </c>
      <c r="JB34" s="475" t="s">
        <v>721</v>
      </c>
      <c r="JC34" s="475" t="s">
        <v>721</v>
      </c>
      <c r="JD34" s="475" t="s">
        <v>721</v>
      </c>
      <c r="JE34" s="475" t="s">
        <v>721</v>
      </c>
      <c r="JF34" s="475" t="s">
        <v>721</v>
      </c>
      <c r="JG34" s="475" t="s">
        <v>721</v>
      </c>
      <c r="JH34" s="475" t="s">
        <v>721</v>
      </c>
      <c r="JI34" s="475" t="s">
        <v>721</v>
      </c>
      <c r="JJ34" s="475" t="s">
        <v>721</v>
      </c>
      <c r="JK34" s="475" t="s">
        <v>721</v>
      </c>
      <c r="JL34" s="755">
        <v>383342.4</v>
      </c>
      <c r="JM34" s="755">
        <v>63405.2</v>
      </c>
      <c r="JN34" s="755">
        <v>26853.9</v>
      </c>
      <c r="JO34" s="755">
        <v>18084.900000000001</v>
      </c>
      <c r="JP34" s="755">
        <v>4220.2</v>
      </c>
      <c r="JQ34" s="755">
        <v>22946.799999999999</v>
      </c>
      <c r="JR34" s="755">
        <v>104890</v>
      </c>
      <c r="JS34" s="755">
        <v>436.7</v>
      </c>
      <c r="JT34" s="755">
        <v>5719.7</v>
      </c>
      <c r="JU34" s="755">
        <v>621.20000000000005</v>
      </c>
      <c r="JV34" s="755">
        <v>859</v>
      </c>
      <c r="JW34" s="755">
        <v>2446.9</v>
      </c>
      <c r="JX34" s="755" t="s">
        <v>721</v>
      </c>
      <c r="JY34" s="755">
        <v>15422.6</v>
      </c>
      <c r="JZ34" s="755">
        <v>250.6</v>
      </c>
      <c r="KA34" s="755">
        <v>127.5</v>
      </c>
      <c r="KB34" s="755">
        <v>641.20000000000005</v>
      </c>
      <c r="KC34" s="755">
        <v>4681.6000000000004</v>
      </c>
      <c r="KD34" s="755">
        <v>14326.9</v>
      </c>
      <c r="KE34" s="475">
        <v>607</v>
      </c>
      <c r="KF34" s="475">
        <v>106</v>
      </c>
      <c r="KG34" s="475">
        <v>46</v>
      </c>
      <c r="KH34" s="475">
        <v>32</v>
      </c>
      <c r="KI34" s="475" t="s">
        <v>721</v>
      </c>
      <c r="KJ34" s="475">
        <v>55</v>
      </c>
      <c r="KK34" s="475">
        <v>195</v>
      </c>
      <c r="KL34" s="475" t="s">
        <v>721</v>
      </c>
      <c r="KM34" s="475" t="s">
        <v>721</v>
      </c>
      <c r="KN34" s="475" t="s">
        <v>721</v>
      </c>
      <c r="KO34" s="475" t="s">
        <v>721</v>
      </c>
      <c r="KP34" s="475" t="s">
        <v>721</v>
      </c>
      <c r="KQ34" s="475" t="s">
        <v>721</v>
      </c>
      <c r="KR34" s="475">
        <v>18</v>
      </c>
      <c r="KS34" s="475" t="s">
        <v>721</v>
      </c>
      <c r="KT34" s="475" t="s">
        <v>721</v>
      </c>
      <c r="KU34" s="475" t="s">
        <v>721</v>
      </c>
      <c r="KV34" s="475" t="s">
        <v>721</v>
      </c>
      <c r="KW34" s="475">
        <v>20</v>
      </c>
      <c r="KX34" s="475">
        <v>380</v>
      </c>
      <c r="KY34" s="475">
        <v>64</v>
      </c>
      <c r="KZ34" s="475">
        <v>21</v>
      </c>
      <c r="LA34" s="475">
        <v>22</v>
      </c>
      <c r="LB34" s="475" t="s">
        <v>721</v>
      </c>
      <c r="LC34" s="475">
        <v>16</v>
      </c>
      <c r="LD34" s="475">
        <v>93</v>
      </c>
      <c r="LE34" s="475" t="s">
        <v>721</v>
      </c>
      <c r="LF34" s="475" t="s">
        <v>721</v>
      </c>
      <c r="LG34" s="475" t="s">
        <v>721</v>
      </c>
      <c r="LH34" s="475" t="s">
        <v>721</v>
      </c>
      <c r="LI34" s="475" t="s">
        <v>721</v>
      </c>
      <c r="LJ34" s="475" t="s">
        <v>721</v>
      </c>
      <c r="LK34" s="475">
        <v>28</v>
      </c>
      <c r="LL34" s="475" t="s">
        <v>721</v>
      </c>
      <c r="LM34" s="475" t="s">
        <v>721</v>
      </c>
      <c r="LN34" s="475" t="s">
        <v>721</v>
      </c>
      <c r="LO34" s="475" t="s">
        <v>721</v>
      </c>
      <c r="LP34" s="475">
        <v>20</v>
      </c>
      <c r="LQ34" s="475">
        <v>1529</v>
      </c>
      <c r="LR34" s="475">
        <v>238</v>
      </c>
      <c r="LS34" s="475">
        <v>95</v>
      </c>
      <c r="LT34" s="475">
        <v>65</v>
      </c>
      <c r="LU34" s="475">
        <v>23</v>
      </c>
      <c r="LV34" s="475">
        <v>89</v>
      </c>
      <c r="LW34" s="475">
        <v>552</v>
      </c>
      <c r="LX34" s="475" t="s">
        <v>721</v>
      </c>
      <c r="LY34" s="475">
        <v>21</v>
      </c>
      <c r="LZ34" s="475" t="s">
        <v>721</v>
      </c>
      <c r="MA34" s="475" t="s">
        <v>721</v>
      </c>
      <c r="MB34" s="475" t="s">
        <v>721</v>
      </c>
      <c r="MC34" s="475" t="s">
        <v>721</v>
      </c>
      <c r="MD34" s="475">
        <v>49</v>
      </c>
      <c r="ME34" s="475" t="s">
        <v>721</v>
      </c>
      <c r="MF34" s="475" t="s">
        <v>721</v>
      </c>
      <c r="MG34" s="475" t="s">
        <v>721</v>
      </c>
      <c r="MH34" s="475">
        <v>18</v>
      </c>
      <c r="MI34" s="475">
        <v>56</v>
      </c>
      <c r="MJ34" s="475">
        <v>1048</v>
      </c>
      <c r="MK34" s="475">
        <v>184</v>
      </c>
      <c r="ML34" s="475">
        <v>71</v>
      </c>
      <c r="MM34" s="475">
        <v>52</v>
      </c>
      <c r="MN34" s="475">
        <v>14</v>
      </c>
      <c r="MO34" s="475">
        <v>47</v>
      </c>
      <c r="MP34" s="475">
        <v>226</v>
      </c>
      <c r="MQ34" s="475" t="s">
        <v>721</v>
      </c>
      <c r="MR34" s="475">
        <v>20</v>
      </c>
      <c r="MS34" s="475" t="s">
        <v>721</v>
      </c>
      <c r="MT34" s="475" t="s">
        <v>721</v>
      </c>
      <c r="MU34" s="475" t="s">
        <v>721</v>
      </c>
      <c r="MV34" s="475" t="s">
        <v>721</v>
      </c>
      <c r="MW34" s="475">
        <v>60</v>
      </c>
      <c r="MX34" s="475" t="s">
        <v>721</v>
      </c>
      <c r="MY34" s="475" t="s">
        <v>721</v>
      </c>
      <c r="MZ34" s="475" t="s">
        <v>721</v>
      </c>
      <c r="NA34" s="475">
        <v>15</v>
      </c>
      <c r="NB34" s="475">
        <v>48</v>
      </c>
      <c r="NC34" s="476">
        <v>0.54400000000000004</v>
      </c>
      <c r="ND34" s="476">
        <v>0.45600000000000002</v>
      </c>
      <c r="NE34" s="476">
        <v>0.56599999999999995</v>
      </c>
      <c r="NF34" s="476">
        <v>9.2999999999999999E-2</v>
      </c>
      <c r="NG34" s="476">
        <v>3.6999999999999998E-2</v>
      </c>
      <c r="NH34" s="476">
        <v>2.5999999999999999E-2</v>
      </c>
      <c r="NI34" s="476">
        <v>8.0000000000000002E-3</v>
      </c>
      <c r="NJ34" s="476">
        <v>0.03</v>
      </c>
      <c r="NK34" s="476">
        <v>0.17</v>
      </c>
      <c r="NL34" s="476" t="s">
        <v>721</v>
      </c>
      <c r="NM34" s="476">
        <v>8.9999999999999993E-3</v>
      </c>
      <c r="NN34" s="476" t="s">
        <v>721</v>
      </c>
      <c r="NO34" s="476" t="s">
        <v>721</v>
      </c>
      <c r="NP34" s="476">
        <v>4.0000000000000001E-3</v>
      </c>
      <c r="NQ34" s="476" t="s">
        <v>721</v>
      </c>
      <c r="NR34" s="476">
        <v>2.4E-2</v>
      </c>
      <c r="NS34" s="476" t="s">
        <v>721</v>
      </c>
      <c r="NT34" s="476" t="s">
        <v>721</v>
      </c>
      <c r="NU34" s="476" t="s">
        <v>721</v>
      </c>
      <c r="NV34" s="476">
        <v>7.0000000000000001E-3</v>
      </c>
      <c r="NW34" s="476">
        <v>2.3E-2</v>
      </c>
      <c r="NX34" s="476" t="s">
        <v>721</v>
      </c>
      <c r="NY34" s="476">
        <v>0.03</v>
      </c>
      <c r="NZ34" s="476">
        <v>3.0000000000000001E-3</v>
      </c>
      <c r="OA34" s="476" t="s">
        <v>721</v>
      </c>
      <c r="OB34" s="476">
        <v>3.0000000000000001E-3</v>
      </c>
      <c r="OC34" s="476">
        <v>0.01</v>
      </c>
      <c r="OD34" s="476">
        <v>3.5999999999999997E-2</v>
      </c>
      <c r="OE34" s="476">
        <v>0.81799999999999995</v>
      </c>
      <c r="OF34" s="476">
        <v>4.0000000000000001E-3</v>
      </c>
      <c r="OG34" s="476" t="s">
        <v>721</v>
      </c>
      <c r="OH34" s="476">
        <v>5.0000000000000001E-3</v>
      </c>
      <c r="OI34" s="476" t="s">
        <v>721</v>
      </c>
      <c r="OJ34" s="476" t="s">
        <v>721</v>
      </c>
      <c r="OK34" s="476">
        <v>3.0000000000000001E-3</v>
      </c>
      <c r="OL34" s="476" t="s">
        <v>721</v>
      </c>
      <c r="OM34" s="476" t="s">
        <v>721</v>
      </c>
      <c r="ON34" s="476" t="s">
        <v>721</v>
      </c>
      <c r="OO34" s="476" t="s">
        <v>721</v>
      </c>
      <c r="OP34" s="476" t="s">
        <v>721</v>
      </c>
      <c r="OQ34" s="476" t="s">
        <v>721</v>
      </c>
      <c r="OR34" s="476" t="s">
        <v>721</v>
      </c>
      <c r="OS34" s="476" t="s">
        <v>721</v>
      </c>
      <c r="OT34" s="476">
        <v>3.4000000000000002E-2</v>
      </c>
      <c r="OU34" s="476" t="s">
        <v>721</v>
      </c>
      <c r="OV34" s="476" t="s">
        <v>721</v>
      </c>
      <c r="OW34" s="476">
        <v>1.0999999999999999E-2</v>
      </c>
      <c r="OX34" s="476" t="s">
        <v>721</v>
      </c>
      <c r="OY34" s="476" t="s">
        <v>721</v>
      </c>
      <c r="OZ34" s="476">
        <v>2.1999999999999999E-2</v>
      </c>
      <c r="PA34" s="476">
        <v>5.0000000000000001E-3</v>
      </c>
      <c r="PB34" s="476" t="s">
        <v>721</v>
      </c>
      <c r="PC34" s="476">
        <v>6.0000000000000001E-3</v>
      </c>
      <c r="PD34" s="476">
        <v>3.0000000000000001E-3</v>
      </c>
      <c r="PE34" s="476" t="s">
        <v>721</v>
      </c>
      <c r="PF34" s="476">
        <v>1.6E-2</v>
      </c>
      <c r="PG34" s="476" t="s">
        <v>721</v>
      </c>
      <c r="PH34" s="476" t="s">
        <v>721</v>
      </c>
      <c r="PI34" s="476" t="s">
        <v>721</v>
      </c>
      <c r="PJ34" s="476">
        <v>6.0000000000000001E-3</v>
      </c>
      <c r="PK34" s="476">
        <v>0.01</v>
      </c>
      <c r="PL34" s="476">
        <v>0.88700000000000001</v>
      </c>
      <c r="PM34" s="476">
        <v>3.9E-2</v>
      </c>
      <c r="PN34" s="476" t="s">
        <v>721</v>
      </c>
      <c r="PO34" s="476" t="s">
        <v>721</v>
      </c>
      <c r="PP34" s="476" t="s">
        <v>721</v>
      </c>
      <c r="PQ34" s="476" t="s">
        <v>721</v>
      </c>
      <c r="PR34" s="476" t="s">
        <v>721</v>
      </c>
      <c r="PS34" s="476" t="s">
        <v>721</v>
      </c>
      <c r="PT34" s="476" t="s">
        <v>721</v>
      </c>
      <c r="PU34" s="476" t="s">
        <v>721</v>
      </c>
      <c r="PV34" s="476" t="s">
        <v>721</v>
      </c>
      <c r="PW34" s="476" t="s">
        <v>721</v>
      </c>
      <c r="PX34" s="476" t="s">
        <v>721</v>
      </c>
      <c r="PY34" s="476" t="s">
        <v>721</v>
      </c>
      <c r="PZ34" s="476" t="s">
        <v>721</v>
      </c>
      <c r="QA34" s="476">
        <v>1.7000000000000001E-2</v>
      </c>
      <c r="QB34" s="476" t="s">
        <v>721</v>
      </c>
      <c r="QC34" s="476" t="s">
        <v>721</v>
      </c>
      <c r="QD34" s="476">
        <v>3.0000000000000001E-3</v>
      </c>
      <c r="QE34" s="476" t="s">
        <v>721</v>
      </c>
      <c r="QF34" s="476" t="s">
        <v>721</v>
      </c>
      <c r="QG34" s="476">
        <v>1.2E-2</v>
      </c>
      <c r="QH34" s="476">
        <v>2E-3</v>
      </c>
      <c r="QI34" s="476" t="s">
        <v>721</v>
      </c>
      <c r="QJ34" s="476" t="s">
        <v>721</v>
      </c>
      <c r="QK34" s="476" t="s">
        <v>721</v>
      </c>
      <c r="QL34" s="476">
        <v>0.49199999999999999</v>
      </c>
      <c r="QM34" s="476">
        <v>0.14599999999999999</v>
      </c>
      <c r="QN34" s="476" t="s">
        <v>721</v>
      </c>
      <c r="QO34" s="476" t="s">
        <v>721</v>
      </c>
      <c r="QP34" s="476" t="s">
        <v>721</v>
      </c>
      <c r="QQ34" s="476" t="s">
        <v>721</v>
      </c>
      <c r="QR34" s="476">
        <v>0.20799999999999999</v>
      </c>
      <c r="QS34" s="476" t="s">
        <v>721</v>
      </c>
      <c r="QT34" s="476" t="s">
        <v>721</v>
      </c>
      <c r="QU34" s="476" t="s">
        <v>721</v>
      </c>
      <c r="QV34" s="476" t="s">
        <v>721</v>
      </c>
      <c r="QW34" s="476" t="s">
        <v>721</v>
      </c>
      <c r="QX34" s="476" t="s">
        <v>721</v>
      </c>
      <c r="QY34" s="476" t="s">
        <v>721</v>
      </c>
      <c r="QZ34" s="476" t="s">
        <v>721</v>
      </c>
      <c r="RA34" s="476" t="s">
        <v>721</v>
      </c>
      <c r="RB34" s="476" t="s">
        <v>721</v>
      </c>
      <c r="RC34" s="476" t="s">
        <v>721</v>
      </c>
      <c r="RD34" s="476" t="s">
        <v>721</v>
      </c>
      <c r="RE34" s="476">
        <v>0.51700000000000002</v>
      </c>
      <c r="RF34" s="476" t="s">
        <v>721</v>
      </c>
      <c r="RG34" s="476" t="s">
        <v>721</v>
      </c>
      <c r="RH34" s="476" t="s">
        <v>721</v>
      </c>
      <c r="RI34" s="476" t="s">
        <v>721</v>
      </c>
      <c r="RJ34" s="476" t="s">
        <v>721</v>
      </c>
      <c r="RK34" s="476">
        <v>0.217</v>
      </c>
      <c r="RL34" s="476" t="s">
        <v>721</v>
      </c>
      <c r="RM34" s="476" t="s">
        <v>721</v>
      </c>
      <c r="RN34" s="476" t="s">
        <v>721</v>
      </c>
      <c r="RO34" s="476" t="s">
        <v>721</v>
      </c>
      <c r="RP34" s="476" t="s">
        <v>721</v>
      </c>
      <c r="RQ34" s="476" t="s">
        <v>721</v>
      </c>
      <c r="RR34" s="476" t="s">
        <v>721</v>
      </c>
      <c r="RS34" s="476" t="s">
        <v>721</v>
      </c>
      <c r="RT34" s="476" t="s">
        <v>721</v>
      </c>
      <c r="RU34" s="476" t="s">
        <v>721</v>
      </c>
      <c r="RV34" s="476" t="s">
        <v>721</v>
      </c>
      <c r="RW34" s="476" t="s">
        <v>721</v>
      </c>
      <c r="RX34" s="476">
        <v>0.57299999999999995</v>
      </c>
      <c r="RY34" s="476">
        <v>9.5000000000000001E-2</v>
      </c>
      <c r="RZ34" s="476">
        <v>0.04</v>
      </c>
      <c r="SA34" s="476">
        <v>2.7E-2</v>
      </c>
      <c r="SB34" s="476">
        <v>6.0000000000000001E-3</v>
      </c>
      <c r="SC34" s="476">
        <v>3.4000000000000002E-2</v>
      </c>
      <c r="SD34" s="476">
        <v>0.157</v>
      </c>
      <c r="SE34" s="476">
        <v>1E-3</v>
      </c>
      <c r="SF34" s="476">
        <v>8.9999999999999993E-3</v>
      </c>
      <c r="SG34" s="476">
        <v>1E-3</v>
      </c>
      <c r="SH34" s="476">
        <v>1E-3</v>
      </c>
      <c r="SI34" s="476">
        <v>4.0000000000000001E-3</v>
      </c>
      <c r="SJ34" s="476" t="s">
        <v>721</v>
      </c>
      <c r="SK34" s="476">
        <v>2.3E-2</v>
      </c>
      <c r="SL34" s="476">
        <v>0</v>
      </c>
      <c r="SM34" s="476">
        <v>0</v>
      </c>
      <c r="SN34" s="476">
        <v>1E-3</v>
      </c>
      <c r="SO34" s="476">
        <v>7.0000000000000001E-3</v>
      </c>
      <c r="SP34" s="476">
        <v>2.1000000000000001E-2</v>
      </c>
      <c r="SQ34" s="476">
        <v>0.54700000000000004</v>
      </c>
      <c r="SR34" s="476">
        <v>9.6000000000000002E-2</v>
      </c>
      <c r="SS34" s="476">
        <v>4.1000000000000002E-2</v>
      </c>
      <c r="ST34" s="476">
        <v>2.9000000000000001E-2</v>
      </c>
      <c r="SU34" s="476" t="s">
        <v>721</v>
      </c>
      <c r="SV34" s="476">
        <v>0.05</v>
      </c>
      <c r="SW34" s="476">
        <v>0.17599999999999999</v>
      </c>
      <c r="SX34" s="476" t="s">
        <v>721</v>
      </c>
      <c r="SY34" s="476" t="s">
        <v>721</v>
      </c>
      <c r="SZ34" s="476" t="s">
        <v>721</v>
      </c>
      <c r="TA34" s="476" t="s">
        <v>721</v>
      </c>
      <c r="TB34" s="476" t="s">
        <v>721</v>
      </c>
      <c r="TC34" s="476" t="s">
        <v>721</v>
      </c>
      <c r="TD34" s="476">
        <v>1.6E-2</v>
      </c>
      <c r="TE34" s="476" t="s">
        <v>721</v>
      </c>
      <c r="TF34" s="476" t="s">
        <v>721</v>
      </c>
      <c r="TG34" s="476" t="s">
        <v>721</v>
      </c>
      <c r="TH34" s="476" t="s">
        <v>721</v>
      </c>
      <c r="TI34" s="476">
        <v>1.7999999999999999E-2</v>
      </c>
      <c r="TJ34" s="476">
        <v>0.56899999999999995</v>
      </c>
      <c r="TK34" s="476">
        <v>9.6000000000000002E-2</v>
      </c>
      <c r="TL34" s="476">
        <v>3.1E-2</v>
      </c>
      <c r="TM34" s="476">
        <v>3.3000000000000002E-2</v>
      </c>
      <c r="TN34" s="476" t="s">
        <v>721</v>
      </c>
      <c r="TO34" s="476">
        <v>2.4E-2</v>
      </c>
      <c r="TP34" s="476">
        <v>0.13900000000000001</v>
      </c>
      <c r="TQ34" s="476" t="s">
        <v>721</v>
      </c>
      <c r="TR34" s="476" t="s">
        <v>721</v>
      </c>
      <c r="TS34" s="476" t="s">
        <v>721</v>
      </c>
      <c r="TT34" s="476" t="s">
        <v>721</v>
      </c>
      <c r="TU34" s="476" t="s">
        <v>721</v>
      </c>
      <c r="TV34" s="476" t="s">
        <v>721</v>
      </c>
      <c r="TW34" s="476">
        <v>4.2000000000000003E-2</v>
      </c>
      <c r="TX34" s="476" t="s">
        <v>721</v>
      </c>
      <c r="TY34" s="476" t="s">
        <v>721</v>
      </c>
      <c r="TZ34" s="476" t="s">
        <v>721</v>
      </c>
      <c r="UA34" s="476" t="s">
        <v>721</v>
      </c>
      <c r="UB34" s="476">
        <v>0.03</v>
      </c>
      <c r="UC34" s="476">
        <v>0.55500000000000005</v>
      </c>
      <c r="UD34" s="476">
        <v>8.5999999999999993E-2</v>
      </c>
      <c r="UE34" s="476">
        <v>3.5000000000000003E-2</v>
      </c>
      <c r="UF34" s="476">
        <v>2.4E-2</v>
      </c>
      <c r="UG34" s="476">
        <v>8.0000000000000002E-3</v>
      </c>
      <c r="UH34" s="476">
        <v>3.2000000000000001E-2</v>
      </c>
      <c r="UI34" s="476">
        <v>0.20100000000000001</v>
      </c>
      <c r="UJ34" s="476" t="s">
        <v>721</v>
      </c>
      <c r="UK34" s="476">
        <v>8.0000000000000002E-3</v>
      </c>
      <c r="UL34" s="476" t="s">
        <v>721</v>
      </c>
      <c r="UM34" s="476" t="s">
        <v>721</v>
      </c>
      <c r="UN34" s="476" t="s">
        <v>721</v>
      </c>
      <c r="UO34" s="476" t="s">
        <v>721</v>
      </c>
      <c r="UP34" s="476">
        <v>1.7999999999999999E-2</v>
      </c>
      <c r="UQ34" s="476" t="s">
        <v>721</v>
      </c>
      <c r="UR34" s="476" t="s">
        <v>721</v>
      </c>
      <c r="US34" s="476" t="s">
        <v>721</v>
      </c>
      <c r="UT34" s="476">
        <v>7.0000000000000001E-3</v>
      </c>
      <c r="UU34" s="476">
        <v>0.02</v>
      </c>
      <c r="UV34" s="476">
        <v>0.58199999999999996</v>
      </c>
      <c r="UW34" s="476">
        <v>0.10199999999999999</v>
      </c>
      <c r="UX34" s="476">
        <v>3.9E-2</v>
      </c>
      <c r="UY34" s="476">
        <v>2.9000000000000001E-2</v>
      </c>
      <c r="UZ34" s="476">
        <v>8.0000000000000002E-3</v>
      </c>
      <c r="VA34" s="476">
        <v>2.5999999999999999E-2</v>
      </c>
      <c r="VB34" s="476">
        <v>0.125</v>
      </c>
      <c r="VC34" s="476" t="s">
        <v>721</v>
      </c>
      <c r="VD34" s="476">
        <v>1.0999999999999999E-2</v>
      </c>
      <c r="VE34" s="476" t="s">
        <v>721</v>
      </c>
      <c r="VF34" s="476" t="s">
        <v>721</v>
      </c>
      <c r="VG34" s="476" t="s">
        <v>721</v>
      </c>
      <c r="VH34" s="476" t="s">
        <v>721</v>
      </c>
      <c r="VI34" s="476">
        <v>3.3000000000000002E-2</v>
      </c>
      <c r="VJ34" s="476" t="s">
        <v>721</v>
      </c>
      <c r="VK34" s="476" t="s">
        <v>721</v>
      </c>
      <c r="VL34" s="476" t="s">
        <v>721</v>
      </c>
      <c r="VM34" s="476">
        <v>8.0000000000000002E-3</v>
      </c>
      <c r="VN34" s="476">
        <v>2.7E-2</v>
      </c>
      <c r="VO34" s="28"/>
      <c r="VP34" s="28"/>
      <c r="VQ34" s="28"/>
      <c r="VR34" s="28"/>
      <c r="VS34" s="28"/>
      <c r="VT34" s="28"/>
      <c r="VU34" s="28"/>
      <c r="VV34" s="28"/>
      <c r="VW34" s="28"/>
      <c r="VX34" s="28"/>
      <c r="VY34" s="28"/>
      <c r="VZ34" s="28"/>
      <c r="WA34" s="28"/>
      <c r="WB34" s="28"/>
      <c r="WC34" s="28"/>
      <c r="WD34" s="28"/>
      <c r="WE34" s="28"/>
      <c r="WF34" s="28"/>
      <c r="WG34" s="28"/>
      <c r="WH34" s="28"/>
      <c r="WI34" s="28"/>
      <c r="WJ34" s="28"/>
      <c r="WK34" s="28"/>
      <c r="WL34" s="28"/>
      <c r="WM34" s="28"/>
      <c r="WN34" s="28"/>
      <c r="WO34" s="28"/>
      <c r="WP34" s="28"/>
      <c r="WQ34" s="28"/>
      <c r="WR34" s="28"/>
      <c r="WS34" s="28"/>
      <c r="WT34" s="28"/>
      <c r="WU34" s="28"/>
      <c r="WV34" s="28"/>
      <c r="WW34" s="28"/>
    </row>
    <row r="35" spans="1:621" s="151" customFormat="1" ht="15.75" customHeight="1" x14ac:dyDescent="0.35">
      <c r="A35" s="477" t="s">
        <v>44</v>
      </c>
      <c r="B35" s="492" t="s">
        <v>15</v>
      </c>
      <c r="C35" s="493">
        <v>16</v>
      </c>
      <c r="D35" s="494">
        <v>332</v>
      </c>
      <c r="E35" s="473">
        <v>34999.300000000003</v>
      </c>
      <c r="F35" s="473">
        <v>105.4</v>
      </c>
      <c r="G35" s="474">
        <v>329</v>
      </c>
      <c r="H35" s="474">
        <v>284</v>
      </c>
      <c r="I35" s="474">
        <v>275</v>
      </c>
      <c r="J35" s="474">
        <v>198</v>
      </c>
      <c r="K35" s="474">
        <v>67</v>
      </c>
      <c r="L35" s="473">
        <v>11970</v>
      </c>
      <c r="M35" s="474">
        <v>264</v>
      </c>
      <c r="N35" s="473">
        <v>23029.3</v>
      </c>
      <c r="O35" s="494">
        <v>33</v>
      </c>
      <c r="P35" s="495">
        <v>5952.8</v>
      </c>
      <c r="Q35" s="494">
        <v>20</v>
      </c>
      <c r="R35" s="495">
        <v>899.8</v>
      </c>
      <c r="S35" s="480">
        <v>90</v>
      </c>
      <c r="T35" s="481">
        <v>7325</v>
      </c>
      <c r="U35" s="480">
        <v>4</v>
      </c>
      <c r="V35" s="481">
        <v>508.7</v>
      </c>
      <c r="W35" s="480">
        <v>238</v>
      </c>
      <c r="X35" s="481">
        <v>27165.599999999999</v>
      </c>
      <c r="Y35" s="494">
        <v>288</v>
      </c>
      <c r="Z35" s="494">
        <v>113</v>
      </c>
      <c r="AA35" s="494">
        <v>147</v>
      </c>
      <c r="AB35" s="494">
        <v>95</v>
      </c>
      <c r="AC35" s="494">
        <v>32</v>
      </c>
      <c r="AD35" s="494">
        <v>54</v>
      </c>
      <c r="AE35" s="494">
        <v>207</v>
      </c>
      <c r="AF35" s="495">
        <v>14464.6</v>
      </c>
      <c r="AG35" s="494">
        <v>111</v>
      </c>
      <c r="AH35" s="495">
        <v>19559.900000000001</v>
      </c>
      <c r="AI35" s="494">
        <v>6</v>
      </c>
      <c r="AJ35" s="495">
        <v>225.4</v>
      </c>
      <c r="AK35" s="494">
        <v>7</v>
      </c>
      <c r="AL35" s="495">
        <v>749.4</v>
      </c>
      <c r="AM35" s="496">
        <v>194</v>
      </c>
      <c r="AN35" s="496">
        <v>138</v>
      </c>
      <c r="AO35" s="496">
        <v>295</v>
      </c>
      <c r="AP35" s="496">
        <v>11</v>
      </c>
      <c r="AQ35" s="496" t="s">
        <v>721</v>
      </c>
      <c r="AR35" s="496" t="s">
        <v>721</v>
      </c>
      <c r="AS35" s="496" t="s">
        <v>721</v>
      </c>
      <c r="AT35" s="496" t="s">
        <v>721</v>
      </c>
      <c r="AU35" s="496" t="s">
        <v>721</v>
      </c>
      <c r="AV35" s="496" t="s">
        <v>721</v>
      </c>
      <c r="AW35" s="496" t="s">
        <v>721</v>
      </c>
      <c r="AX35" s="496" t="s">
        <v>721</v>
      </c>
      <c r="AY35" s="496" t="s">
        <v>721</v>
      </c>
      <c r="AZ35" s="496" t="s">
        <v>721</v>
      </c>
      <c r="BA35" s="496" t="s">
        <v>721</v>
      </c>
      <c r="BB35" s="496" t="s">
        <v>721</v>
      </c>
      <c r="BC35" s="496" t="s">
        <v>721</v>
      </c>
      <c r="BD35" s="496" t="s">
        <v>721</v>
      </c>
      <c r="BE35" s="496" t="s">
        <v>721</v>
      </c>
      <c r="BF35" s="496" t="s">
        <v>721</v>
      </c>
      <c r="BG35" s="496" t="s">
        <v>721</v>
      </c>
      <c r="BH35" s="496" t="s">
        <v>721</v>
      </c>
      <c r="BI35" s="496" t="s">
        <v>721</v>
      </c>
      <c r="BJ35" s="496" t="s">
        <v>721</v>
      </c>
      <c r="BK35" s="496" t="s">
        <v>721</v>
      </c>
      <c r="BL35" s="496" t="s">
        <v>721</v>
      </c>
      <c r="BM35" s="496" t="s">
        <v>721</v>
      </c>
      <c r="BN35" s="496" t="s">
        <v>721</v>
      </c>
      <c r="BO35" s="496">
        <v>328</v>
      </c>
      <c r="BP35" s="496" t="s">
        <v>721</v>
      </c>
      <c r="BQ35" s="496" t="s">
        <v>721</v>
      </c>
      <c r="BR35" s="496" t="s">
        <v>721</v>
      </c>
      <c r="BS35" s="496" t="s">
        <v>721</v>
      </c>
      <c r="BT35" s="496" t="s">
        <v>721</v>
      </c>
      <c r="BU35" s="496" t="s">
        <v>721</v>
      </c>
      <c r="BV35" s="496" t="s">
        <v>721</v>
      </c>
      <c r="BW35" s="496" t="s">
        <v>721</v>
      </c>
      <c r="BX35" s="496" t="s">
        <v>721</v>
      </c>
      <c r="BY35" s="496" t="s">
        <v>721</v>
      </c>
      <c r="BZ35" s="496" t="s">
        <v>721</v>
      </c>
      <c r="CA35" s="496" t="s">
        <v>721</v>
      </c>
      <c r="CB35" s="496" t="s">
        <v>721</v>
      </c>
      <c r="CC35" s="496" t="s">
        <v>721</v>
      </c>
      <c r="CD35" s="496" t="s">
        <v>721</v>
      </c>
      <c r="CE35" s="496" t="s">
        <v>721</v>
      </c>
      <c r="CF35" s="496" t="s">
        <v>721</v>
      </c>
      <c r="CG35" s="496" t="s">
        <v>721</v>
      </c>
      <c r="CH35" s="496" t="s">
        <v>721</v>
      </c>
      <c r="CI35" s="496" t="s">
        <v>721</v>
      </c>
      <c r="CJ35" s="496" t="s">
        <v>721</v>
      </c>
      <c r="CK35" s="496" t="s">
        <v>721</v>
      </c>
      <c r="CL35" s="496" t="s">
        <v>721</v>
      </c>
      <c r="CM35" s="496" t="s">
        <v>721</v>
      </c>
      <c r="CN35" s="496" t="s">
        <v>721</v>
      </c>
      <c r="CO35" s="496" t="s">
        <v>721</v>
      </c>
      <c r="CP35" s="496" t="s">
        <v>721</v>
      </c>
      <c r="CQ35" s="496" t="s">
        <v>721</v>
      </c>
      <c r="CR35" s="496" t="s">
        <v>721</v>
      </c>
      <c r="CS35" s="496" t="s">
        <v>721</v>
      </c>
      <c r="CT35" s="496" t="s">
        <v>721</v>
      </c>
      <c r="CU35" s="496" t="s">
        <v>721</v>
      </c>
      <c r="CV35" s="496">
        <v>280</v>
      </c>
      <c r="CW35" s="496" t="s">
        <v>721</v>
      </c>
      <c r="CX35" s="496" t="s">
        <v>721</v>
      </c>
      <c r="CY35" s="496" t="s">
        <v>721</v>
      </c>
      <c r="CZ35" s="496" t="s">
        <v>721</v>
      </c>
      <c r="DA35" s="496" t="s">
        <v>721</v>
      </c>
      <c r="DB35" s="496" t="s">
        <v>721</v>
      </c>
      <c r="DC35" s="496" t="s">
        <v>721</v>
      </c>
      <c r="DD35" s="496" t="s">
        <v>721</v>
      </c>
      <c r="DE35" s="496" t="s">
        <v>721</v>
      </c>
      <c r="DF35" s="496" t="s">
        <v>721</v>
      </c>
      <c r="DG35" s="496" t="s">
        <v>721</v>
      </c>
      <c r="DH35" s="496" t="s">
        <v>721</v>
      </c>
      <c r="DI35" s="496" t="s">
        <v>721</v>
      </c>
      <c r="DJ35" s="496" t="s">
        <v>721</v>
      </c>
      <c r="DK35" s="496" t="s">
        <v>721</v>
      </c>
      <c r="DL35" s="496" t="s">
        <v>721</v>
      </c>
      <c r="DM35" s="496" t="s">
        <v>721</v>
      </c>
      <c r="DN35" s="496" t="s">
        <v>721</v>
      </c>
      <c r="DO35" s="496" t="s">
        <v>721</v>
      </c>
      <c r="DP35" s="496" t="s">
        <v>721</v>
      </c>
      <c r="DQ35" s="496" t="s">
        <v>721</v>
      </c>
      <c r="DR35" s="496" t="s">
        <v>721</v>
      </c>
      <c r="DS35" s="483" t="s">
        <v>721</v>
      </c>
      <c r="DT35" s="483" t="s">
        <v>721</v>
      </c>
      <c r="DU35" s="483" t="s">
        <v>721</v>
      </c>
      <c r="DV35" s="496">
        <v>18</v>
      </c>
      <c r="DW35" s="497">
        <v>3404.8</v>
      </c>
      <c r="DX35" s="496">
        <v>50</v>
      </c>
      <c r="DY35" s="497">
        <v>8278.5</v>
      </c>
      <c r="DZ35" s="496">
        <v>110</v>
      </c>
      <c r="EA35" s="497">
        <v>10157.5</v>
      </c>
      <c r="EB35" s="496">
        <v>85</v>
      </c>
      <c r="EC35" s="497">
        <v>7495.7</v>
      </c>
      <c r="ED35" s="496">
        <v>53</v>
      </c>
      <c r="EE35" s="497">
        <v>3949.4</v>
      </c>
      <c r="EF35" s="496">
        <v>16</v>
      </c>
      <c r="EG35" s="497">
        <v>1713.4</v>
      </c>
      <c r="EH35" s="485">
        <v>290</v>
      </c>
      <c r="EI35" s="486">
        <v>1127.8</v>
      </c>
      <c r="EJ35" s="485">
        <v>279</v>
      </c>
      <c r="EK35" s="486">
        <v>6660.3</v>
      </c>
      <c r="EL35" s="485">
        <v>285</v>
      </c>
      <c r="EM35" s="486">
        <v>3216.9</v>
      </c>
      <c r="EN35" s="485">
        <v>290</v>
      </c>
      <c r="EO35" s="486">
        <v>1288.4000000000001</v>
      </c>
      <c r="EP35" s="485">
        <v>289</v>
      </c>
      <c r="EQ35" s="486">
        <v>1064</v>
      </c>
      <c r="ER35" s="485">
        <v>286</v>
      </c>
      <c r="ES35" s="486">
        <v>562.29999999999995</v>
      </c>
      <c r="ET35" s="485">
        <v>0</v>
      </c>
      <c r="EU35" s="485">
        <v>127</v>
      </c>
      <c r="EV35" s="486">
        <v>2194.1999999999998</v>
      </c>
      <c r="EW35" s="485">
        <v>58</v>
      </c>
      <c r="EX35" s="486">
        <v>806.2</v>
      </c>
      <c r="EY35" s="485">
        <v>37</v>
      </c>
      <c r="EZ35" s="486">
        <v>679.3</v>
      </c>
      <c r="FA35" s="485">
        <v>14</v>
      </c>
      <c r="FB35" s="486">
        <v>207.7</v>
      </c>
      <c r="FC35" s="485">
        <v>225</v>
      </c>
      <c r="FD35" s="486">
        <v>2863.9</v>
      </c>
      <c r="FE35" s="485">
        <v>208</v>
      </c>
      <c r="FF35" s="486">
        <v>1624.8</v>
      </c>
      <c r="FG35" s="485">
        <v>114</v>
      </c>
      <c r="FH35" s="486">
        <v>1417</v>
      </c>
      <c r="FI35" s="485">
        <v>133</v>
      </c>
      <c r="FJ35" s="486">
        <v>878.3</v>
      </c>
      <c r="FK35" s="485">
        <v>176</v>
      </c>
      <c r="FL35" s="486">
        <v>742.1</v>
      </c>
      <c r="FM35" s="485">
        <v>11</v>
      </c>
      <c r="FN35" s="486">
        <v>33.299999999999997</v>
      </c>
      <c r="FO35" s="485">
        <v>230</v>
      </c>
      <c r="FP35" s="486">
        <v>1842.2</v>
      </c>
      <c r="FQ35" s="485">
        <v>209</v>
      </c>
      <c r="FR35" s="486">
        <v>894.9</v>
      </c>
      <c r="FS35" s="485">
        <v>1</v>
      </c>
      <c r="FT35" s="486">
        <v>5.8</v>
      </c>
      <c r="FU35" s="485">
        <v>0</v>
      </c>
      <c r="FV35" s="486">
        <v>0</v>
      </c>
      <c r="FW35" s="485">
        <v>0</v>
      </c>
      <c r="FX35" s="486">
        <v>0</v>
      </c>
      <c r="FY35" s="485">
        <v>12</v>
      </c>
      <c r="FZ35" s="486">
        <v>51</v>
      </c>
      <c r="GA35" s="485">
        <v>0</v>
      </c>
      <c r="GB35" s="485">
        <v>0</v>
      </c>
      <c r="GC35" s="487">
        <v>0</v>
      </c>
      <c r="GD35" s="488">
        <v>3</v>
      </c>
      <c r="GE35" s="488">
        <v>1</v>
      </c>
      <c r="GF35" s="488">
        <v>48</v>
      </c>
      <c r="GG35" s="488">
        <v>1</v>
      </c>
      <c r="GH35" s="488">
        <v>0</v>
      </c>
      <c r="GI35" s="488">
        <v>3</v>
      </c>
      <c r="GJ35" s="488">
        <v>0</v>
      </c>
      <c r="GK35" s="488">
        <v>33</v>
      </c>
      <c r="GL35" s="488">
        <v>15</v>
      </c>
      <c r="GM35" s="488">
        <v>52</v>
      </c>
      <c r="GN35" s="488">
        <v>21</v>
      </c>
      <c r="GO35" s="488">
        <v>9</v>
      </c>
      <c r="GP35" s="488">
        <v>2</v>
      </c>
      <c r="GQ35" s="488">
        <v>7</v>
      </c>
      <c r="GR35" s="488">
        <v>0</v>
      </c>
      <c r="GS35" s="488">
        <v>9</v>
      </c>
      <c r="GT35" s="489">
        <v>195</v>
      </c>
      <c r="GU35" s="488">
        <v>0</v>
      </c>
      <c r="GV35" s="490">
        <v>0</v>
      </c>
      <c r="GW35" s="490">
        <v>0</v>
      </c>
      <c r="GX35" s="490">
        <v>0</v>
      </c>
      <c r="GY35" s="491">
        <v>0</v>
      </c>
      <c r="GZ35" s="491">
        <v>0</v>
      </c>
      <c r="HA35" s="491">
        <v>0</v>
      </c>
      <c r="HB35" s="475">
        <v>0</v>
      </c>
      <c r="HC35" s="475">
        <v>0</v>
      </c>
      <c r="HD35" s="475">
        <v>0</v>
      </c>
      <c r="HE35" s="475">
        <v>0</v>
      </c>
      <c r="HF35" s="475">
        <v>0</v>
      </c>
      <c r="HG35" s="475">
        <v>1</v>
      </c>
      <c r="HH35" s="475">
        <v>1</v>
      </c>
      <c r="HI35" s="475">
        <v>0</v>
      </c>
      <c r="HJ35" s="475">
        <v>0</v>
      </c>
      <c r="HK35" s="475">
        <v>0</v>
      </c>
      <c r="HL35" s="475">
        <v>1</v>
      </c>
      <c r="HM35" s="475">
        <v>0</v>
      </c>
      <c r="HN35" s="475">
        <v>0</v>
      </c>
      <c r="HO35" s="475">
        <v>0</v>
      </c>
      <c r="HP35" s="475">
        <v>0</v>
      </c>
      <c r="HQ35" s="475">
        <v>0</v>
      </c>
      <c r="HR35" s="475">
        <v>1</v>
      </c>
      <c r="HS35" s="475">
        <v>0</v>
      </c>
      <c r="HT35" s="475">
        <v>0</v>
      </c>
      <c r="HU35" s="475">
        <v>0</v>
      </c>
      <c r="HV35" s="475">
        <v>0</v>
      </c>
      <c r="HW35" s="475">
        <v>0</v>
      </c>
      <c r="HX35" s="475">
        <v>0</v>
      </c>
      <c r="HY35" s="475">
        <v>0</v>
      </c>
      <c r="HZ35" s="475" t="s">
        <v>721</v>
      </c>
      <c r="IA35" s="475" t="s">
        <v>721</v>
      </c>
      <c r="IB35" s="475" t="s">
        <v>721</v>
      </c>
      <c r="IC35" s="475" t="s">
        <v>721</v>
      </c>
      <c r="ID35" s="475" t="s">
        <v>721</v>
      </c>
      <c r="IE35" s="475" t="s">
        <v>721</v>
      </c>
      <c r="IF35" s="475" t="s">
        <v>721</v>
      </c>
      <c r="IG35" s="475" t="s">
        <v>721</v>
      </c>
      <c r="IH35" s="475" t="s">
        <v>721</v>
      </c>
      <c r="II35" s="475" t="s">
        <v>721</v>
      </c>
      <c r="IJ35" s="475" t="s">
        <v>721</v>
      </c>
      <c r="IK35" s="475" t="s">
        <v>721</v>
      </c>
      <c r="IL35" s="475" t="s">
        <v>721</v>
      </c>
      <c r="IM35" s="475" t="s">
        <v>721</v>
      </c>
      <c r="IN35" s="475" t="s">
        <v>721</v>
      </c>
      <c r="IO35" s="475" t="s">
        <v>721</v>
      </c>
      <c r="IP35" s="475" t="s">
        <v>721</v>
      </c>
      <c r="IQ35" s="475" t="s">
        <v>721</v>
      </c>
      <c r="IR35" s="475" t="s">
        <v>721</v>
      </c>
      <c r="IS35" s="475" t="s">
        <v>721</v>
      </c>
      <c r="IT35" s="475" t="s">
        <v>721</v>
      </c>
      <c r="IU35" s="475" t="s">
        <v>721</v>
      </c>
      <c r="IV35" s="475" t="s">
        <v>721</v>
      </c>
      <c r="IW35" s="475" t="s">
        <v>721</v>
      </c>
      <c r="IX35" s="475" t="s">
        <v>721</v>
      </c>
      <c r="IY35" s="475" t="s">
        <v>721</v>
      </c>
      <c r="IZ35" s="475" t="s">
        <v>721</v>
      </c>
      <c r="JA35" s="475" t="s">
        <v>721</v>
      </c>
      <c r="JB35" s="475" t="s">
        <v>721</v>
      </c>
      <c r="JC35" s="475" t="s">
        <v>721</v>
      </c>
      <c r="JD35" s="475" t="s">
        <v>721</v>
      </c>
      <c r="JE35" s="475" t="s">
        <v>721</v>
      </c>
      <c r="JF35" s="475" t="s">
        <v>721</v>
      </c>
      <c r="JG35" s="475" t="s">
        <v>721</v>
      </c>
      <c r="JH35" s="475" t="s">
        <v>721</v>
      </c>
      <c r="JI35" s="475" t="s">
        <v>721</v>
      </c>
      <c r="JJ35" s="475" t="s">
        <v>721</v>
      </c>
      <c r="JK35" s="475" t="s">
        <v>721</v>
      </c>
      <c r="JL35" s="755">
        <v>30198</v>
      </c>
      <c r="JM35" s="755">
        <v>1944.1</v>
      </c>
      <c r="JN35" s="755">
        <v>636.70000000000005</v>
      </c>
      <c r="JO35" s="755">
        <v>283</v>
      </c>
      <c r="JP35" s="755">
        <v>1018.9</v>
      </c>
      <c r="JQ35" s="755" t="s">
        <v>721</v>
      </c>
      <c r="JR35" s="755">
        <v>746.6</v>
      </c>
      <c r="JS35" s="755" t="s">
        <v>721</v>
      </c>
      <c r="JT35" s="755" t="s">
        <v>721</v>
      </c>
      <c r="JU35" s="755" t="s">
        <v>721</v>
      </c>
      <c r="JV35" s="755" t="s">
        <v>721</v>
      </c>
      <c r="JW35" s="755" t="s">
        <v>721</v>
      </c>
      <c r="JX35" s="755" t="s">
        <v>721</v>
      </c>
      <c r="JY35" s="755" t="s">
        <v>721</v>
      </c>
      <c r="JZ35" s="755" t="s">
        <v>721</v>
      </c>
      <c r="KA35" s="755" t="s">
        <v>721</v>
      </c>
      <c r="KB35" s="755" t="s">
        <v>721</v>
      </c>
      <c r="KC35" s="755" t="s">
        <v>721</v>
      </c>
      <c r="KD35" s="755">
        <v>172</v>
      </c>
      <c r="KE35" s="475">
        <v>27</v>
      </c>
      <c r="KF35" s="475" t="s">
        <v>721</v>
      </c>
      <c r="KG35" s="475" t="s">
        <v>721</v>
      </c>
      <c r="KH35" s="475" t="s">
        <v>721</v>
      </c>
      <c r="KI35" s="475" t="s">
        <v>721</v>
      </c>
      <c r="KJ35" s="475" t="s">
        <v>721</v>
      </c>
      <c r="KK35" s="475" t="s">
        <v>721</v>
      </c>
      <c r="KL35" s="475" t="s">
        <v>721</v>
      </c>
      <c r="KM35" s="475" t="s">
        <v>721</v>
      </c>
      <c r="KN35" s="475" t="s">
        <v>721</v>
      </c>
      <c r="KO35" s="475" t="s">
        <v>721</v>
      </c>
      <c r="KP35" s="475" t="s">
        <v>721</v>
      </c>
      <c r="KQ35" s="475" t="s">
        <v>721</v>
      </c>
      <c r="KR35" s="475" t="s">
        <v>721</v>
      </c>
      <c r="KS35" s="475" t="s">
        <v>721</v>
      </c>
      <c r="KT35" s="475" t="s">
        <v>721</v>
      </c>
      <c r="KU35" s="475" t="s">
        <v>721</v>
      </c>
      <c r="KV35" s="475" t="s">
        <v>721</v>
      </c>
      <c r="KW35" s="475" t="s">
        <v>721</v>
      </c>
      <c r="KX35" s="475">
        <v>19</v>
      </c>
      <c r="KY35" s="475" t="s">
        <v>721</v>
      </c>
      <c r="KZ35" s="475" t="s">
        <v>721</v>
      </c>
      <c r="LA35" s="475" t="s">
        <v>721</v>
      </c>
      <c r="LB35" s="475" t="s">
        <v>721</v>
      </c>
      <c r="LC35" s="475" t="s">
        <v>721</v>
      </c>
      <c r="LD35" s="475" t="s">
        <v>721</v>
      </c>
      <c r="LE35" s="475" t="s">
        <v>721</v>
      </c>
      <c r="LF35" s="475" t="s">
        <v>721</v>
      </c>
      <c r="LG35" s="475" t="s">
        <v>721</v>
      </c>
      <c r="LH35" s="475" t="s">
        <v>721</v>
      </c>
      <c r="LI35" s="475" t="s">
        <v>721</v>
      </c>
      <c r="LJ35" s="475" t="s">
        <v>721</v>
      </c>
      <c r="LK35" s="475" t="s">
        <v>721</v>
      </c>
      <c r="LL35" s="475" t="s">
        <v>721</v>
      </c>
      <c r="LM35" s="475" t="s">
        <v>721</v>
      </c>
      <c r="LN35" s="475" t="s">
        <v>721</v>
      </c>
      <c r="LO35" s="475" t="s">
        <v>721</v>
      </c>
      <c r="LP35" s="475" t="s">
        <v>721</v>
      </c>
      <c r="LQ35" s="475">
        <v>241</v>
      </c>
      <c r="LR35" s="475" t="s">
        <v>721</v>
      </c>
      <c r="LS35" s="475" t="s">
        <v>721</v>
      </c>
      <c r="LT35" s="475" t="s">
        <v>721</v>
      </c>
      <c r="LU35" s="475" t="s">
        <v>721</v>
      </c>
      <c r="LV35" s="475" t="s">
        <v>721</v>
      </c>
      <c r="LW35" s="475" t="s">
        <v>721</v>
      </c>
      <c r="LX35" s="475" t="s">
        <v>721</v>
      </c>
      <c r="LY35" s="475" t="s">
        <v>721</v>
      </c>
      <c r="LZ35" s="475" t="s">
        <v>721</v>
      </c>
      <c r="MA35" s="475" t="s">
        <v>721</v>
      </c>
      <c r="MB35" s="475" t="s">
        <v>721</v>
      </c>
      <c r="MC35" s="475" t="s">
        <v>721</v>
      </c>
      <c r="MD35" s="475" t="s">
        <v>721</v>
      </c>
      <c r="ME35" s="475" t="s">
        <v>721</v>
      </c>
      <c r="MF35" s="475" t="s">
        <v>721</v>
      </c>
      <c r="MG35" s="475" t="s">
        <v>721</v>
      </c>
      <c r="MH35" s="475" t="s">
        <v>721</v>
      </c>
      <c r="MI35" s="475" t="s">
        <v>721</v>
      </c>
      <c r="MJ35" s="475">
        <v>53</v>
      </c>
      <c r="MK35" s="475" t="s">
        <v>721</v>
      </c>
      <c r="ML35" s="475" t="s">
        <v>721</v>
      </c>
      <c r="MM35" s="475" t="s">
        <v>721</v>
      </c>
      <c r="MN35" s="475" t="s">
        <v>721</v>
      </c>
      <c r="MO35" s="475" t="s">
        <v>721</v>
      </c>
      <c r="MP35" s="475" t="s">
        <v>721</v>
      </c>
      <c r="MQ35" s="475" t="s">
        <v>721</v>
      </c>
      <c r="MR35" s="475" t="s">
        <v>721</v>
      </c>
      <c r="MS35" s="475" t="s">
        <v>721</v>
      </c>
      <c r="MT35" s="475" t="s">
        <v>721</v>
      </c>
      <c r="MU35" s="475" t="s">
        <v>721</v>
      </c>
      <c r="MV35" s="475" t="s">
        <v>721</v>
      </c>
      <c r="MW35" s="475" t="s">
        <v>721</v>
      </c>
      <c r="MX35" s="475" t="s">
        <v>721</v>
      </c>
      <c r="MY35" s="475" t="s">
        <v>721</v>
      </c>
      <c r="MZ35" s="475" t="s">
        <v>721</v>
      </c>
      <c r="NA35" s="475" t="s">
        <v>721</v>
      </c>
      <c r="NB35" s="475" t="s">
        <v>721</v>
      </c>
      <c r="NC35" s="476">
        <v>0.58399999999999996</v>
      </c>
      <c r="ND35" s="476">
        <v>0.41599999999999998</v>
      </c>
      <c r="NE35" s="476">
        <v>0.88900000000000001</v>
      </c>
      <c r="NF35" s="476">
        <v>3.3000000000000002E-2</v>
      </c>
      <c r="NG35" s="476" t="s">
        <v>721</v>
      </c>
      <c r="NH35" s="476" t="s">
        <v>721</v>
      </c>
      <c r="NI35" s="476" t="s">
        <v>721</v>
      </c>
      <c r="NJ35" s="476" t="s">
        <v>721</v>
      </c>
      <c r="NK35" s="476" t="s">
        <v>721</v>
      </c>
      <c r="NL35" s="476" t="s">
        <v>721</v>
      </c>
      <c r="NM35" s="476" t="s">
        <v>721</v>
      </c>
      <c r="NN35" s="476" t="s">
        <v>721</v>
      </c>
      <c r="NO35" s="476" t="s">
        <v>721</v>
      </c>
      <c r="NP35" s="476" t="s">
        <v>721</v>
      </c>
      <c r="NQ35" s="476" t="s">
        <v>721</v>
      </c>
      <c r="NR35" s="476" t="s">
        <v>721</v>
      </c>
      <c r="NS35" s="476" t="s">
        <v>721</v>
      </c>
      <c r="NT35" s="476" t="s">
        <v>721</v>
      </c>
      <c r="NU35" s="476" t="s">
        <v>721</v>
      </c>
      <c r="NV35" s="476" t="s">
        <v>721</v>
      </c>
      <c r="NW35" s="476" t="s">
        <v>721</v>
      </c>
      <c r="NX35" s="476" t="s">
        <v>721</v>
      </c>
      <c r="NY35" s="476" t="s">
        <v>721</v>
      </c>
      <c r="NZ35" s="476" t="s">
        <v>721</v>
      </c>
      <c r="OA35" s="476" t="s">
        <v>721</v>
      </c>
      <c r="OB35" s="476" t="s">
        <v>721</v>
      </c>
      <c r="OC35" s="476" t="s">
        <v>721</v>
      </c>
      <c r="OD35" s="476" t="s">
        <v>721</v>
      </c>
      <c r="OE35" s="476">
        <v>0.98799999999999999</v>
      </c>
      <c r="OF35" s="476" t="s">
        <v>721</v>
      </c>
      <c r="OG35" s="476" t="s">
        <v>721</v>
      </c>
      <c r="OH35" s="476" t="s">
        <v>721</v>
      </c>
      <c r="OI35" s="476" t="s">
        <v>721</v>
      </c>
      <c r="OJ35" s="476" t="s">
        <v>721</v>
      </c>
      <c r="OK35" s="476" t="s">
        <v>721</v>
      </c>
      <c r="OL35" s="476" t="s">
        <v>721</v>
      </c>
      <c r="OM35" s="476" t="s">
        <v>721</v>
      </c>
      <c r="ON35" s="476" t="s">
        <v>721</v>
      </c>
      <c r="OO35" s="476" t="s">
        <v>721</v>
      </c>
      <c r="OP35" s="476" t="s">
        <v>721</v>
      </c>
      <c r="OQ35" s="476" t="s">
        <v>721</v>
      </c>
      <c r="OR35" s="476" t="s">
        <v>721</v>
      </c>
      <c r="OS35" s="476" t="s">
        <v>721</v>
      </c>
      <c r="OT35" s="476" t="s">
        <v>721</v>
      </c>
      <c r="OU35" s="476" t="s">
        <v>721</v>
      </c>
      <c r="OV35" s="476" t="s">
        <v>721</v>
      </c>
      <c r="OW35" s="476" t="s">
        <v>721</v>
      </c>
      <c r="OX35" s="476" t="s">
        <v>721</v>
      </c>
      <c r="OY35" s="476" t="s">
        <v>721</v>
      </c>
      <c r="OZ35" s="476" t="s">
        <v>721</v>
      </c>
      <c r="PA35" s="476" t="s">
        <v>721</v>
      </c>
      <c r="PB35" s="476" t="s">
        <v>721</v>
      </c>
      <c r="PC35" s="476" t="s">
        <v>721</v>
      </c>
      <c r="PD35" s="476" t="s">
        <v>721</v>
      </c>
      <c r="PE35" s="476" t="s">
        <v>721</v>
      </c>
      <c r="PF35" s="476" t="s">
        <v>721</v>
      </c>
      <c r="PG35" s="476" t="s">
        <v>721</v>
      </c>
      <c r="PH35" s="476" t="s">
        <v>721</v>
      </c>
      <c r="PI35" s="476" t="s">
        <v>721</v>
      </c>
      <c r="PJ35" s="476" t="s">
        <v>721</v>
      </c>
      <c r="PK35" s="476" t="s">
        <v>721</v>
      </c>
      <c r="PL35" s="476">
        <v>0.97199999999999998</v>
      </c>
      <c r="PM35" s="476" t="s">
        <v>721</v>
      </c>
      <c r="PN35" s="476" t="s">
        <v>721</v>
      </c>
      <c r="PO35" s="476" t="s">
        <v>721</v>
      </c>
      <c r="PP35" s="476" t="s">
        <v>721</v>
      </c>
      <c r="PQ35" s="476" t="s">
        <v>721</v>
      </c>
      <c r="PR35" s="476" t="s">
        <v>721</v>
      </c>
      <c r="PS35" s="476" t="s">
        <v>721</v>
      </c>
      <c r="PT35" s="476" t="s">
        <v>721</v>
      </c>
      <c r="PU35" s="476" t="s">
        <v>721</v>
      </c>
      <c r="PV35" s="476" t="s">
        <v>721</v>
      </c>
      <c r="PW35" s="476" t="s">
        <v>721</v>
      </c>
      <c r="PX35" s="476" t="s">
        <v>721</v>
      </c>
      <c r="PY35" s="476" t="s">
        <v>721</v>
      </c>
      <c r="PZ35" s="476" t="s">
        <v>721</v>
      </c>
      <c r="QA35" s="476" t="s">
        <v>721</v>
      </c>
      <c r="QB35" s="476" t="s">
        <v>721</v>
      </c>
      <c r="QC35" s="476" t="s">
        <v>721</v>
      </c>
      <c r="QD35" s="476" t="s">
        <v>721</v>
      </c>
      <c r="QE35" s="476" t="s">
        <v>721</v>
      </c>
      <c r="QF35" s="476" t="s">
        <v>721</v>
      </c>
      <c r="QG35" s="476" t="s">
        <v>721</v>
      </c>
      <c r="QH35" s="476" t="s">
        <v>721</v>
      </c>
      <c r="QI35" s="476" t="s">
        <v>721</v>
      </c>
      <c r="QJ35" s="476" t="s">
        <v>721</v>
      </c>
      <c r="QK35" s="476" t="s">
        <v>721</v>
      </c>
      <c r="QL35" s="476" t="s">
        <v>721</v>
      </c>
      <c r="QM35" s="476" t="s">
        <v>721</v>
      </c>
      <c r="QN35" s="476" t="s">
        <v>721</v>
      </c>
      <c r="QO35" s="476" t="s">
        <v>721</v>
      </c>
      <c r="QP35" s="476" t="s">
        <v>721</v>
      </c>
      <c r="QQ35" s="476" t="s">
        <v>721</v>
      </c>
      <c r="QR35" s="476" t="s">
        <v>721</v>
      </c>
      <c r="QS35" s="476" t="s">
        <v>721</v>
      </c>
      <c r="QT35" s="476" t="s">
        <v>721</v>
      </c>
      <c r="QU35" s="476" t="s">
        <v>721</v>
      </c>
      <c r="QV35" s="476" t="s">
        <v>721</v>
      </c>
      <c r="QW35" s="476" t="s">
        <v>721</v>
      </c>
      <c r="QX35" s="476" t="s">
        <v>721</v>
      </c>
      <c r="QY35" s="476" t="s">
        <v>721</v>
      </c>
      <c r="QZ35" s="476" t="s">
        <v>721</v>
      </c>
      <c r="RA35" s="476" t="s">
        <v>721</v>
      </c>
      <c r="RB35" s="476" t="s">
        <v>721</v>
      </c>
      <c r="RC35" s="476" t="s">
        <v>721</v>
      </c>
      <c r="RD35" s="476" t="s">
        <v>721</v>
      </c>
      <c r="RE35" s="476" t="s">
        <v>721</v>
      </c>
      <c r="RF35" s="476" t="s">
        <v>721</v>
      </c>
      <c r="RG35" s="476" t="s">
        <v>721</v>
      </c>
      <c r="RH35" s="476" t="s">
        <v>721</v>
      </c>
      <c r="RI35" s="476" t="s">
        <v>721</v>
      </c>
      <c r="RJ35" s="476" t="s">
        <v>721</v>
      </c>
      <c r="RK35" s="476" t="s">
        <v>721</v>
      </c>
      <c r="RL35" s="476" t="s">
        <v>721</v>
      </c>
      <c r="RM35" s="476" t="s">
        <v>721</v>
      </c>
      <c r="RN35" s="476" t="s">
        <v>721</v>
      </c>
      <c r="RO35" s="476" t="s">
        <v>721</v>
      </c>
      <c r="RP35" s="476" t="s">
        <v>721</v>
      </c>
      <c r="RQ35" s="476" t="s">
        <v>721</v>
      </c>
      <c r="RR35" s="476" t="s">
        <v>721</v>
      </c>
      <c r="RS35" s="476" t="s">
        <v>721</v>
      </c>
      <c r="RT35" s="476" t="s">
        <v>721</v>
      </c>
      <c r="RU35" s="476" t="s">
        <v>721</v>
      </c>
      <c r="RV35" s="476" t="s">
        <v>721</v>
      </c>
      <c r="RW35" s="476" t="s">
        <v>721</v>
      </c>
      <c r="RX35" s="476">
        <v>0.86299999999999999</v>
      </c>
      <c r="RY35" s="476">
        <v>5.6000000000000001E-2</v>
      </c>
      <c r="RZ35" s="476">
        <v>1.7999999999999999E-2</v>
      </c>
      <c r="SA35" s="476">
        <v>8.0000000000000002E-3</v>
      </c>
      <c r="SB35" s="476">
        <v>2.9000000000000001E-2</v>
      </c>
      <c r="SC35" s="476" t="s">
        <v>721</v>
      </c>
      <c r="SD35" s="476">
        <v>2.1000000000000001E-2</v>
      </c>
      <c r="SE35" s="476" t="s">
        <v>721</v>
      </c>
      <c r="SF35" s="476" t="s">
        <v>721</v>
      </c>
      <c r="SG35" s="476" t="s">
        <v>721</v>
      </c>
      <c r="SH35" s="476" t="s">
        <v>721</v>
      </c>
      <c r="SI35" s="476" t="s">
        <v>721</v>
      </c>
      <c r="SJ35" s="476" t="s">
        <v>721</v>
      </c>
      <c r="SK35" s="476" t="s">
        <v>721</v>
      </c>
      <c r="SL35" s="476" t="s">
        <v>721</v>
      </c>
      <c r="SM35" s="476" t="s">
        <v>721</v>
      </c>
      <c r="SN35" s="476" t="s">
        <v>721</v>
      </c>
      <c r="SO35" s="476" t="s">
        <v>721</v>
      </c>
      <c r="SP35" s="476">
        <v>5.0000000000000001E-3</v>
      </c>
      <c r="SQ35" s="476">
        <v>0.81799999999999995</v>
      </c>
      <c r="SR35" s="476" t="s">
        <v>721</v>
      </c>
      <c r="SS35" s="476" t="s">
        <v>721</v>
      </c>
      <c r="ST35" s="476" t="s">
        <v>721</v>
      </c>
      <c r="SU35" s="476" t="s">
        <v>721</v>
      </c>
      <c r="SV35" s="476" t="s">
        <v>721</v>
      </c>
      <c r="SW35" s="476" t="s">
        <v>721</v>
      </c>
      <c r="SX35" s="476" t="s">
        <v>721</v>
      </c>
      <c r="SY35" s="476" t="s">
        <v>721</v>
      </c>
      <c r="SZ35" s="476" t="s">
        <v>721</v>
      </c>
      <c r="TA35" s="476" t="s">
        <v>721</v>
      </c>
      <c r="TB35" s="476" t="s">
        <v>721</v>
      </c>
      <c r="TC35" s="476" t="s">
        <v>721</v>
      </c>
      <c r="TD35" s="476" t="s">
        <v>721</v>
      </c>
      <c r="TE35" s="476" t="s">
        <v>721</v>
      </c>
      <c r="TF35" s="476" t="s">
        <v>721</v>
      </c>
      <c r="TG35" s="476" t="s">
        <v>721</v>
      </c>
      <c r="TH35" s="476" t="s">
        <v>721</v>
      </c>
      <c r="TI35" s="476" t="s">
        <v>721</v>
      </c>
      <c r="TJ35" s="476">
        <v>0.95</v>
      </c>
      <c r="TK35" s="476" t="s">
        <v>721</v>
      </c>
      <c r="TL35" s="476" t="s">
        <v>721</v>
      </c>
      <c r="TM35" s="476" t="s">
        <v>721</v>
      </c>
      <c r="TN35" s="476" t="s">
        <v>721</v>
      </c>
      <c r="TO35" s="476" t="s">
        <v>721</v>
      </c>
      <c r="TP35" s="476" t="s">
        <v>721</v>
      </c>
      <c r="TQ35" s="476" t="s">
        <v>721</v>
      </c>
      <c r="TR35" s="476" t="s">
        <v>721</v>
      </c>
      <c r="TS35" s="476" t="s">
        <v>721</v>
      </c>
      <c r="TT35" s="476" t="s">
        <v>721</v>
      </c>
      <c r="TU35" s="476" t="s">
        <v>721</v>
      </c>
      <c r="TV35" s="476" t="s">
        <v>721</v>
      </c>
      <c r="TW35" s="476" t="s">
        <v>721</v>
      </c>
      <c r="TX35" s="476" t="s">
        <v>721</v>
      </c>
      <c r="TY35" s="476" t="s">
        <v>721</v>
      </c>
      <c r="TZ35" s="476" t="s">
        <v>721</v>
      </c>
      <c r="UA35" s="476" t="s">
        <v>721</v>
      </c>
      <c r="UB35" s="476" t="s">
        <v>721</v>
      </c>
      <c r="UC35" s="476">
        <v>0.91300000000000003</v>
      </c>
      <c r="UD35" s="476" t="s">
        <v>721</v>
      </c>
      <c r="UE35" s="476" t="s">
        <v>721</v>
      </c>
      <c r="UF35" s="476" t="s">
        <v>721</v>
      </c>
      <c r="UG35" s="476" t="s">
        <v>721</v>
      </c>
      <c r="UH35" s="476" t="s">
        <v>721</v>
      </c>
      <c r="UI35" s="476" t="s">
        <v>721</v>
      </c>
      <c r="UJ35" s="476" t="s">
        <v>721</v>
      </c>
      <c r="UK35" s="476" t="s">
        <v>721</v>
      </c>
      <c r="UL35" s="476" t="s">
        <v>721</v>
      </c>
      <c r="UM35" s="476" t="s">
        <v>721</v>
      </c>
      <c r="UN35" s="476" t="s">
        <v>721</v>
      </c>
      <c r="UO35" s="476" t="s">
        <v>721</v>
      </c>
      <c r="UP35" s="476" t="s">
        <v>721</v>
      </c>
      <c r="UQ35" s="476" t="s">
        <v>721</v>
      </c>
      <c r="UR35" s="476" t="s">
        <v>721</v>
      </c>
      <c r="US35" s="476" t="s">
        <v>721</v>
      </c>
      <c r="UT35" s="476" t="s">
        <v>721</v>
      </c>
      <c r="UU35" s="476" t="s">
        <v>721</v>
      </c>
      <c r="UV35" s="476">
        <v>0.79100000000000004</v>
      </c>
      <c r="UW35" s="476" t="s">
        <v>721</v>
      </c>
      <c r="UX35" s="476" t="s">
        <v>721</v>
      </c>
      <c r="UY35" s="476" t="s">
        <v>721</v>
      </c>
      <c r="UZ35" s="476" t="s">
        <v>721</v>
      </c>
      <c r="VA35" s="476" t="s">
        <v>721</v>
      </c>
      <c r="VB35" s="476" t="s">
        <v>721</v>
      </c>
      <c r="VC35" s="476" t="s">
        <v>721</v>
      </c>
      <c r="VD35" s="476" t="s">
        <v>721</v>
      </c>
      <c r="VE35" s="476" t="s">
        <v>721</v>
      </c>
      <c r="VF35" s="476" t="s">
        <v>721</v>
      </c>
      <c r="VG35" s="476" t="s">
        <v>721</v>
      </c>
      <c r="VH35" s="476" t="s">
        <v>721</v>
      </c>
      <c r="VI35" s="476" t="s">
        <v>721</v>
      </c>
      <c r="VJ35" s="476" t="s">
        <v>721</v>
      </c>
      <c r="VK35" s="476" t="s">
        <v>721</v>
      </c>
      <c r="VL35" s="476" t="s">
        <v>721</v>
      </c>
      <c r="VM35" s="476" t="s">
        <v>721</v>
      </c>
      <c r="VN35" s="476" t="s">
        <v>721</v>
      </c>
      <c r="VO35" s="28"/>
      <c r="VP35" s="28"/>
      <c r="VQ35" s="28"/>
      <c r="VR35" s="28"/>
      <c r="VS35" s="28"/>
      <c r="VT35" s="28"/>
      <c r="VU35" s="28"/>
      <c r="VV35" s="28"/>
      <c r="VW35" s="28"/>
      <c r="VX35" s="28"/>
      <c r="VY35" s="28"/>
      <c r="VZ35" s="28"/>
      <c r="WA35" s="28"/>
      <c r="WB35" s="28"/>
      <c r="WC35" s="28"/>
      <c r="WD35" s="28"/>
      <c r="WE35" s="28"/>
      <c r="WF35" s="28"/>
      <c r="WG35" s="28"/>
      <c r="WH35" s="28"/>
      <c r="WI35" s="28"/>
      <c r="WJ35" s="28"/>
      <c r="WK35" s="28"/>
      <c r="WL35" s="28"/>
      <c r="WM35" s="28"/>
      <c r="WN35" s="28"/>
      <c r="WO35" s="28"/>
      <c r="WP35" s="28"/>
      <c r="WQ35" s="28"/>
      <c r="WR35" s="28"/>
      <c r="WS35" s="28"/>
      <c r="WT35" s="28"/>
      <c r="WU35" s="28"/>
      <c r="WV35" s="28"/>
      <c r="WW35" s="28"/>
    </row>
    <row r="36" spans="1:621" s="151" customFormat="1" ht="15.75" customHeight="1" x14ac:dyDescent="0.35">
      <c r="A36" s="477" t="s">
        <v>4</v>
      </c>
      <c r="B36" s="492" t="s">
        <v>12</v>
      </c>
      <c r="C36" s="493">
        <v>16.75</v>
      </c>
      <c r="D36" s="494">
        <v>48336</v>
      </c>
      <c r="E36" s="473">
        <v>6092887.9000000004</v>
      </c>
      <c r="F36" s="473">
        <v>126.1</v>
      </c>
      <c r="G36" s="474">
        <v>47752</v>
      </c>
      <c r="H36" s="474">
        <v>41101</v>
      </c>
      <c r="I36" s="474">
        <v>25522</v>
      </c>
      <c r="J36" s="474">
        <v>20151</v>
      </c>
      <c r="K36" s="474">
        <v>18069</v>
      </c>
      <c r="L36" s="473">
        <v>3010119.3</v>
      </c>
      <c r="M36" s="474">
        <v>30156</v>
      </c>
      <c r="N36" s="473">
        <v>3082768.6</v>
      </c>
      <c r="O36" s="494">
        <v>7370</v>
      </c>
      <c r="P36" s="495">
        <v>1316996.3</v>
      </c>
      <c r="Q36" s="494">
        <v>6250</v>
      </c>
      <c r="R36" s="495">
        <v>216539.4</v>
      </c>
      <c r="S36" s="494">
        <v>12321</v>
      </c>
      <c r="T36" s="495">
        <v>1366151.6</v>
      </c>
      <c r="U36" s="494">
        <v>553</v>
      </c>
      <c r="V36" s="495">
        <v>80056.600000000006</v>
      </c>
      <c r="W36" s="494">
        <v>35462</v>
      </c>
      <c r="X36" s="495">
        <v>4646679.7</v>
      </c>
      <c r="Y36" s="494">
        <v>41172</v>
      </c>
      <c r="Z36" s="494">
        <v>28419</v>
      </c>
      <c r="AA36" s="494">
        <v>31082</v>
      </c>
      <c r="AB36" s="494">
        <v>24510</v>
      </c>
      <c r="AC36" s="494">
        <v>2643</v>
      </c>
      <c r="AD36" s="494">
        <v>11437</v>
      </c>
      <c r="AE36" s="494">
        <v>18862</v>
      </c>
      <c r="AF36" s="495">
        <v>1363110.2</v>
      </c>
      <c r="AG36" s="494">
        <v>26550</v>
      </c>
      <c r="AH36" s="495">
        <v>4525942.2</v>
      </c>
      <c r="AI36" s="494">
        <v>1679</v>
      </c>
      <c r="AJ36" s="495">
        <v>78250.5</v>
      </c>
      <c r="AK36" s="494">
        <v>1134</v>
      </c>
      <c r="AL36" s="495">
        <v>125585</v>
      </c>
      <c r="AM36" s="496">
        <v>26761</v>
      </c>
      <c r="AN36" s="496">
        <v>21575</v>
      </c>
      <c r="AO36" s="496">
        <v>12917</v>
      </c>
      <c r="AP36" s="496">
        <v>22414</v>
      </c>
      <c r="AQ36" s="496">
        <v>7575</v>
      </c>
      <c r="AR36" s="496">
        <v>901</v>
      </c>
      <c r="AS36" s="496">
        <v>251</v>
      </c>
      <c r="AT36" s="496">
        <v>1140</v>
      </c>
      <c r="AU36" s="496">
        <v>85</v>
      </c>
      <c r="AV36" s="496" t="s">
        <v>721</v>
      </c>
      <c r="AW36" s="496">
        <v>354</v>
      </c>
      <c r="AX36" s="496">
        <v>178</v>
      </c>
      <c r="AY36" s="496">
        <v>31</v>
      </c>
      <c r="AZ36" s="496">
        <v>275</v>
      </c>
      <c r="BA36" s="496">
        <v>56</v>
      </c>
      <c r="BB36" s="496">
        <v>574</v>
      </c>
      <c r="BC36" s="496">
        <v>22</v>
      </c>
      <c r="BD36" s="496" t="s">
        <v>721</v>
      </c>
      <c r="BE36" s="496">
        <v>148</v>
      </c>
      <c r="BF36" s="496">
        <v>389</v>
      </c>
      <c r="BG36" s="496">
        <v>1014</v>
      </c>
      <c r="BH36" s="496">
        <v>66</v>
      </c>
      <c r="BI36" s="496">
        <v>11893</v>
      </c>
      <c r="BJ36" s="496">
        <v>53</v>
      </c>
      <c r="BK36" s="496" t="s">
        <v>721</v>
      </c>
      <c r="BL36" s="496">
        <v>209</v>
      </c>
      <c r="BM36" s="496">
        <v>340</v>
      </c>
      <c r="BN36" s="496">
        <v>337</v>
      </c>
      <c r="BO36" s="496">
        <v>33701</v>
      </c>
      <c r="BP36" s="496" t="s">
        <v>721</v>
      </c>
      <c r="BQ36" s="496">
        <v>14</v>
      </c>
      <c r="BR36" s="496">
        <v>208</v>
      </c>
      <c r="BS36" s="496">
        <v>22</v>
      </c>
      <c r="BT36" s="496">
        <v>132</v>
      </c>
      <c r="BU36" s="496">
        <v>37</v>
      </c>
      <c r="BV36" s="496">
        <v>13</v>
      </c>
      <c r="BW36" s="496" t="s">
        <v>721</v>
      </c>
      <c r="BX36" s="496">
        <v>30</v>
      </c>
      <c r="BY36" s="496">
        <v>132</v>
      </c>
      <c r="BZ36" s="496" t="s">
        <v>721</v>
      </c>
      <c r="CA36" s="496" t="s">
        <v>721</v>
      </c>
      <c r="CB36" s="496" t="s">
        <v>721</v>
      </c>
      <c r="CC36" s="496" t="s">
        <v>721</v>
      </c>
      <c r="CD36" s="496">
        <v>60</v>
      </c>
      <c r="CE36" s="496">
        <v>11</v>
      </c>
      <c r="CF36" s="496" t="s">
        <v>721</v>
      </c>
      <c r="CG36" s="496">
        <v>482</v>
      </c>
      <c r="CH36" s="496">
        <v>13</v>
      </c>
      <c r="CI36" s="496">
        <v>27</v>
      </c>
      <c r="CJ36" s="496">
        <v>175</v>
      </c>
      <c r="CK36" s="496">
        <v>309</v>
      </c>
      <c r="CL36" s="496">
        <v>13</v>
      </c>
      <c r="CM36" s="496">
        <v>35</v>
      </c>
      <c r="CN36" s="496" t="s">
        <v>721</v>
      </c>
      <c r="CO36" s="496">
        <v>17</v>
      </c>
      <c r="CP36" s="496">
        <v>6725</v>
      </c>
      <c r="CQ36" s="496">
        <v>18</v>
      </c>
      <c r="CR36" s="496" t="s">
        <v>721</v>
      </c>
      <c r="CS36" s="496">
        <v>104</v>
      </c>
      <c r="CT36" s="496">
        <v>104</v>
      </c>
      <c r="CU36" s="496">
        <v>97</v>
      </c>
      <c r="CV36" s="496">
        <v>33304</v>
      </c>
      <c r="CW36" s="496">
        <v>138</v>
      </c>
      <c r="CX36" s="496" t="s">
        <v>721</v>
      </c>
      <c r="CY36" s="496">
        <v>95</v>
      </c>
      <c r="CZ36" s="496">
        <v>40</v>
      </c>
      <c r="DA36" s="496">
        <v>32</v>
      </c>
      <c r="DB36" s="496">
        <v>16</v>
      </c>
      <c r="DC36" s="496" t="s">
        <v>721</v>
      </c>
      <c r="DD36" s="496" t="s">
        <v>721</v>
      </c>
      <c r="DE36" s="496" t="s">
        <v>721</v>
      </c>
      <c r="DF36" s="496">
        <v>29</v>
      </c>
      <c r="DG36" s="496" t="s">
        <v>721</v>
      </c>
      <c r="DH36" s="496" t="s">
        <v>721</v>
      </c>
      <c r="DI36" s="496" t="s">
        <v>721</v>
      </c>
      <c r="DJ36" s="496" t="s">
        <v>721</v>
      </c>
      <c r="DK36" s="496">
        <v>21</v>
      </c>
      <c r="DL36" s="496" t="s">
        <v>721</v>
      </c>
      <c r="DM36" s="496" t="s">
        <v>721</v>
      </c>
      <c r="DN36" s="496">
        <v>201</v>
      </c>
      <c r="DO36" s="496" t="s">
        <v>721</v>
      </c>
      <c r="DP36" s="496" t="s">
        <v>721</v>
      </c>
      <c r="DQ36" s="496">
        <v>45</v>
      </c>
      <c r="DR36" s="496">
        <v>142</v>
      </c>
      <c r="DS36" s="483" t="s">
        <v>721</v>
      </c>
      <c r="DT36" s="483" t="s">
        <v>721</v>
      </c>
      <c r="DU36" s="483" t="s">
        <v>721</v>
      </c>
      <c r="DV36" s="496">
        <v>6788</v>
      </c>
      <c r="DW36" s="497">
        <v>1107653.2</v>
      </c>
      <c r="DX36" s="496">
        <v>9248</v>
      </c>
      <c r="DY36" s="497">
        <v>1424579.7</v>
      </c>
      <c r="DZ36" s="496">
        <v>11147</v>
      </c>
      <c r="EA36" s="497">
        <v>1197374.3</v>
      </c>
      <c r="EB36" s="496">
        <v>8840</v>
      </c>
      <c r="EC36" s="497">
        <v>919053.9</v>
      </c>
      <c r="ED36" s="496">
        <v>7676</v>
      </c>
      <c r="EE36" s="497">
        <v>849563.7</v>
      </c>
      <c r="EF36" s="496">
        <v>4637</v>
      </c>
      <c r="EG36" s="497">
        <v>594663.1</v>
      </c>
      <c r="EH36" s="485">
        <v>37640</v>
      </c>
      <c r="EI36" s="486">
        <v>114557.5</v>
      </c>
      <c r="EJ36" s="485">
        <v>38250</v>
      </c>
      <c r="EK36" s="486">
        <v>909603.3</v>
      </c>
      <c r="EL36" s="485">
        <v>37641</v>
      </c>
      <c r="EM36" s="486">
        <v>373891.2</v>
      </c>
      <c r="EN36" s="485">
        <v>39418</v>
      </c>
      <c r="EO36" s="486">
        <v>197903.9</v>
      </c>
      <c r="EP36" s="485">
        <v>37617</v>
      </c>
      <c r="EQ36" s="486">
        <v>115371.3</v>
      </c>
      <c r="ER36" s="485">
        <v>37739</v>
      </c>
      <c r="ES36" s="486">
        <v>78887</v>
      </c>
      <c r="ET36" s="485">
        <v>1</v>
      </c>
      <c r="EU36" s="485">
        <v>35719</v>
      </c>
      <c r="EV36" s="486">
        <v>559203</v>
      </c>
      <c r="EW36" s="485">
        <v>8640</v>
      </c>
      <c r="EX36" s="486">
        <v>54310.1</v>
      </c>
      <c r="EY36" s="485">
        <v>13614</v>
      </c>
      <c r="EZ36" s="486">
        <v>177384.5</v>
      </c>
      <c r="FA36" s="485">
        <v>6764</v>
      </c>
      <c r="FB36" s="486">
        <v>65292.3</v>
      </c>
      <c r="FC36" s="485">
        <v>42099</v>
      </c>
      <c r="FD36" s="486">
        <v>549657.69999999995</v>
      </c>
      <c r="FE36" s="485">
        <v>42651</v>
      </c>
      <c r="FF36" s="486">
        <v>346916.9</v>
      </c>
      <c r="FG36" s="485">
        <v>23910</v>
      </c>
      <c r="FH36" s="486">
        <v>200828.9</v>
      </c>
      <c r="FI36" s="485">
        <v>32004</v>
      </c>
      <c r="FJ36" s="486">
        <v>213033.9</v>
      </c>
      <c r="FK36" s="485">
        <v>35445</v>
      </c>
      <c r="FL36" s="486">
        <v>118095.7</v>
      </c>
      <c r="FM36" s="485">
        <v>2949</v>
      </c>
      <c r="FN36" s="486">
        <v>7547.5</v>
      </c>
      <c r="FO36" s="485">
        <v>35514</v>
      </c>
      <c r="FP36" s="486">
        <v>318344.7</v>
      </c>
      <c r="FQ36" s="485">
        <v>38243</v>
      </c>
      <c r="FR36" s="486">
        <v>160766.6</v>
      </c>
      <c r="FS36" s="485">
        <v>211</v>
      </c>
      <c r="FT36" s="486">
        <v>1773.6</v>
      </c>
      <c r="FU36" s="485">
        <v>0</v>
      </c>
      <c r="FV36" s="486">
        <v>0</v>
      </c>
      <c r="FW36" s="485">
        <v>0</v>
      </c>
      <c r="FX36" s="486">
        <v>0</v>
      </c>
      <c r="FY36" s="485">
        <v>1</v>
      </c>
      <c r="FZ36" s="486">
        <v>1.5</v>
      </c>
      <c r="GA36" s="485">
        <v>0</v>
      </c>
      <c r="GB36" s="485">
        <v>0</v>
      </c>
      <c r="GC36" s="487">
        <v>0</v>
      </c>
      <c r="GD36" s="488">
        <v>23</v>
      </c>
      <c r="GE36" s="488">
        <v>1090</v>
      </c>
      <c r="GF36" s="488">
        <v>20331</v>
      </c>
      <c r="GG36" s="488">
        <v>48</v>
      </c>
      <c r="GH36" s="488">
        <v>20</v>
      </c>
      <c r="GI36" s="488">
        <v>17</v>
      </c>
      <c r="GJ36" s="488">
        <v>0</v>
      </c>
      <c r="GK36" s="488">
        <v>7269</v>
      </c>
      <c r="GL36" s="488">
        <v>14090</v>
      </c>
      <c r="GM36" s="488">
        <v>21444</v>
      </c>
      <c r="GN36" s="488">
        <v>305</v>
      </c>
      <c r="GO36" s="488">
        <v>1655</v>
      </c>
      <c r="GP36" s="488">
        <v>591</v>
      </c>
      <c r="GQ36" s="488">
        <v>129</v>
      </c>
      <c r="GR36" s="488">
        <v>5</v>
      </c>
      <c r="GS36" s="488">
        <v>725</v>
      </c>
      <c r="GT36" s="489">
        <v>33807</v>
      </c>
      <c r="GU36" s="488">
        <v>52</v>
      </c>
      <c r="GV36" s="490">
        <v>3</v>
      </c>
      <c r="GW36" s="490">
        <v>48</v>
      </c>
      <c r="GX36" s="490">
        <v>103</v>
      </c>
      <c r="GY36" s="491">
        <v>124</v>
      </c>
      <c r="GZ36" s="491">
        <v>50</v>
      </c>
      <c r="HA36" s="491">
        <v>174</v>
      </c>
      <c r="HB36" s="475">
        <v>6</v>
      </c>
      <c r="HC36" s="475">
        <v>25</v>
      </c>
      <c r="HD36" s="475">
        <v>0</v>
      </c>
      <c r="HE36" s="475">
        <v>2</v>
      </c>
      <c r="HF36" s="475">
        <v>0</v>
      </c>
      <c r="HG36" s="475">
        <v>10</v>
      </c>
      <c r="HH36" s="475">
        <v>11</v>
      </c>
      <c r="HI36" s="475">
        <v>0</v>
      </c>
      <c r="HJ36" s="475">
        <v>0</v>
      </c>
      <c r="HK36" s="475">
        <v>0</v>
      </c>
      <c r="HL36" s="475">
        <v>57</v>
      </c>
      <c r="HM36" s="475">
        <v>6</v>
      </c>
      <c r="HN36" s="475">
        <v>1</v>
      </c>
      <c r="HO36" s="475">
        <v>16</v>
      </c>
      <c r="HP36" s="475">
        <v>0</v>
      </c>
      <c r="HQ36" s="475">
        <v>9</v>
      </c>
      <c r="HR36" s="475">
        <v>155</v>
      </c>
      <c r="HS36" s="475">
        <v>0</v>
      </c>
      <c r="HT36" s="475">
        <v>0</v>
      </c>
      <c r="HU36" s="475">
        <v>0</v>
      </c>
      <c r="HV36" s="475">
        <v>0</v>
      </c>
      <c r="HW36" s="475">
        <v>40</v>
      </c>
      <c r="HX36" s="475">
        <v>3</v>
      </c>
      <c r="HY36" s="475">
        <v>0</v>
      </c>
      <c r="HZ36" s="475">
        <v>500</v>
      </c>
      <c r="IA36" s="475">
        <v>701</v>
      </c>
      <c r="IB36" s="475">
        <v>209</v>
      </c>
      <c r="IC36" s="475">
        <v>17</v>
      </c>
      <c r="ID36" s="475">
        <v>17</v>
      </c>
      <c r="IE36" s="475">
        <v>43</v>
      </c>
      <c r="IF36" s="475">
        <v>12</v>
      </c>
      <c r="IG36" s="475" t="s">
        <v>721</v>
      </c>
      <c r="IH36" s="475" t="s">
        <v>721</v>
      </c>
      <c r="II36" s="475" t="s">
        <v>721</v>
      </c>
      <c r="IJ36" s="475" t="s">
        <v>721</v>
      </c>
      <c r="IK36" s="475" t="s">
        <v>721</v>
      </c>
      <c r="IL36" s="475" t="s">
        <v>721</v>
      </c>
      <c r="IM36" s="475">
        <v>17</v>
      </c>
      <c r="IN36" s="475" t="s">
        <v>721</v>
      </c>
      <c r="IO36" s="475" t="s">
        <v>721</v>
      </c>
      <c r="IP36" s="475" t="s">
        <v>721</v>
      </c>
      <c r="IQ36" s="475" t="s">
        <v>721</v>
      </c>
      <c r="IR36" s="475">
        <v>104</v>
      </c>
      <c r="IS36" s="475">
        <v>234</v>
      </c>
      <c r="IT36" s="475">
        <v>273</v>
      </c>
      <c r="IU36" s="475">
        <v>117</v>
      </c>
      <c r="IV36" s="475" t="s">
        <v>721</v>
      </c>
      <c r="IW36" s="475" t="s">
        <v>721</v>
      </c>
      <c r="IX36" s="475">
        <v>17</v>
      </c>
      <c r="IY36" s="475" t="s">
        <v>721</v>
      </c>
      <c r="IZ36" s="475" t="s">
        <v>721</v>
      </c>
      <c r="JA36" s="475" t="s">
        <v>721</v>
      </c>
      <c r="JB36" s="475" t="s">
        <v>721</v>
      </c>
      <c r="JC36" s="475" t="s">
        <v>721</v>
      </c>
      <c r="JD36" s="475" t="s">
        <v>721</v>
      </c>
      <c r="JE36" s="475" t="s">
        <v>721</v>
      </c>
      <c r="JF36" s="475" t="s">
        <v>721</v>
      </c>
      <c r="JG36" s="475" t="s">
        <v>721</v>
      </c>
      <c r="JH36" s="475" t="s">
        <v>721</v>
      </c>
      <c r="JI36" s="475" t="s">
        <v>721</v>
      </c>
      <c r="JJ36" s="475" t="s">
        <v>721</v>
      </c>
      <c r="JK36" s="475">
        <v>40</v>
      </c>
      <c r="JL36" s="755">
        <v>1661151.9</v>
      </c>
      <c r="JM36" s="755">
        <v>2773365.9</v>
      </c>
      <c r="JN36" s="755">
        <v>972733.7</v>
      </c>
      <c r="JO36" s="755">
        <v>118669.9</v>
      </c>
      <c r="JP36" s="755">
        <v>28801.5</v>
      </c>
      <c r="JQ36" s="755">
        <v>148730.20000000001</v>
      </c>
      <c r="JR36" s="755">
        <v>9311.5</v>
      </c>
      <c r="JS36" s="755">
        <v>414.6</v>
      </c>
      <c r="JT36" s="755">
        <v>44237.2</v>
      </c>
      <c r="JU36" s="755">
        <v>22660</v>
      </c>
      <c r="JV36" s="755">
        <v>3913.2</v>
      </c>
      <c r="JW36" s="755">
        <v>32789</v>
      </c>
      <c r="JX36" s="755">
        <v>7607.5</v>
      </c>
      <c r="JY36" s="755">
        <v>67348.800000000003</v>
      </c>
      <c r="JZ36" s="755">
        <v>2361.4</v>
      </c>
      <c r="KA36" s="755">
        <v>1319.2</v>
      </c>
      <c r="KB36" s="755">
        <v>17245.400000000001</v>
      </c>
      <c r="KC36" s="755">
        <v>50171</v>
      </c>
      <c r="KD36" s="755">
        <v>130056</v>
      </c>
      <c r="KE36" s="475">
        <v>2212</v>
      </c>
      <c r="KF36" s="475">
        <v>3378</v>
      </c>
      <c r="KG36" s="475">
        <v>955</v>
      </c>
      <c r="KH36" s="475">
        <v>163</v>
      </c>
      <c r="KI36" s="475">
        <v>27</v>
      </c>
      <c r="KJ36" s="475">
        <v>190</v>
      </c>
      <c r="KK36" s="475" t="s">
        <v>721</v>
      </c>
      <c r="KL36" s="475" t="s">
        <v>721</v>
      </c>
      <c r="KM36" s="475">
        <v>35</v>
      </c>
      <c r="KN36" s="475">
        <v>16</v>
      </c>
      <c r="KO36" s="475" t="s">
        <v>721</v>
      </c>
      <c r="KP36" s="475">
        <v>25</v>
      </c>
      <c r="KQ36" s="475" t="s">
        <v>721</v>
      </c>
      <c r="KR36" s="475">
        <v>61</v>
      </c>
      <c r="KS36" s="475" t="s">
        <v>721</v>
      </c>
      <c r="KT36" s="475" t="s">
        <v>721</v>
      </c>
      <c r="KU36" s="475" t="s">
        <v>721</v>
      </c>
      <c r="KV36" s="475">
        <v>47</v>
      </c>
      <c r="KW36" s="475">
        <v>225</v>
      </c>
      <c r="KX36" s="475">
        <v>1320</v>
      </c>
      <c r="KY36" s="475">
        <v>3442</v>
      </c>
      <c r="KZ36" s="475">
        <v>786</v>
      </c>
      <c r="LA36" s="475">
        <v>133</v>
      </c>
      <c r="LB36" s="475">
        <v>27</v>
      </c>
      <c r="LC36" s="475">
        <v>148</v>
      </c>
      <c r="LD36" s="475" t="s">
        <v>721</v>
      </c>
      <c r="LE36" s="475" t="s">
        <v>721</v>
      </c>
      <c r="LF36" s="475">
        <v>35</v>
      </c>
      <c r="LG36" s="475">
        <v>32</v>
      </c>
      <c r="LH36" s="475" t="s">
        <v>721</v>
      </c>
      <c r="LI36" s="475">
        <v>21</v>
      </c>
      <c r="LJ36" s="475">
        <v>12</v>
      </c>
      <c r="LK36" s="475">
        <v>78</v>
      </c>
      <c r="LL36" s="475" t="s">
        <v>721</v>
      </c>
      <c r="LM36" s="475" t="s">
        <v>721</v>
      </c>
      <c r="LN36" s="475">
        <v>28</v>
      </c>
      <c r="LO36" s="475">
        <v>49</v>
      </c>
      <c r="LP36" s="475">
        <v>128</v>
      </c>
      <c r="LQ36" s="475">
        <v>8396</v>
      </c>
      <c r="LR36" s="475">
        <v>14102</v>
      </c>
      <c r="LS36" s="475">
        <v>4492</v>
      </c>
      <c r="LT36" s="475">
        <v>536</v>
      </c>
      <c r="LU36" s="475">
        <v>167</v>
      </c>
      <c r="LV36" s="475">
        <v>644</v>
      </c>
      <c r="LW36" s="475">
        <v>56</v>
      </c>
      <c r="LX36" s="475" t="s">
        <v>721</v>
      </c>
      <c r="LY36" s="475">
        <v>186</v>
      </c>
      <c r="LZ36" s="475">
        <v>87</v>
      </c>
      <c r="MA36" s="475">
        <v>18</v>
      </c>
      <c r="MB36" s="475">
        <v>153</v>
      </c>
      <c r="MC36" s="475">
        <v>24</v>
      </c>
      <c r="MD36" s="475">
        <v>305</v>
      </c>
      <c r="ME36" s="475">
        <v>14</v>
      </c>
      <c r="MF36" s="475" t="s">
        <v>721</v>
      </c>
      <c r="MG36" s="475">
        <v>76</v>
      </c>
      <c r="MH36" s="475">
        <v>198</v>
      </c>
      <c r="MI36" s="475">
        <v>696</v>
      </c>
      <c r="MJ36" s="475">
        <v>4481</v>
      </c>
      <c r="MK36" s="475">
        <v>8271</v>
      </c>
      <c r="ML36" s="475">
        <v>3068</v>
      </c>
      <c r="MM36" s="475">
        <v>364</v>
      </c>
      <c r="MN36" s="475">
        <v>83</v>
      </c>
      <c r="MO36" s="475">
        <v>493</v>
      </c>
      <c r="MP36" s="475">
        <v>26</v>
      </c>
      <c r="MQ36" s="475" t="s">
        <v>721</v>
      </c>
      <c r="MR36" s="475">
        <v>165</v>
      </c>
      <c r="MS36" s="475">
        <v>91</v>
      </c>
      <c r="MT36" s="475">
        <v>13</v>
      </c>
      <c r="MU36" s="475">
        <v>122</v>
      </c>
      <c r="MV36" s="475">
        <v>32</v>
      </c>
      <c r="MW36" s="475">
        <v>268</v>
      </c>
      <c r="MX36" s="475" t="s">
        <v>721</v>
      </c>
      <c r="MY36" s="475" t="s">
        <v>721</v>
      </c>
      <c r="MZ36" s="475">
        <v>72</v>
      </c>
      <c r="NA36" s="475">
        <v>190</v>
      </c>
      <c r="NB36" s="475">
        <v>316</v>
      </c>
      <c r="NC36" s="476">
        <v>0.55400000000000005</v>
      </c>
      <c r="ND36" s="476">
        <v>0.44600000000000001</v>
      </c>
      <c r="NE36" s="476">
        <v>0.26700000000000002</v>
      </c>
      <c r="NF36" s="476">
        <v>0.46400000000000002</v>
      </c>
      <c r="NG36" s="476">
        <v>0.157</v>
      </c>
      <c r="NH36" s="476">
        <v>1.9E-2</v>
      </c>
      <c r="NI36" s="476">
        <v>5.0000000000000001E-3</v>
      </c>
      <c r="NJ36" s="476">
        <v>2.4E-2</v>
      </c>
      <c r="NK36" s="476">
        <v>2E-3</v>
      </c>
      <c r="NL36" s="476" t="s">
        <v>721</v>
      </c>
      <c r="NM36" s="476">
        <v>7.0000000000000001E-3</v>
      </c>
      <c r="NN36" s="476">
        <v>4.0000000000000001E-3</v>
      </c>
      <c r="NO36" s="476">
        <v>1E-3</v>
      </c>
      <c r="NP36" s="476">
        <v>6.0000000000000001E-3</v>
      </c>
      <c r="NQ36" s="476">
        <v>1E-3</v>
      </c>
      <c r="NR36" s="476">
        <v>1.2E-2</v>
      </c>
      <c r="NS36" s="476">
        <v>0</v>
      </c>
      <c r="NT36" s="476" t="s">
        <v>721</v>
      </c>
      <c r="NU36" s="476">
        <v>3.0000000000000001E-3</v>
      </c>
      <c r="NV36" s="476">
        <v>8.0000000000000002E-3</v>
      </c>
      <c r="NW36" s="476">
        <v>2.1000000000000001E-2</v>
      </c>
      <c r="NX36" s="476">
        <v>1E-3</v>
      </c>
      <c r="NY36" s="476">
        <v>0.246</v>
      </c>
      <c r="NZ36" s="476">
        <v>1E-3</v>
      </c>
      <c r="OA36" s="476" t="s">
        <v>721</v>
      </c>
      <c r="OB36" s="476">
        <v>4.0000000000000001E-3</v>
      </c>
      <c r="OC36" s="476">
        <v>7.0000000000000001E-3</v>
      </c>
      <c r="OD36" s="476">
        <v>7.0000000000000001E-3</v>
      </c>
      <c r="OE36" s="476">
        <v>0.69699999999999995</v>
      </c>
      <c r="OF36" s="476" t="s">
        <v>721</v>
      </c>
      <c r="OG36" s="476">
        <v>0</v>
      </c>
      <c r="OH36" s="476">
        <v>4.0000000000000001E-3</v>
      </c>
      <c r="OI36" s="476">
        <v>0</v>
      </c>
      <c r="OJ36" s="476">
        <v>3.0000000000000001E-3</v>
      </c>
      <c r="OK36" s="476">
        <v>1E-3</v>
      </c>
      <c r="OL36" s="476">
        <v>0</v>
      </c>
      <c r="OM36" s="476" t="s">
        <v>721</v>
      </c>
      <c r="ON36" s="476">
        <v>1E-3</v>
      </c>
      <c r="OO36" s="476">
        <v>3.0000000000000001E-3</v>
      </c>
      <c r="OP36" s="476" t="s">
        <v>721</v>
      </c>
      <c r="OQ36" s="476" t="s">
        <v>721</v>
      </c>
      <c r="OR36" s="476" t="s">
        <v>721</v>
      </c>
      <c r="OS36" s="476" t="s">
        <v>721</v>
      </c>
      <c r="OT36" s="476">
        <v>1E-3</v>
      </c>
      <c r="OU36" s="476">
        <v>0</v>
      </c>
      <c r="OV36" s="476" t="s">
        <v>721</v>
      </c>
      <c r="OW36" s="476">
        <v>0.01</v>
      </c>
      <c r="OX36" s="476">
        <v>0</v>
      </c>
      <c r="OY36" s="476">
        <v>1E-3</v>
      </c>
      <c r="OZ36" s="476">
        <v>4.0000000000000001E-3</v>
      </c>
      <c r="PA36" s="476">
        <v>6.0000000000000001E-3</v>
      </c>
      <c r="PB36" s="476">
        <v>0</v>
      </c>
      <c r="PC36" s="476">
        <v>1E-3</v>
      </c>
      <c r="PD36" s="476" t="s">
        <v>721</v>
      </c>
      <c r="PE36" s="476">
        <v>0</v>
      </c>
      <c r="PF36" s="476">
        <v>0.16300000000000001</v>
      </c>
      <c r="PG36" s="476">
        <v>0</v>
      </c>
      <c r="PH36" s="476" t="s">
        <v>721</v>
      </c>
      <c r="PI36" s="476">
        <v>3.0000000000000001E-3</v>
      </c>
      <c r="PJ36" s="476">
        <v>3.0000000000000001E-3</v>
      </c>
      <c r="PK36" s="476">
        <v>2E-3</v>
      </c>
      <c r="PL36" s="476">
        <v>0.80900000000000005</v>
      </c>
      <c r="PM36" s="476">
        <v>3.0000000000000001E-3</v>
      </c>
      <c r="PN36" s="476" t="s">
        <v>721</v>
      </c>
      <c r="PO36" s="476">
        <v>2E-3</v>
      </c>
      <c r="PP36" s="476">
        <v>1E-3</v>
      </c>
      <c r="PQ36" s="476">
        <v>1E-3</v>
      </c>
      <c r="PR36" s="476">
        <v>0</v>
      </c>
      <c r="PS36" s="476" t="s">
        <v>721</v>
      </c>
      <c r="PT36" s="476" t="s">
        <v>721</v>
      </c>
      <c r="PU36" s="476" t="s">
        <v>721</v>
      </c>
      <c r="PV36" s="476">
        <v>1E-3</v>
      </c>
      <c r="PW36" s="476" t="s">
        <v>721</v>
      </c>
      <c r="PX36" s="476" t="s">
        <v>721</v>
      </c>
      <c r="PY36" s="476" t="s">
        <v>721</v>
      </c>
      <c r="PZ36" s="476" t="s">
        <v>721</v>
      </c>
      <c r="QA36" s="476">
        <v>1E-3</v>
      </c>
      <c r="QB36" s="476" t="s">
        <v>721</v>
      </c>
      <c r="QC36" s="476" t="s">
        <v>721</v>
      </c>
      <c r="QD36" s="476">
        <v>5.0000000000000001E-3</v>
      </c>
      <c r="QE36" s="476" t="s">
        <v>721</v>
      </c>
      <c r="QF36" s="476" t="s">
        <v>721</v>
      </c>
      <c r="QG36" s="476">
        <v>1E-3</v>
      </c>
      <c r="QH36" s="476">
        <v>3.0000000000000001E-3</v>
      </c>
      <c r="QI36" s="476" t="s">
        <v>721</v>
      </c>
      <c r="QJ36" s="476" t="s">
        <v>721</v>
      </c>
      <c r="QK36" s="476" t="s">
        <v>721</v>
      </c>
      <c r="QL36" s="476">
        <v>0.30199999999999999</v>
      </c>
      <c r="QM36" s="476">
        <v>0.42399999999999999</v>
      </c>
      <c r="QN36" s="476">
        <v>0.126</v>
      </c>
      <c r="QO36" s="476">
        <v>0.01</v>
      </c>
      <c r="QP36" s="476">
        <v>0.01</v>
      </c>
      <c r="QQ36" s="476">
        <v>2.5999999999999999E-2</v>
      </c>
      <c r="QR36" s="476">
        <v>7.0000000000000001E-3</v>
      </c>
      <c r="QS36" s="476" t="s">
        <v>721</v>
      </c>
      <c r="QT36" s="476" t="s">
        <v>721</v>
      </c>
      <c r="QU36" s="476" t="s">
        <v>721</v>
      </c>
      <c r="QV36" s="476" t="s">
        <v>721</v>
      </c>
      <c r="QW36" s="476" t="s">
        <v>721</v>
      </c>
      <c r="QX36" s="476" t="s">
        <v>721</v>
      </c>
      <c r="QY36" s="476">
        <v>0.01</v>
      </c>
      <c r="QZ36" s="476" t="s">
        <v>721</v>
      </c>
      <c r="RA36" s="476" t="s">
        <v>721</v>
      </c>
      <c r="RB36" s="476" t="s">
        <v>721</v>
      </c>
      <c r="RC36" s="476" t="s">
        <v>721</v>
      </c>
      <c r="RD36" s="476">
        <v>6.3E-2</v>
      </c>
      <c r="RE36" s="476">
        <v>0.32300000000000001</v>
      </c>
      <c r="RF36" s="476">
        <v>0.377</v>
      </c>
      <c r="RG36" s="476">
        <v>0.161</v>
      </c>
      <c r="RH36" s="476" t="s">
        <v>721</v>
      </c>
      <c r="RI36" s="476" t="s">
        <v>721</v>
      </c>
      <c r="RJ36" s="476">
        <v>2.3E-2</v>
      </c>
      <c r="RK36" s="476" t="s">
        <v>721</v>
      </c>
      <c r="RL36" s="476" t="s">
        <v>721</v>
      </c>
      <c r="RM36" s="476" t="s">
        <v>721</v>
      </c>
      <c r="RN36" s="476" t="s">
        <v>721</v>
      </c>
      <c r="RO36" s="476" t="s">
        <v>721</v>
      </c>
      <c r="RP36" s="476" t="s">
        <v>721</v>
      </c>
      <c r="RQ36" s="476" t="s">
        <v>721</v>
      </c>
      <c r="RR36" s="476" t="s">
        <v>721</v>
      </c>
      <c r="RS36" s="476" t="s">
        <v>721</v>
      </c>
      <c r="RT36" s="476" t="s">
        <v>721</v>
      </c>
      <c r="RU36" s="476" t="s">
        <v>721</v>
      </c>
      <c r="RV36" s="476" t="s">
        <v>721</v>
      </c>
      <c r="RW36" s="476">
        <v>5.5E-2</v>
      </c>
      <c r="RX36" s="476">
        <v>0.27300000000000002</v>
      </c>
      <c r="RY36" s="476">
        <v>0.45500000000000002</v>
      </c>
      <c r="RZ36" s="476">
        <v>0.16</v>
      </c>
      <c r="SA36" s="476">
        <v>1.9E-2</v>
      </c>
      <c r="SB36" s="476">
        <v>5.0000000000000001E-3</v>
      </c>
      <c r="SC36" s="476">
        <v>2.4E-2</v>
      </c>
      <c r="SD36" s="476">
        <v>2E-3</v>
      </c>
      <c r="SE36" s="476">
        <v>0</v>
      </c>
      <c r="SF36" s="476">
        <v>7.0000000000000001E-3</v>
      </c>
      <c r="SG36" s="476">
        <v>4.0000000000000001E-3</v>
      </c>
      <c r="SH36" s="476">
        <v>1E-3</v>
      </c>
      <c r="SI36" s="476">
        <v>5.0000000000000001E-3</v>
      </c>
      <c r="SJ36" s="476">
        <v>1E-3</v>
      </c>
      <c r="SK36" s="476">
        <v>1.0999999999999999E-2</v>
      </c>
      <c r="SL36" s="476">
        <v>0</v>
      </c>
      <c r="SM36" s="476">
        <v>0</v>
      </c>
      <c r="SN36" s="476">
        <v>3.0000000000000001E-3</v>
      </c>
      <c r="SO36" s="476">
        <v>8.0000000000000002E-3</v>
      </c>
      <c r="SP36" s="476">
        <v>2.1000000000000001E-2</v>
      </c>
      <c r="SQ36" s="476">
        <v>0.3</v>
      </c>
      <c r="SR36" s="476">
        <v>0.45800000000000002</v>
      </c>
      <c r="SS36" s="476">
        <v>0.13</v>
      </c>
      <c r="ST36" s="476">
        <v>2.1999999999999999E-2</v>
      </c>
      <c r="SU36" s="476">
        <v>4.0000000000000001E-3</v>
      </c>
      <c r="SV36" s="476">
        <v>2.5999999999999999E-2</v>
      </c>
      <c r="SW36" s="476" t="s">
        <v>721</v>
      </c>
      <c r="SX36" s="476" t="s">
        <v>721</v>
      </c>
      <c r="SY36" s="476">
        <v>5.0000000000000001E-3</v>
      </c>
      <c r="SZ36" s="476">
        <v>2E-3</v>
      </c>
      <c r="TA36" s="476" t="s">
        <v>721</v>
      </c>
      <c r="TB36" s="476">
        <v>3.0000000000000001E-3</v>
      </c>
      <c r="TC36" s="476" t="s">
        <v>721</v>
      </c>
      <c r="TD36" s="476">
        <v>8.0000000000000002E-3</v>
      </c>
      <c r="TE36" s="476" t="s">
        <v>721</v>
      </c>
      <c r="TF36" s="476" t="s">
        <v>721</v>
      </c>
      <c r="TG36" s="476" t="s">
        <v>721</v>
      </c>
      <c r="TH36" s="476">
        <v>6.0000000000000001E-3</v>
      </c>
      <c r="TI36" s="476">
        <v>3.1E-2</v>
      </c>
      <c r="TJ36" s="476">
        <v>0.21099999999999999</v>
      </c>
      <c r="TK36" s="476">
        <v>0.55100000000000005</v>
      </c>
      <c r="TL36" s="476">
        <v>0.126</v>
      </c>
      <c r="TM36" s="476">
        <v>2.1000000000000001E-2</v>
      </c>
      <c r="TN36" s="476">
        <v>4.0000000000000001E-3</v>
      </c>
      <c r="TO36" s="476">
        <v>2.4E-2</v>
      </c>
      <c r="TP36" s="476" t="s">
        <v>721</v>
      </c>
      <c r="TQ36" s="476" t="s">
        <v>721</v>
      </c>
      <c r="TR36" s="476">
        <v>6.0000000000000001E-3</v>
      </c>
      <c r="TS36" s="476">
        <v>5.0000000000000001E-3</v>
      </c>
      <c r="TT36" s="476" t="s">
        <v>721</v>
      </c>
      <c r="TU36" s="476">
        <v>3.0000000000000001E-3</v>
      </c>
      <c r="TV36" s="476">
        <v>2E-3</v>
      </c>
      <c r="TW36" s="476">
        <v>1.2E-2</v>
      </c>
      <c r="TX36" s="476" t="s">
        <v>721</v>
      </c>
      <c r="TY36" s="476" t="s">
        <v>721</v>
      </c>
      <c r="TZ36" s="476">
        <v>4.0000000000000001E-3</v>
      </c>
      <c r="UA36" s="476">
        <v>8.0000000000000002E-3</v>
      </c>
      <c r="UB36" s="476">
        <v>0.02</v>
      </c>
      <c r="UC36" s="476">
        <v>0.27800000000000002</v>
      </c>
      <c r="UD36" s="476">
        <v>0.46800000000000003</v>
      </c>
      <c r="UE36" s="476">
        <v>0.14899999999999999</v>
      </c>
      <c r="UF36" s="476">
        <v>1.7999999999999999E-2</v>
      </c>
      <c r="UG36" s="476">
        <v>6.0000000000000001E-3</v>
      </c>
      <c r="UH36" s="476">
        <v>2.1000000000000001E-2</v>
      </c>
      <c r="UI36" s="476">
        <v>2E-3</v>
      </c>
      <c r="UJ36" s="476" t="s">
        <v>721</v>
      </c>
      <c r="UK36" s="476">
        <v>6.0000000000000001E-3</v>
      </c>
      <c r="UL36" s="476">
        <v>3.0000000000000001E-3</v>
      </c>
      <c r="UM36" s="476">
        <v>1E-3</v>
      </c>
      <c r="UN36" s="476">
        <v>5.0000000000000001E-3</v>
      </c>
      <c r="UO36" s="476">
        <v>1E-3</v>
      </c>
      <c r="UP36" s="476">
        <v>0.01</v>
      </c>
      <c r="UQ36" s="476">
        <v>0</v>
      </c>
      <c r="UR36" s="476" t="s">
        <v>721</v>
      </c>
      <c r="US36" s="476">
        <v>3.0000000000000001E-3</v>
      </c>
      <c r="UT36" s="476">
        <v>7.0000000000000001E-3</v>
      </c>
      <c r="UU36" s="476">
        <v>2.3E-2</v>
      </c>
      <c r="UV36" s="476">
        <v>0.248</v>
      </c>
      <c r="UW36" s="476">
        <v>0.45800000000000002</v>
      </c>
      <c r="UX36" s="476">
        <v>0.17</v>
      </c>
      <c r="UY36" s="476">
        <v>0.02</v>
      </c>
      <c r="UZ36" s="476">
        <v>5.0000000000000001E-3</v>
      </c>
      <c r="VA36" s="476">
        <v>2.7E-2</v>
      </c>
      <c r="VB36" s="476">
        <v>1E-3</v>
      </c>
      <c r="VC36" s="476" t="s">
        <v>721</v>
      </c>
      <c r="VD36" s="476">
        <v>8.9999999999999993E-3</v>
      </c>
      <c r="VE36" s="476">
        <v>5.0000000000000001E-3</v>
      </c>
      <c r="VF36" s="476">
        <v>1E-3</v>
      </c>
      <c r="VG36" s="476">
        <v>7.0000000000000001E-3</v>
      </c>
      <c r="VH36" s="476">
        <v>2E-3</v>
      </c>
      <c r="VI36" s="476">
        <v>1.4999999999999999E-2</v>
      </c>
      <c r="VJ36" s="476" t="s">
        <v>721</v>
      </c>
      <c r="VK36" s="476" t="s">
        <v>721</v>
      </c>
      <c r="VL36" s="476">
        <v>4.0000000000000001E-3</v>
      </c>
      <c r="VM36" s="476">
        <v>1.0999999999999999E-2</v>
      </c>
      <c r="VN36" s="476">
        <v>1.7000000000000001E-2</v>
      </c>
      <c r="VO36" s="28"/>
      <c r="VP36" s="28"/>
      <c r="VQ36" s="28"/>
      <c r="VR36" s="28"/>
      <c r="VS36" s="28"/>
      <c r="VT36" s="28"/>
      <c r="VU36" s="28"/>
      <c r="VV36" s="28"/>
      <c r="VW36" s="28"/>
      <c r="VX36" s="28"/>
      <c r="VY36" s="28"/>
      <c r="VZ36" s="28"/>
      <c r="WA36" s="28"/>
      <c r="WB36" s="28"/>
      <c r="WC36" s="28"/>
      <c r="WD36" s="28"/>
      <c r="WE36" s="28"/>
      <c r="WF36" s="28"/>
      <c r="WG36" s="28"/>
      <c r="WH36" s="28"/>
      <c r="WI36" s="28"/>
      <c r="WJ36" s="28"/>
      <c r="WK36" s="28"/>
      <c r="WL36" s="28"/>
      <c r="WM36" s="28"/>
      <c r="WN36" s="28"/>
      <c r="WO36" s="28"/>
      <c r="WP36" s="28"/>
      <c r="WQ36" s="28"/>
      <c r="WR36" s="28"/>
      <c r="WS36" s="28"/>
      <c r="WT36" s="28"/>
      <c r="WU36" s="28"/>
      <c r="WV36" s="28"/>
      <c r="WW36" s="28"/>
    </row>
    <row r="37" spans="1:621" s="151" customFormat="1" ht="15.75" customHeight="1" x14ac:dyDescent="0.35">
      <c r="A37" s="477" t="s">
        <v>45</v>
      </c>
      <c r="B37" s="492" t="s">
        <v>12</v>
      </c>
      <c r="C37" s="493">
        <v>16.5</v>
      </c>
      <c r="D37" s="494">
        <v>35901</v>
      </c>
      <c r="E37" s="473">
        <v>4436603.8</v>
      </c>
      <c r="F37" s="473">
        <v>123.6</v>
      </c>
      <c r="G37" s="474">
        <v>35889</v>
      </c>
      <c r="H37" s="474">
        <v>33390</v>
      </c>
      <c r="I37" s="474">
        <v>24363</v>
      </c>
      <c r="J37" s="474">
        <v>18603</v>
      </c>
      <c r="K37" s="474">
        <v>13328</v>
      </c>
      <c r="L37" s="473">
        <v>2233589.7999999998</v>
      </c>
      <c r="M37" s="474">
        <v>22523</v>
      </c>
      <c r="N37" s="473">
        <v>2203014</v>
      </c>
      <c r="O37" s="494">
        <v>4564</v>
      </c>
      <c r="P37" s="495">
        <v>817909.7</v>
      </c>
      <c r="Q37" s="494">
        <v>4571</v>
      </c>
      <c r="R37" s="495">
        <v>186456</v>
      </c>
      <c r="S37" s="494">
        <v>9856</v>
      </c>
      <c r="T37" s="495">
        <v>1114040.3999999999</v>
      </c>
      <c r="U37" s="494">
        <v>458</v>
      </c>
      <c r="V37" s="495">
        <v>60723.4</v>
      </c>
      <c r="W37" s="494">
        <v>25587</v>
      </c>
      <c r="X37" s="495">
        <v>3261840</v>
      </c>
      <c r="Y37" s="494">
        <v>33417</v>
      </c>
      <c r="Z37" s="494">
        <v>19265</v>
      </c>
      <c r="AA37" s="494">
        <v>23417</v>
      </c>
      <c r="AB37" s="494">
        <v>15794</v>
      </c>
      <c r="AC37" s="494">
        <v>1528</v>
      </c>
      <c r="AD37" s="494">
        <v>5862</v>
      </c>
      <c r="AE37" s="480">
        <v>15792</v>
      </c>
      <c r="AF37" s="481">
        <v>1159406.8999999999</v>
      </c>
      <c r="AG37" s="480">
        <v>18606</v>
      </c>
      <c r="AH37" s="481">
        <v>3168765.7</v>
      </c>
      <c r="AI37" s="480">
        <v>833</v>
      </c>
      <c r="AJ37" s="481">
        <v>38078.800000000003</v>
      </c>
      <c r="AK37" s="480">
        <v>620</v>
      </c>
      <c r="AL37" s="481">
        <v>70352.399999999994</v>
      </c>
      <c r="AM37" s="496">
        <v>20673</v>
      </c>
      <c r="AN37" s="496">
        <v>15228</v>
      </c>
      <c r="AO37" s="496">
        <v>12158</v>
      </c>
      <c r="AP37" s="496">
        <v>4448</v>
      </c>
      <c r="AQ37" s="496">
        <v>7843</v>
      </c>
      <c r="AR37" s="496">
        <v>2157</v>
      </c>
      <c r="AS37" s="496">
        <v>259</v>
      </c>
      <c r="AT37" s="496">
        <v>888</v>
      </c>
      <c r="AU37" s="496">
        <v>275</v>
      </c>
      <c r="AV37" s="496">
        <v>22</v>
      </c>
      <c r="AW37" s="496">
        <v>1671</v>
      </c>
      <c r="AX37" s="496">
        <v>109</v>
      </c>
      <c r="AY37" s="496">
        <v>33</v>
      </c>
      <c r="AZ37" s="496">
        <v>170</v>
      </c>
      <c r="BA37" s="496">
        <v>55</v>
      </c>
      <c r="BB37" s="496">
        <v>1628</v>
      </c>
      <c r="BC37" s="496">
        <v>13</v>
      </c>
      <c r="BD37" s="496" t="s">
        <v>721</v>
      </c>
      <c r="BE37" s="496">
        <v>864</v>
      </c>
      <c r="BF37" s="496">
        <v>1373</v>
      </c>
      <c r="BG37" s="496">
        <v>1926</v>
      </c>
      <c r="BH37" s="496">
        <v>61</v>
      </c>
      <c r="BI37" s="496">
        <v>1840</v>
      </c>
      <c r="BJ37" s="496">
        <v>1320</v>
      </c>
      <c r="BK37" s="496" t="s">
        <v>721</v>
      </c>
      <c r="BL37" s="496">
        <v>145</v>
      </c>
      <c r="BM37" s="496">
        <v>293</v>
      </c>
      <c r="BN37" s="496">
        <v>1450</v>
      </c>
      <c r="BO37" s="496">
        <v>22373</v>
      </c>
      <c r="BP37" s="496" t="s">
        <v>721</v>
      </c>
      <c r="BQ37" s="496">
        <v>13</v>
      </c>
      <c r="BR37" s="496">
        <v>281</v>
      </c>
      <c r="BS37" s="496">
        <v>20</v>
      </c>
      <c r="BT37" s="496">
        <v>84</v>
      </c>
      <c r="BU37" s="496">
        <v>441</v>
      </c>
      <c r="BV37" s="496">
        <v>37</v>
      </c>
      <c r="BW37" s="496">
        <v>327</v>
      </c>
      <c r="BX37" s="496">
        <v>895</v>
      </c>
      <c r="BY37" s="496">
        <v>305</v>
      </c>
      <c r="BZ37" s="496" t="s">
        <v>721</v>
      </c>
      <c r="CA37" s="496" t="s">
        <v>721</v>
      </c>
      <c r="CB37" s="496" t="s">
        <v>721</v>
      </c>
      <c r="CC37" s="496" t="s">
        <v>721</v>
      </c>
      <c r="CD37" s="496">
        <v>3100</v>
      </c>
      <c r="CE37" s="496" t="s">
        <v>721</v>
      </c>
      <c r="CF37" s="496" t="s">
        <v>721</v>
      </c>
      <c r="CG37" s="496">
        <v>520</v>
      </c>
      <c r="CH37" s="496">
        <v>15</v>
      </c>
      <c r="CI37" s="496">
        <v>17</v>
      </c>
      <c r="CJ37" s="496">
        <v>457</v>
      </c>
      <c r="CK37" s="496">
        <v>1295</v>
      </c>
      <c r="CL37" s="496">
        <v>151</v>
      </c>
      <c r="CM37" s="496">
        <v>375</v>
      </c>
      <c r="CN37" s="496">
        <v>68</v>
      </c>
      <c r="CO37" s="496">
        <v>28</v>
      </c>
      <c r="CP37" s="496">
        <v>592</v>
      </c>
      <c r="CQ37" s="496">
        <v>262</v>
      </c>
      <c r="CR37" s="496" t="s">
        <v>721</v>
      </c>
      <c r="CS37" s="496">
        <v>34</v>
      </c>
      <c r="CT37" s="496">
        <v>91</v>
      </c>
      <c r="CU37" s="496">
        <v>584</v>
      </c>
      <c r="CV37" s="496">
        <v>22125</v>
      </c>
      <c r="CW37" s="496">
        <v>7542</v>
      </c>
      <c r="CX37" s="496">
        <v>16</v>
      </c>
      <c r="CY37" s="496">
        <v>53</v>
      </c>
      <c r="CZ37" s="496">
        <v>168</v>
      </c>
      <c r="DA37" s="496">
        <v>16</v>
      </c>
      <c r="DB37" s="496">
        <v>62</v>
      </c>
      <c r="DC37" s="496" t="s">
        <v>721</v>
      </c>
      <c r="DD37" s="496">
        <v>36</v>
      </c>
      <c r="DE37" s="496">
        <v>197</v>
      </c>
      <c r="DF37" s="496">
        <v>24</v>
      </c>
      <c r="DG37" s="496" t="s">
        <v>721</v>
      </c>
      <c r="DH37" s="496" t="s">
        <v>721</v>
      </c>
      <c r="DI37" s="496" t="s">
        <v>721</v>
      </c>
      <c r="DJ37" s="496" t="s">
        <v>721</v>
      </c>
      <c r="DK37" s="496">
        <v>908</v>
      </c>
      <c r="DL37" s="496" t="s">
        <v>721</v>
      </c>
      <c r="DM37" s="496" t="s">
        <v>721</v>
      </c>
      <c r="DN37" s="496">
        <v>79</v>
      </c>
      <c r="DO37" s="496" t="s">
        <v>721</v>
      </c>
      <c r="DP37" s="496">
        <v>11</v>
      </c>
      <c r="DQ37" s="496">
        <v>168</v>
      </c>
      <c r="DR37" s="496">
        <v>400</v>
      </c>
      <c r="DS37" s="483" t="s">
        <v>721</v>
      </c>
      <c r="DT37" s="483" t="s">
        <v>721</v>
      </c>
      <c r="DU37" s="483" t="s">
        <v>721</v>
      </c>
      <c r="DV37" s="496">
        <v>3424</v>
      </c>
      <c r="DW37" s="497">
        <v>556009</v>
      </c>
      <c r="DX37" s="496">
        <v>5355</v>
      </c>
      <c r="DY37" s="497">
        <v>837593.4</v>
      </c>
      <c r="DZ37" s="496">
        <v>9204</v>
      </c>
      <c r="EA37" s="497">
        <v>1018841.7</v>
      </c>
      <c r="EB37" s="496">
        <v>7872</v>
      </c>
      <c r="EC37" s="497">
        <v>812706.3</v>
      </c>
      <c r="ED37" s="496">
        <v>6285</v>
      </c>
      <c r="EE37" s="497">
        <v>699435.1</v>
      </c>
      <c r="EF37" s="496">
        <v>3761</v>
      </c>
      <c r="EG37" s="497">
        <v>512018.3</v>
      </c>
      <c r="EH37" s="485">
        <v>29630</v>
      </c>
      <c r="EI37" s="486">
        <v>91425.9</v>
      </c>
      <c r="EJ37" s="485">
        <v>29833</v>
      </c>
      <c r="EK37" s="486">
        <v>734294.6</v>
      </c>
      <c r="EL37" s="485">
        <v>29281</v>
      </c>
      <c r="EM37" s="486">
        <v>307786.59999999998</v>
      </c>
      <c r="EN37" s="485">
        <v>30472</v>
      </c>
      <c r="EO37" s="486">
        <v>151200.9</v>
      </c>
      <c r="EP37" s="485">
        <v>29513</v>
      </c>
      <c r="EQ37" s="486">
        <v>87613.2</v>
      </c>
      <c r="ER37" s="485">
        <v>29428</v>
      </c>
      <c r="ES37" s="486">
        <v>60643.4</v>
      </c>
      <c r="ET37" s="485">
        <v>0</v>
      </c>
      <c r="EU37" s="485">
        <v>25117</v>
      </c>
      <c r="EV37" s="486">
        <v>393784.2</v>
      </c>
      <c r="EW37" s="485">
        <v>4864</v>
      </c>
      <c r="EX37" s="486">
        <v>25697.5</v>
      </c>
      <c r="EY37" s="485">
        <v>10124</v>
      </c>
      <c r="EZ37" s="486">
        <v>139133.9</v>
      </c>
      <c r="FA37" s="485">
        <v>4220</v>
      </c>
      <c r="FB37" s="486">
        <v>42923.8</v>
      </c>
      <c r="FC37" s="485">
        <v>31549</v>
      </c>
      <c r="FD37" s="486">
        <v>405394.7</v>
      </c>
      <c r="FE37" s="485">
        <v>31111</v>
      </c>
      <c r="FF37" s="486">
        <v>252926.1</v>
      </c>
      <c r="FG37" s="485">
        <v>17374</v>
      </c>
      <c r="FH37" s="486">
        <v>155475.70000000001</v>
      </c>
      <c r="FI37" s="485">
        <v>23787</v>
      </c>
      <c r="FJ37" s="486">
        <v>157144.4</v>
      </c>
      <c r="FK37" s="485">
        <v>27008</v>
      </c>
      <c r="FL37" s="486">
        <v>93711.6</v>
      </c>
      <c r="FM37" s="485">
        <v>1379</v>
      </c>
      <c r="FN37" s="486">
        <v>3248</v>
      </c>
      <c r="FO37" s="485">
        <v>27137</v>
      </c>
      <c r="FP37" s="486">
        <v>236011.6</v>
      </c>
      <c r="FQ37" s="485">
        <v>27926</v>
      </c>
      <c r="FR37" s="486">
        <v>92616.4</v>
      </c>
      <c r="FS37" s="485">
        <v>284</v>
      </c>
      <c r="FT37" s="486">
        <v>2441.5</v>
      </c>
      <c r="FU37" s="485">
        <v>1</v>
      </c>
      <c r="FV37" s="486">
        <v>2</v>
      </c>
      <c r="FW37" s="485">
        <v>0</v>
      </c>
      <c r="FX37" s="486">
        <v>0</v>
      </c>
      <c r="FY37" s="485">
        <v>0</v>
      </c>
      <c r="FZ37" s="486">
        <v>0</v>
      </c>
      <c r="GA37" s="485">
        <v>0</v>
      </c>
      <c r="GB37" s="485">
        <v>0</v>
      </c>
      <c r="GC37" s="487">
        <v>0</v>
      </c>
      <c r="GD37" s="488">
        <v>432</v>
      </c>
      <c r="GE37" s="488">
        <v>2469</v>
      </c>
      <c r="GF37" s="488">
        <v>18971</v>
      </c>
      <c r="GG37" s="488">
        <v>56</v>
      </c>
      <c r="GH37" s="488">
        <v>32</v>
      </c>
      <c r="GI37" s="488">
        <v>12</v>
      </c>
      <c r="GJ37" s="488">
        <v>5</v>
      </c>
      <c r="GK37" s="488">
        <v>7245</v>
      </c>
      <c r="GL37" s="488">
        <v>14522</v>
      </c>
      <c r="GM37" s="488">
        <v>21872</v>
      </c>
      <c r="GN37" s="488">
        <v>7166</v>
      </c>
      <c r="GO37" s="488">
        <v>995</v>
      </c>
      <c r="GP37" s="488">
        <v>37</v>
      </c>
      <c r="GQ37" s="488">
        <v>372</v>
      </c>
      <c r="GR37" s="488">
        <v>13</v>
      </c>
      <c r="GS37" s="488">
        <v>422</v>
      </c>
      <c r="GT37" s="489">
        <v>24585</v>
      </c>
      <c r="GU37" s="488">
        <v>80</v>
      </c>
      <c r="GV37" s="490">
        <v>5</v>
      </c>
      <c r="GW37" s="490">
        <v>60</v>
      </c>
      <c r="GX37" s="490">
        <v>145</v>
      </c>
      <c r="GY37" s="491">
        <v>62</v>
      </c>
      <c r="GZ37" s="491">
        <v>74</v>
      </c>
      <c r="HA37" s="491">
        <v>136</v>
      </c>
      <c r="HB37" s="475">
        <v>1</v>
      </c>
      <c r="HC37" s="475">
        <v>14</v>
      </c>
      <c r="HD37" s="475">
        <v>0</v>
      </c>
      <c r="HE37" s="475">
        <v>1</v>
      </c>
      <c r="HF37" s="475">
        <v>5</v>
      </c>
      <c r="HG37" s="475">
        <v>6</v>
      </c>
      <c r="HH37" s="475">
        <v>12</v>
      </c>
      <c r="HI37" s="475">
        <v>0</v>
      </c>
      <c r="HJ37" s="475">
        <v>0</v>
      </c>
      <c r="HK37" s="475">
        <v>0</v>
      </c>
      <c r="HL37" s="475">
        <v>7</v>
      </c>
      <c r="HM37" s="475">
        <v>1</v>
      </c>
      <c r="HN37" s="475">
        <v>1</v>
      </c>
      <c r="HO37" s="475">
        <v>4</v>
      </c>
      <c r="HP37" s="475">
        <v>1</v>
      </c>
      <c r="HQ37" s="475">
        <v>9</v>
      </c>
      <c r="HR37" s="475">
        <v>164</v>
      </c>
      <c r="HS37" s="475">
        <v>0</v>
      </c>
      <c r="HT37" s="475">
        <v>0</v>
      </c>
      <c r="HU37" s="475">
        <v>0</v>
      </c>
      <c r="HV37" s="475">
        <v>0</v>
      </c>
      <c r="HW37" s="475">
        <v>0</v>
      </c>
      <c r="HX37" s="475">
        <v>0</v>
      </c>
      <c r="HY37" s="475">
        <v>0</v>
      </c>
      <c r="HZ37" s="475">
        <v>291</v>
      </c>
      <c r="IA37" s="475">
        <v>151</v>
      </c>
      <c r="IB37" s="475">
        <v>245</v>
      </c>
      <c r="IC37" s="475">
        <v>62</v>
      </c>
      <c r="ID37" s="475" t="s">
        <v>721</v>
      </c>
      <c r="IE37" s="475">
        <v>19</v>
      </c>
      <c r="IF37" s="475">
        <v>28</v>
      </c>
      <c r="IG37" s="475" t="s">
        <v>721</v>
      </c>
      <c r="IH37" s="475">
        <v>19</v>
      </c>
      <c r="II37" s="475" t="s">
        <v>721</v>
      </c>
      <c r="IJ37" s="475" t="s">
        <v>721</v>
      </c>
      <c r="IK37" s="475" t="s">
        <v>721</v>
      </c>
      <c r="IL37" s="475" t="s">
        <v>721</v>
      </c>
      <c r="IM37" s="475">
        <v>50</v>
      </c>
      <c r="IN37" s="475" t="s">
        <v>721</v>
      </c>
      <c r="IO37" s="475" t="s">
        <v>721</v>
      </c>
      <c r="IP37" s="475" t="s">
        <v>721</v>
      </c>
      <c r="IQ37" s="475">
        <v>37</v>
      </c>
      <c r="IR37" s="475">
        <v>72</v>
      </c>
      <c r="IS37" s="475">
        <v>153</v>
      </c>
      <c r="IT37" s="475">
        <v>62</v>
      </c>
      <c r="IU37" s="475">
        <v>103</v>
      </c>
      <c r="IV37" s="475">
        <v>22</v>
      </c>
      <c r="IW37" s="475" t="s">
        <v>721</v>
      </c>
      <c r="IX37" s="475">
        <v>11</v>
      </c>
      <c r="IY37" s="475">
        <v>16</v>
      </c>
      <c r="IZ37" s="475" t="s">
        <v>721</v>
      </c>
      <c r="JA37" s="475" t="s">
        <v>721</v>
      </c>
      <c r="JB37" s="475" t="s">
        <v>721</v>
      </c>
      <c r="JC37" s="475" t="s">
        <v>721</v>
      </c>
      <c r="JD37" s="475" t="s">
        <v>721</v>
      </c>
      <c r="JE37" s="475" t="s">
        <v>721</v>
      </c>
      <c r="JF37" s="475" t="s">
        <v>721</v>
      </c>
      <c r="JG37" s="475" t="s">
        <v>721</v>
      </c>
      <c r="JH37" s="475" t="s">
        <v>721</v>
      </c>
      <c r="JI37" s="475" t="s">
        <v>721</v>
      </c>
      <c r="JJ37" s="475" t="s">
        <v>721</v>
      </c>
      <c r="JK37" s="475">
        <v>18</v>
      </c>
      <c r="JL37" s="755">
        <v>1571877.7</v>
      </c>
      <c r="JM37" s="755">
        <v>573466.30000000005</v>
      </c>
      <c r="JN37" s="755">
        <v>937917.1</v>
      </c>
      <c r="JO37" s="755">
        <v>256560.3</v>
      </c>
      <c r="JP37" s="755">
        <v>30809.9</v>
      </c>
      <c r="JQ37" s="755">
        <v>114747.8</v>
      </c>
      <c r="JR37" s="755">
        <v>33729.800000000003</v>
      </c>
      <c r="JS37" s="755">
        <v>2918.2</v>
      </c>
      <c r="JT37" s="755">
        <v>178999.6</v>
      </c>
      <c r="JU37" s="755">
        <v>13176.4</v>
      </c>
      <c r="JV37" s="755">
        <v>4105</v>
      </c>
      <c r="JW37" s="755">
        <v>21239.7</v>
      </c>
      <c r="JX37" s="755">
        <v>6976.9</v>
      </c>
      <c r="JY37" s="755">
        <v>190182.7</v>
      </c>
      <c r="JZ37" s="755">
        <v>2074.3000000000002</v>
      </c>
      <c r="KA37" s="755">
        <v>1356.6</v>
      </c>
      <c r="KB37" s="755">
        <v>111227.9</v>
      </c>
      <c r="KC37" s="755">
        <v>162131.6</v>
      </c>
      <c r="KD37" s="755">
        <v>223106</v>
      </c>
      <c r="KE37" s="475">
        <v>1763</v>
      </c>
      <c r="KF37" s="475">
        <v>697</v>
      </c>
      <c r="KG37" s="475">
        <v>796</v>
      </c>
      <c r="KH37" s="475">
        <v>261</v>
      </c>
      <c r="KI37" s="475">
        <v>30</v>
      </c>
      <c r="KJ37" s="475">
        <v>155</v>
      </c>
      <c r="KK37" s="475">
        <v>43</v>
      </c>
      <c r="KL37" s="475" t="s">
        <v>721</v>
      </c>
      <c r="KM37" s="475">
        <v>96</v>
      </c>
      <c r="KN37" s="475" t="s">
        <v>721</v>
      </c>
      <c r="KO37" s="475" t="s">
        <v>721</v>
      </c>
      <c r="KP37" s="475">
        <v>21</v>
      </c>
      <c r="KQ37" s="475" t="s">
        <v>721</v>
      </c>
      <c r="KR37" s="475">
        <v>141</v>
      </c>
      <c r="KS37" s="475" t="s">
        <v>721</v>
      </c>
      <c r="KT37" s="475" t="s">
        <v>721</v>
      </c>
      <c r="KU37" s="475">
        <v>95</v>
      </c>
      <c r="KV37" s="475">
        <v>112</v>
      </c>
      <c r="KW37" s="475">
        <v>326</v>
      </c>
      <c r="KX37" s="475">
        <v>1445</v>
      </c>
      <c r="KY37" s="475">
        <v>738</v>
      </c>
      <c r="KZ37" s="475">
        <v>756</v>
      </c>
      <c r="LA37" s="475">
        <v>345</v>
      </c>
      <c r="LB37" s="475">
        <v>30</v>
      </c>
      <c r="LC37" s="475">
        <v>121</v>
      </c>
      <c r="LD37" s="475">
        <v>37</v>
      </c>
      <c r="LE37" s="475" t="s">
        <v>721</v>
      </c>
      <c r="LF37" s="475">
        <v>174</v>
      </c>
      <c r="LG37" s="475">
        <v>19</v>
      </c>
      <c r="LH37" s="475" t="s">
        <v>721</v>
      </c>
      <c r="LI37" s="475">
        <v>24</v>
      </c>
      <c r="LJ37" s="475" t="s">
        <v>721</v>
      </c>
      <c r="LK37" s="475">
        <v>296</v>
      </c>
      <c r="LL37" s="475" t="s">
        <v>721</v>
      </c>
      <c r="LM37" s="475" t="s">
        <v>721</v>
      </c>
      <c r="LN37" s="475">
        <v>144</v>
      </c>
      <c r="LO37" s="475">
        <v>185</v>
      </c>
      <c r="LP37" s="475">
        <v>236</v>
      </c>
      <c r="LQ37" s="475">
        <v>7508</v>
      </c>
      <c r="LR37" s="475">
        <v>2770</v>
      </c>
      <c r="LS37" s="475">
        <v>5204</v>
      </c>
      <c r="LT37" s="475">
        <v>1309</v>
      </c>
      <c r="LU37" s="475">
        <v>173</v>
      </c>
      <c r="LV37" s="475">
        <v>552</v>
      </c>
      <c r="LW37" s="475">
        <v>186</v>
      </c>
      <c r="LX37" s="475">
        <v>11</v>
      </c>
      <c r="LY37" s="475">
        <v>1104</v>
      </c>
      <c r="LZ37" s="475">
        <v>62</v>
      </c>
      <c r="MA37" s="475">
        <v>19</v>
      </c>
      <c r="MB37" s="475">
        <v>94</v>
      </c>
      <c r="MC37" s="475">
        <v>28</v>
      </c>
      <c r="MD37" s="475">
        <v>882</v>
      </c>
      <c r="ME37" s="475" t="s">
        <v>721</v>
      </c>
      <c r="MF37" s="475" t="s">
        <v>721</v>
      </c>
      <c r="MG37" s="475">
        <v>480</v>
      </c>
      <c r="MH37" s="475">
        <v>759</v>
      </c>
      <c r="MI37" s="475">
        <v>1369</v>
      </c>
      <c r="MJ37" s="475">
        <v>4634</v>
      </c>
      <c r="MK37" s="475">
        <v>1671</v>
      </c>
      <c r="ML37" s="475">
        <v>2626</v>
      </c>
      <c r="MM37" s="475">
        <v>847</v>
      </c>
      <c r="MN37" s="475">
        <v>85</v>
      </c>
      <c r="MO37" s="475">
        <v>333</v>
      </c>
      <c r="MP37" s="475">
        <v>89</v>
      </c>
      <c r="MQ37" s="475">
        <v>11</v>
      </c>
      <c r="MR37" s="475">
        <v>566</v>
      </c>
      <c r="MS37" s="475">
        <v>47</v>
      </c>
      <c r="MT37" s="475">
        <v>14</v>
      </c>
      <c r="MU37" s="475">
        <v>74</v>
      </c>
      <c r="MV37" s="475">
        <v>27</v>
      </c>
      <c r="MW37" s="475">
        <v>744</v>
      </c>
      <c r="MX37" s="475" t="s">
        <v>721</v>
      </c>
      <c r="MY37" s="475" t="s">
        <v>721</v>
      </c>
      <c r="MZ37" s="475">
        <v>384</v>
      </c>
      <c r="NA37" s="475">
        <v>613</v>
      </c>
      <c r="NB37" s="475">
        <v>554</v>
      </c>
      <c r="NC37" s="476">
        <v>0.57599999999999996</v>
      </c>
      <c r="ND37" s="476">
        <v>0.42399999999999999</v>
      </c>
      <c r="NE37" s="476">
        <v>0.33900000000000002</v>
      </c>
      <c r="NF37" s="476">
        <v>0.124</v>
      </c>
      <c r="NG37" s="476">
        <v>0.219</v>
      </c>
      <c r="NH37" s="476">
        <v>0.06</v>
      </c>
      <c r="NI37" s="476">
        <v>7.0000000000000001E-3</v>
      </c>
      <c r="NJ37" s="476">
        <v>2.5000000000000001E-2</v>
      </c>
      <c r="NK37" s="476">
        <v>8.0000000000000002E-3</v>
      </c>
      <c r="NL37" s="476">
        <v>1E-3</v>
      </c>
      <c r="NM37" s="476">
        <v>4.7E-2</v>
      </c>
      <c r="NN37" s="476">
        <v>3.0000000000000001E-3</v>
      </c>
      <c r="NO37" s="476">
        <v>1E-3</v>
      </c>
      <c r="NP37" s="476">
        <v>5.0000000000000001E-3</v>
      </c>
      <c r="NQ37" s="476">
        <v>2E-3</v>
      </c>
      <c r="NR37" s="476">
        <v>4.4999999999999998E-2</v>
      </c>
      <c r="NS37" s="476">
        <v>0</v>
      </c>
      <c r="NT37" s="476" t="s">
        <v>721</v>
      </c>
      <c r="NU37" s="476">
        <v>2.4E-2</v>
      </c>
      <c r="NV37" s="476">
        <v>3.7999999999999999E-2</v>
      </c>
      <c r="NW37" s="476">
        <v>5.3999999999999999E-2</v>
      </c>
      <c r="NX37" s="476">
        <v>2E-3</v>
      </c>
      <c r="NY37" s="476">
        <v>5.0999999999999997E-2</v>
      </c>
      <c r="NZ37" s="476">
        <v>3.6999999999999998E-2</v>
      </c>
      <c r="OA37" s="476" t="s">
        <v>721</v>
      </c>
      <c r="OB37" s="476">
        <v>4.0000000000000001E-3</v>
      </c>
      <c r="OC37" s="476">
        <v>8.0000000000000002E-3</v>
      </c>
      <c r="OD37" s="476">
        <v>0.04</v>
      </c>
      <c r="OE37" s="476">
        <v>0.623</v>
      </c>
      <c r="OF37" s="476" t="s">
        <v>721</v>
      </c>
      <c r="OG37" s="476">
        <v>0</v>
      </c>
      <c r="OH37" s="476">
        <v>8.0000000000000002E-3</v>
      </c>
      <c r="OI37" s="476">
        <v>1E-3</v>
      </c>
      <c r="OJ37" s="476">
        <v>2E-3</v>
      </c>
      <c r="OK37" s="476">
        <v>1.2E-2</v>
      </c>
      <c r="OL37" s="476">
        <v>1E-3</v>
      </c>
      <c r="OM37" s="476">
        <v>8.9999999999999993E-3</v>
      </c>
      <c r="ON37" s="476">
        <v>2.5000000000000001E-2</v>
      </c>
      <c r="OO37" s="476">
        <v>8.0000000000000002E-3</v>
      </c>
      <c r="OP37" s="476" t="s">
        <v>721</v>
      </c>
      <c r="OQ37" s="476" t="s">
        <v>721</v>
      </c>
      <c r="OR37" s="476" t="s">
        <v>721</v>
      </c>
      <c r="OS37" s="476" t="s">
        <v>721</v>
      </c>
      <c r="OT37" s="476">
        <v>8.5999999999999993E-2</v>
      </c>
      <c r="OU37" s="476" t="s">
        <v>721</v>
      </c>
      <c r="OV37" s="476" t="s">
        <v>721</v>
      </c>
      <c r="OW37" s="476">
        <v>1.4E-2</v>
      </c>
      <c r="OX37" s="476">
        <v>0</v>
      </c>
      <c r="OY37" s="476">
        <v>0</v>
      </c>
      <c r="OZ37" s="476">
        <v>1.2999999999999999E-2</v>
      </c>
      <c r="PA37" s="476">
        <v>3.5999999999999997E-2</v>
      </c>
      <c r="PB37" s="476">
        <v>4.0000000000000001E-3</v>
      </c>
      <c r="PC37" s="476">
        <v>0.01</v>
      </c>
      <c r="PD37" s="476">
        <v>2E-3</v>
      </c>
      <c r="PE37" s="476">
        <v>1E-3</v>
      </c>
      <c r="PF37" s="476">
        <v>1.7999999999999999E-2</v>
      </c>
      <c r="PG37" s="476">
        <v>8.0000000000000002E-3</v>
      </c>
      <c r="PH37" s="476" t="s">
        <v>721</v>
      </c>
      <c r="PI37" s="476">
        <v>1E-3</v>
      </c>
      <c r="PJ37" s="476">
        <v>3.0000000000000001E-3</v>
      </c>
      <c r="PK37" s="476">
        <v>1.7000000000000001E-2</v>
      </c>
      <c r="PL37" s="476">
        <v>0.66200000000000003</v>
      </c>
      <c r="PM37" s="476">
        <v>0.22600000000000001</v>
      </c>
      <c r="PN37" s="476">
        <v>0</v>
      </c>
      <c r="PO37" s="476">
        <v>2E-3</v>
      </c>
      <c r="PP37" s="476">
        <v>5.0000000000000001E-3</v>
      </c>
      <c r="PQ37" s="476">
        <v>0</v>
      </c>
      <c r="PR37" s="476">
        <v>2E-3</v>
      </c>
      <c r="PS37" s="476" t="s">
        <v>721</v>
      </c>
      <c r="PT37" s="476">
        <v>1E-3</v>
      </c>
      <c r="PU37" s="476">
        <v>6.0000000000000001E-3</v>
      </c>
      <c r="PV37" s="476">
        <v>1E-3</v>
      </c>
      <c r="PW37" s="476" t="s">
        <v>721</v>
      </c>
      <c r="PX37" s="476" t="s">
        <v>721</v>
      </c>
      <c r="PY37" s="476" t="s">
        <v>721</v>
      </c>
      <c r="PZ37" s="476" t="s">
        <v>721</v>
      </c>
      <c r="QA37" s="476">
        <v>2.7E-2</v>
      </c>
      <c r="QB37" s="476" t="s">
        <v>721</v>
      </c>
      <c r="QC37" s="476" t="s">
        <v>721</v>
      </c>
      <c r="QD37" s="476">
        <v>2E-3</v>
      </c>
      <c r="QE37" s="476" t="s">
        <v>721</v>
      </c>
      <c r="QF37" s="476">
        <v>0</v>
      </c>
      <c r="QG37" s="476">
        <v>5.0000000000000001E-3</v>
      </c>
      <c r="QH37" s="476">
        <v>1.2E-2</v>
      </c>
      <c r="QI37" s="476" t="s">
        <v>721</v>
      </c>
      <c r="QJ37" s="476" t="s">
        <v>721</v>
      </c>
      <c r="QK37" s="476" t="s">
        <v>721</v>
      </c>
      <c r="QL37" s="476">
        <v>0.29199999999999998</v>
      </c>
      <c r="QM37" s="476">
        <v>0.152</v>
      </c>
      <c r="QN37" s="476">
        <v>0.246</v>
      </c>
      <c r="QO37" s="476">
        <v>6.2E-2</v>
      </c>
      <c r="QP37" s="476" t="s">
        <v>721</v>
      </c>
      <c r="QQ37" s="476">
        <v>1.9E-2</v>
      </c>
      <c r="QR37" s="476">
        <v>2.8000000000000001E-2</v>
      </c>
      <c r="QS37" s="476" t="s">
        <v>721</v>
      </c>
      <c r="QT37" s="476">
        <v>1.9E-2</v>
      </c>
      <c r="QU37" s="476" t="s">
        <v>721</v>
      </c>
      <c r="QV37" s="476" t="s">
        <v>721</v>
      </c>
      <c r="QW37" s="476" t="s">
        <v>721</v>
      </c>
      <c r="QX37" s="476" t="s">
        <v>721</v>
      </c>
      <c r="QY37" s="476">
        <v>0.05</v>
      </c>
      <c r="QZ37" s="476" t="s">
        <v>721</v>
      </c>
      <c r="RA37" s="476" t="s">
        <v>721</v>
      </c>
      <c r="RB37" s="476" t="s">
        <v>721</v>
      </c>
      <c r="RC37" s="476">
        <v>3.6999999999999998E-2</v>
      </c>
      <c r="RD37" s="476">
        <v>7.1999999999999995E-2</v>
      </c>
      <c r="RE37" s="476">
        <v>0.36299999999999999</v>
      </c>
      <c r="RF37" s="476">
        <v>0.14699999999999999</v>
      </c>
      <c r="RG37" s="476">
        <v>0.24399999999999999</v>
      </c>
      <c r="RH37" s="476">
        <v>5.1999999999999998E-2</v>
      </c>
      <c r="RI37" s="476" t="s">
        <v>721</v>
      </c>
      <c r="RJ37" s="476">
        <v>2.5999999999999999E-2</v>
      </c>
      <c r="RK37" s="476">
        <v>3.7999999999999999E-2</v>
      </c>
      <c r="RL37" s="476" t="s">
        <v>721</v>
      </c>
      <c r="RM37" s="476" t="s">
        <v>721</v>
      </c>
      <c r="RN37" s="476" t="s">
        <v>721</v>
      </c>
      <c r="RO37" s="476" t="s">
        <v>721</v>
      </c>
      <c r="RP37" s="476" t="s">
        <v>721</v>
      </c>
      <c r="RQ37" s="476" t="s">
        <v>721</v>
      </c>
      <c r="RR37" s="476" t="s">
        <v>721</v>
      </c>
      <c r="RS37" s="476" t="s">
        <v>721</v>
      </c>
      <c r="RT37" s="476" t="s">
        <v>721</v>
      </c>
      <c r="RU37" s="476" t="s">
        <v>721</v>
      </c>
      <c r="RV37" s="476" t="s">
        <v>721</v>
      </c>
      <c r="RW37" s="476">
        <v>4.2999999999999997E-2</v>
      </c>
      <c r="RX37" s="476">
        <v>0.35399999999999998</v>
      </c>
      <c r="RY37" s="476">
        <v>0.129</v>
      </c>
      <c r="RZ37" s="476">
        <v>0.21099999999999999</v>
      </c>
      <c r="SA37" s="476">
        <v>5.8000000000000003E-2</v>
      </c>
      <c r="SB37" s="476">
        <v>7.0000000000000001E-3</v>
      </c>
      <c r="SC37" s="476">
        <v>2.5999999999999999E-2</v>
      </c>
      <c r="SD37" s="476">
        <v>8.0000000000000002E-3</v>
      </c>
      <c r="SE37" s="476">
        <v>1E-3</v>
      </c>
      <c r="SF37" s="476">
        <v>0.04</v>
      </c>
      <c r="SG37" s="476">
        <v>3.0000000000000001E-3</v>
      </c>
      <c r="SH37" s="476">
        <v>1E-3</v>
      </c>
      <c r="SI37" s="476">
        <v>5.0000000000000001E-3</v>
      </c>
      <c r="SJ37" s="476">
        <v>2E-3</v>
      </c>
      <c r="SK37" s="476">
        <v>4.2999999999999997E-2</v>
      </c>
      <c r="SL37" s="476">
        <v>0</v>
      </c>
      <c r="SM37" s="476">
        <v>0</v>
      </c>
      <c r="SN37" s="476">
        <v>2.5000000000000001E-2</v>
      </c>
      <c r="SO37" s="476">
        <v>3.6999999999999998E-2</v>
      </c>
      <c r="SP37" s="476">
        <v>0.05</v>
      </c>
      <c r="SQ37" s="476">
        <v>0.38600000000000001</v>
      </c>
      <c r="SR37" s="476">
        <v>0.153</v>
      </c>
      <c r="SS37" s="476">
        <v>0.17399999999999999</v>
      </c>
      <c r="ST37" s="476">
        <v>5.7000000000000002E-2</v>
      </c>
      <c r="SU37" s="476">
        <v>7.0000000000000001E-3</v>
      </c>
      <c r="SV37" s="476">
        <v>3.4000000000000002E-2</v>
      </c>
      <c r="SW37" s="476">
        <v>8.9999999999999993E-3</v>
      </c>
      <c r="SX37" s="476" t="s">
        <v>721</v>
      </c>
      <c r="SY37" s="476">
        <v>2.1000000000000001E-2</v>
      </c>
      <c r="SZ37" s="476" t="s">
        <v>721</v>
      </c>
      <c r="TA37" s="476" t="s">
        <v>721</v>
      </c>
      <c r="TB37" s="476">
        <v>5.0000000000000001E-3</v>
      </c>
      <c r="TC37" s="476" t="s">
        <v>721</v>
      </c>
      <c r="TD37" s="476">
        <v>3.1E-2</v>
      </c>
      <c r="TE37" s="476" t="s">
        <v>721</v>
      </c>
      <c r="TF37" s="476" t="s">
        <v>721</v>
      </c>
      <c r="TG37" s="476">
        <v>2.1000000000000001E-2</v>
      </c>
      <c r="TH37" s="476">
        <v>2.5000000000000001E-2</v>
      </c>
      <c r="TI37" s="476">
        <v>7.0999999999999994E-2</v>
      </c>
      <c r="TJ37" s="476">
        <v>0.316</v>
      </c>
      <c r="TK37" s="476">
        <v>0.161</v>
      </c>
      <c r="TL37" s="476">
        <v>0.16500000000000001</v>
      </c>
      <c r="TM37" s="476">
        <v>7.4999999999999997E-2</v>
      </c>
      <c r="TN37" s="476">
        <v>7.0000000000000001E-3</v>
      </c>
      <c r="TO37" s="476">
        <v>2.5999999999999999E-2</v>
      </c>
      <c r="TP37" s="476">
        <v>8.0000000000000002E-3</v>
      </c>
      <c r="TQ37" s="476" t="s">
        <v>721</v>
      </c>
      <c r="TR37" s="476">
        <v>3.7999999999999999E-2</v>
      </c>
      <c r="TS37" s="476">
        <v>4.0000000000000001E-3</v>
      </c>
      <c r="TT37" s="476" t="s">
        <v>721</v>
      </c>
      <c r="TU37" s="476">
        <v>5.0000000000000001E-3</v>
      </c>
      <c r="TV37" s="476" t="s">
        <v>721</v>
      </c>
      <c r="TW37" s="476">
        <v>6.5000000000000002E-2</v>
      </c>
      <c r="TX37" s="476" t="s">
        <v>721</v>
      </c>
      <c r="TY37" s="476" t="s">
        <v>721</v>
      </c>
      <c r="TZ37" s="476">
        <v>3.2000000000000001E-2</v>
      </c>
      <c r="UA37" s="476">
        <v>0.04</v>
      </c>
      <c r="UB37" s="476">
        <v>5.1999999999999998E-2</v>
      </c>
      <c r="UC37" s="476">
        <v>0.33300000000000002</v>
      </c>
      <c r="UD37" s="476">
        <v>0.123</v>
      </c>
      <c r="UE37" s="476">
        <v>0.23100000000000001</v>
      </c>
      <c r="UF37" s="476">
        <v>5.8000000000000003E-2</v>
      </c>
      <c r="UG37" s="476">
        <v>8.0000000000000002E-3</v>
      </c>
      <c r="UH37" s="476">
        <v>2.5000000000000001E-2</v>
      </c>
      <c r="UI37" s="476">
        <v>8.0000000000000002E-3</v>
      </c>
      <c r="UJ37" s="476">
        <v>0</v>
      </c>
      <c r="UK37" s="476">
        <v>4.9000000000000002E-2</v>
      </c>
      <c r="UL37" s="476">
        <v>3.0000000000000001E-3</v>
      </c>
      <c r="UM37" s="476">
        <v>1E-3</v>
      </c>
      <c r="UN37" s="476">
        <v>4.0000000000000001E-3</v>
      </c>
      <c r="UO37" s="476">
        <v>1E-3</v>
      </c>
      <c r="UP37" s="476">
        <v>3.9E-2</v>
      </c>
      <c r="UQ37" s="476" t="s">
        <v>721</v>
      </c>
      <c r="UR37" s="476" t="s">
        <v>721</v>
      </c>
      <c r="US37" s="476">
        <v>2.1000000000000001E-2</v>
      </c>
      <c r="UT37" s="476">
        <v>3.4000000000000002E-2</v>
      </c>
      <c r="UU37" s="476">
        <v>6.0999999999999999E-2</v>
      </c>
      <c r="UV37" s="476">
        <v>0.34799999999999998</v>
      </c>
      <c r="UW37" s="476">
        <v>0.125</v>
      </c>
      <c r="UX37" s="476">
        <v>0.19700000000000001</v>
      </c>
      <c r="UY37" s="476">
        <v>6.4000000000000001E-2</v>
      </c>
      <c r="UZ37" s="476">
        <v>6.0000000000000001E-3</v>
      </c>
      <c r="VA37" s="476">
        <v>2.5000000000000001E-2</v>
      </c>
      <c r="VB37" s="476">
        <v>7.0000000000000001E-3</v>
      </c>
      <c r="VC37" s="476">
        <v>1E-3</v>
      </c>
      <c r="VD37" s="476">
        <v>4.2000000000000003E-2</v>
      </c>
      <c r="VE37" s="476">
        <v>4.0000000000000001E-3</v>
      </c>
      <c r="VF37" s="476">
        <v>1E-3</v>
      </c>
      <c r="VG37" s="476">
        <v>6.0000000000000001E-3</v>
      </c>
      <c r="VH37" s="476">
        <v>2E-3</v>
      </c>
      <c r="VI37" s="476">
        <v>5.6000000000000001E-2</v>
      </c>
      <c r="VJ37" s="476" t="s">
        <v>721</v>
      </c>
      <c r="VK37" s="476" t="s">
        <v>721</v>
      </c>
      <c r="VL37" s="476">
        <v>2.9000000000000001E-2</v>
      </c>
      <c r="VM37" s="476">
        <v>4.5999999999999999E-2</v>
      </c>
      <c r="VN37" s="476">
        <v>4.2000000000000003E-2</v>
      </c>
      <c r="VO37" s="28"/>
      <c r="VP37" s="28"/>
      <c r="VQ37" s="28"/>
      <c r="VR37" s="28"/>
      <c r="VS37" s="28"/>
      <c r="VT37" s="28"/>
      <c r="VU37" s="28"/>
      <c r="VV37" s="28"/>
      <c r="VW37" s="28"/>
      <c r="VX37" s="28"/>
      <c r="VY37" s="28"/>
      <c r="VZ37" s="28"/>
      <c r="WA37" s="28"/>
      <c r="WB37" s="28"/>
      <c r="WC37" s="28"/>
      <c r="WD37" s="28"/>
      <c r="WE37" s="28"/>
      <c r="WF37" s="28"/>
      <c r="WG37" s="28"/>
      <c r="WH37" s="28"/>
      <c r="WI37" s="28"/>
      <c r="WJ37" s="28"/>
      <c r="WK37" s="28"/>
      <c r="WL37" s="28"/>
      <c r="WM37" s="28"/>
      <c r="WN37" s="28"/>
      <c r="WO37" s="28"/>
      <c r="WP37" s="28"/>
      <c r="WQ37" s="28"/>
      <c r="WR37" s="28"/>
      <c r="WS37" s="28"/>
      <c r="WT37" s="28"/>
      <c r="WU37" s="28"/>
      <c r="WV37" s="28"/>
      <c r="WW37" s="28"/>
    </row>
    <row r="38" spans="1:621" s="151" customFormat="1" ht="15.75" customHeight="1" x14ac:dyDescent="0.35">
      <c r="A38" s="477" t="s">
        <v>46</v>
      </c>
      <c r="B38" s="492" t="s">
        <v>15</v>
      </c>
      <c r="C38" s="493">
        <v>16.3</v>
      </c>
      <c r="D38" s="494">
        <v>759</v>
      </c>
      <c r="E38" s="473">
        <v>88942.1</v>
      </c>
      <c r="F38" s="473">
        <v>117.2</v>
      </c>
      <c r="G38" s="474">
        <v>756</v>
      </c>
      <c r="H38" s="474">
        <v>759</v>
      </c>
      <c r="I38" s="474">
        <v>503</v>
      </c>
      <c r="J38" s="474">
        <v>440</v>
      </c>
      <c r="K38" s="474">
        <v>277</v>
      </c>
      <c r="L38" s="473">
        <v>46833.2</v>
      </c>
      <c r="M38" s="474">
        <v>466</v>
      </c>
      <c r="N38" s="473">
        <v>42108.9</v>
      </c>
      <c r="O38" s="494">
        <v>79</v>
      </c>
      <c r="P38" s="495">
        <v>14284.8</v>
      </c>
      <c r="Q38" s="494">
        <v>235</v>
      </c>
      <c r="R38" s="495">
        <v>5054.2</v>
      </c>
      <c r="S38" s="494">
        <v>241</v>
      </c>
      <c r="T38" s="495">
        <v>25672.1</v>
      </c>
      <c r="U38" s="494">
        <v>17</v>
      </c>
      <c r="V38" s="495">
        <v>2274.5</v>
      </c>
      <c r="W38" s="494">
        <v>501</v>
      </c>
      <c r="X38" s="495">
        <v>60995.5</v>
      </c>
      <c r="Y38" s="494">
        <v>760</v>
      </c>
      <c r="Z38" s="494">
        <v>485</v>
      </c>
      <c r="AA38" s="494">
        <v>558</v>
      </c>
      <c r="AB38" s="494">
        <v>416</v>
      </c>
      <c r="AC38" s="494">
        <v>50</v>
      </c>
      <c r="AD38" s="494">
        <v>176</v>
      </c>
      <c r="AE38" s="494">
        <v>337</v>
      </c>
      <c r="AF38" s="495">
        <v>23958</v>
      </c>
      <c r="AG38" s="494">
        <v>359</v>
      </c>
      <c r="AH38" s="495">
        <v>61552.1</v>
      </c>
      <c r="AI38" s="494">
        <v>34</v>
      </c>
      <c r="AJ38" s="495">
        <v>1506.3</v>
      </c>
      <c r="AK38" s="494">
        <v>13</v>
      </c>
      <c r="AL38" s="495">
        <v>1925.7</v>
      </c>
      <c r="AM38" s="496">
        <v>401</v>
      </c>
      <c r="AN38" s="496">
        <v>358</v>
      </c>
      <c r="AO38" s="496">
        <v>183</v>
      </c>
      <c r="AP38" s="496">
        <v>506</v>
      </c>
      <c r="AQ38" s="496" t="s">
        <v>721</v>
      </c>
      <c r="AR38" s="496" t="s">
        <v>721</v>
      </c>
      <c r="AS38" s="496" t="s">
        <v>721</v>
      </c>
      <c r="AT38" s="496">
        <v>24</v>
      </c>
      <c r="AU38" s="496" t="s">
        <v>721</v>
      </c>
      <c r="AV38" s="496" t="s">
        <v>721</v>
      </c>
      <c r="AW38" s="496" t="s">
        <v>721</v>
      </c>
      <c r="AX38" s="496" t="s">
        <v>721</v>
      </c>
      <c r="AY38" s="496" t="s">
        <v>721</v>
      </c>
      <c r="AZ38" s="496" t="s">
        <v>721</v>
      </c>
      <c r="BA38" s="496" t="s">
        <v>721</v>
      </c>
      <c r="BB38" s="496" t="s">
        <v>721</v>
      </c>
      <c r="BC38" s="496" t="s">
        <v>721</v>
      </c>
      <c r="BD38" s="496" t="s">
        <v>721</v>
      </c>
      <c r="BE38" s="496" t="s">
        <v>721</v>
      </c>
      <c r="BF38" s="496" t="s">
        <v>721</v>
      </c>
      <c r="BG38" s="496">
        <v>16</v>
      </c>
      <c r="BH38" s="496" t="s">
        <v>721</v>
      </c>
      <c r="BI38" s="496">
        <v>266</v>
      </c>
      <c r="BJ38" s="496" t="s">
        <v>721</v>
      </c>
      <c r="BK38" s="496" t="s">
        <v>721</v>
      </c>
      <c r="BL38" s="496" t="s">
        <v>721</v>
      </c>
      <c r="BM38" s="496" t="s">
        <v>721</v>
      </c>
      <c r="BN38" s="496" t="s">
        <v>721</v>
      </c>
      <c r="BO38" s="496">
        <v>463</v>
      </c>
      <c r="BP38" s="496" t="s">
        <v>721</v>
      </c>
      <c r="BQ38" s="496" t="s">
        <v>721</v>
      </c>
      <c r="BR38" s="496" t="s">
        <v>721</v>
      </c>
      <c r="BS38" s="496" t="s">
        <v>721</v>
      </c>
      <c r="BT38" s="496" t="s">
        <v>721</v>
      </c>
      <c r="BU38" s="496" t="s">
        <v>721</v>
      </c>
      <c r="BV38" s="496" t="s">
        <v>721</v>
      </c>
      <c r="BW38" s="496" t="s">
        <v>721</v>
      </c>
      <c r="BX38" s="496" t="s">
        <v>721</v>
      </c>
      <c r="BY38" s="496" t="s">
        <v>721</v>
      </c>
      <c r="BZ38" s="496" t="s">
        <v>721</v>
      </c>
      <c r="CA38" s="496" t="s">
        <v>721</v>
      </c>
      <c r="CB38" s="496" t="s">
        <v>721</v>
      </c>
      <c r="CC38" s="496" t="s">
        <v>721</v>
      </c>
      <c r="CD38" s="496" t="s">
        <v>721</v>
      </c>
      <c r="CE38" s="496" t="s">
        <v>721</v>
      </c>
      <c r="CF38" s="496" t="s">
        <v>721</v>
      </c>
      <c r="CG38" s="496" t="s">
        <v>721</v>
      </c>
      <c r="CH38" s="496" t="s">
        <v>721</v>
      </c>
      <c r="CI38" s="496" t="s">
        <v>721</v>
      </c>
      <c r="CJ38" s="496" t="s">
        <v>721</v>
      </c>
      <c r="CK38" s="496" t="s">
        <v>721</v>
      </c>
      <c r="CL38" s="496" t="s">
        <v>721</v>
      </c>
      <c r="CM38" s="496" t="s">
        <v>721</v>
      </c>
      <c r="CN38" s="496" t="s">
        <v>721</v>
      </c>
      <c r="CO38" s="496" t="s">
        <v>721</v>
      </c>
      <c r="CP38" s="496">
        <v>163</v>
      </c>
      <c r="CQ38" s="496" t="s">
        <v>721</v>
      </c>
      <c r="CR38" s="496" t="s">
        <v>721</v>
      </c>
      <c r="CS38" s="496" t="s">
        <v>721</v>
      </c>
      <c r="CT38" s="496" t="s">
        <v>721</v>
      </c>
      <c r="CU38" s="496" t="s">
        <v>721</v>
      </c>
      <c r="CV38" s="496">
        <v>583</v>
      </c>
      <c r="CW38" s="496">
        <v>11</v>
      </c>
      <c r="CX38" s="496" t="s">
        <v>721</v>
      </c>
      <c r="CY38" s="496" t="s">
        <v>721</v>
      </c>
      <c r="CZ38" s="496" t="s">
        <v>721</v>
      </c>
      <c r="DA38" s="496" t="s">
        <v>721</v>
      </c>
      <c r="DB38" s="496" t="s">
        <v>721</v>
      </c>
      <c r="DC38" s="496" t="s">
        <v>721</v>
      </c>
      <c r="DD38" s="496" t="s">
        <v>721</v>
      </c>
      <c r="DE38" s="496" t="s">
        <v>721</v>
      </c>
      <c r="DF38" s="496" t="s">
        <v>721</v>
      </c>
      <c r="DG38" s="496" t="s">
        <v>721</v>
      </c>
      <c r="DH38" s="496" t="s">
        <v>721</v>
      </c>
      <c r="DI38" s="496" t="s">
        <v>721</v>
      </c>
      <c r="DJ38" s="496" t="s">
        <v>721</v>
      </c>
      <c r="DK38" s="496" t="s">
        <v>721</v>
      </c>
      <c r="DL38" s="496" t="s">
        <v>721</v>
      </c>
      <c r="DM38" s="496" t="s">
        <v>721</v>
      </c>
      <c r="DN38" s="496" t="s">
        <v>721</v>
      </c>
      <c r="DO38" s="496" t="s">
        <v>721</v>
      </c>
      <c r="DP38" s="496" t="s">
        <v>721</v>
      </c>
      <c r="DQ38" s="496" t="s">
        <v>721</v>
      </c>
      <c r="DR38" s="496" t="s">
        <v>721</v>
      </c>
      <c r="DS38" s="483" t="s">
        <v>721</v>
      </c>
      <c r="DT38" s="483" t="s">
        <v>721</v>
      </c>
      <c r="DU38" s="483" t="s">
        <v>721</v>
      </c>
      <c r="DV38" s="496">
        <v>76</v>
      </c>
      <c r="DW38" s="497">
        <v>11553.1</v>
      </c>
      <c r="DX38" s="496">
        <v>153</v>
      </c>
      <c r="DY38" s="497">
        <v>20006.599999999999</v>
      </c>
      <c r="DZ38" s="496">
        <v>176</v>
      </c>
      <c r="EA38" s="497">
        <v>19510</v>
      </c>
      <c r="EB38" s="496">
        <v>118</v>
      </c>
      <c r="EC38" s="497">
        <v>11533.9</v>
      </c>
      <c r="ED38" s="496">
        <v>125</v>
      </c>
      <c r="EE38" s="497">
        <v>13377.3</v>
      </c>
      <c r="EF38" s="496">
        <v>111</v>
      </c>
      <c r="EG38" s="497">
        <v>12961.2</v>
      </c>
      <c r="EH38" s="485">
        <v>596</v>
      </c>
      <c r="EI38" s="486">
        <v>1905.4</v>
      </c>
      <c r="EJ38" s="485">
        <v>598</v>
      </c>
      <c r="EK38" s="486">
        <v>13326.1</v>
      </c>
      <c r="EL38" s="485">
        <v>591</v>
      </c>
      <c r="EM38" s="486">
        <v>6024</v>
      </c>
      <c r="EN38" s="485">
        <v>611</v>
      </c>
      <c r="EO38" s="486">
        <v>3136.9</v>
      </c>
      <c r="EP38" s="485">
        <v>592</v>
      </c>
      <c r="EQ38" s="486">
        <v>1700.8</v>
      </c>
      <c r="ER38" s="485">
        <v>594</v>
      </c>
      <c r="ES38" s="486">
        <v>1244.9000000000001</v>
      </c>
      <c r="ET38" s="485">
        <v>0</v>
      </c>
      <c r="EU38" s="485">
        <v>497</v>
      </c>
      <c r="EV38" s="486">
        <v>8086.9</v>
      </c>
      <c r="EW38" s="485">
        <v>96</v>
      </c>
      <c r="EX38" s="486">
        <v>362.3</v>
      </c>
      <c r="EY38" s="485">
        <v>275</v>
      </c>
      <c r="EZ38" s="486">
        <v>3464.8</v>
      </c>
      <c r="FA38" s="485">
        <v>105</v>
      </c>
      <c r="FB38" s="486">
        <v>1021.4</v>
      </c>
      <c r="FC38" s="485">
        <v>642</v>
      </c>
      <c r="FD38" s="486">
        <v>7767.7</v>
      </c>
      <c r="FE38" s="485">
        <v>640</v>
      </c>
      <c r="FF38" s="486">
        <v>5271.6</v>
      </c>
      <c r="FG38" s="485">
        <v>402</v>
      </c>
      <c r="FH38" s="486">
        <v>3238</v>
      </c>
      <c r="FI38" s="485">
        <v>478</v>
      </c>
      <c r="FJ38" s="486">
        <v>2989.2</v>
      </c>
      <c r="FK38" s="485">
        <v>571</v>
      </c>
      <c r="FL38" s="486">
        <v>2153.3000000000002</v>
      </c>
      <c r="FM38" s="485">
        <v>37</v>
      </c>
      <c r="FN38" s="486">
        <v>99.2</v>
      </c>
      <c r="FO38" s="485">
        <v>595</v>
      </c>
      <c r="FP38" s="486">
        <v>4220.8999999999996</v>
      </c>
      <c r="FQ38" s="485">
        <v>652</v>
      </c>
      <c r="FR38" s="486">
        <v>3460.8</v>
      </c>
      <c r="FS38" s="485">
        <v>14</v>
      </c>
      <c r="FT38" s="486">
        <v>128.80000000000001</v>
      </c>
      <c r="FU38" s="485">
        <v>0</v>
      </c>
      <c r="FV38" s="486">
        <v>0</v>
      </c>
      <c r="FW38" s="485">
        <v>0</v>
      </c>
      <c r="FX38" s="486">
        <v>0</v>
      </c>
      <c r="FY38" s="485">
        <v>0</v>
      </c>
      <c r="FZ38" s="486">
        <v>0</v>
      </c>
      <c r="GA38" s="485">
        <v>0</v>
      </c>
      <c r="GB38" s="485">
        <v>0</v>
      </c>
      <c r="GC38" s="487">
        <v>0</v>
      </c>
      <c r="GD38" s="488">
        <v>15</v>
      </c>
      <c r="GE38" s="488">
        <v>8</v>
      </c>
      <c r="GF38" s="488">
        <v>361</v>
      </c>
      <c r="GG38" s="488">
        <v>0</v>
      </c>
      <c r="GH38" s="488">
        <v>0</v>
      </c>
      <c r="GI38" s="488">
        <v>0</v>
      </c>
      <c r="GJ38" s="488">
        <v>0</v>
      </c>
      <c r="GK38" s="488">
        <v>162</v>
      </c>
      <c r="GL38" s="488">
        <v>222</v>
      </c>
      <c r="GM38" s="488">
        <v>384</v>
      </c>
      <c r="GN38" s="488">
        <v>95</v>
      </c>
      <c r="GO38" s="488">
        <v>29</v>
      </c>
      <c r="GP38" s="488">
        <v>0</v>
      </c>
      <c r="GQ38" s="488">
        <v>11</v>
      </c>
      <c r="GR38" s="488">
        <v>0</v>
      </c>
      <c r="GS38" s="488">
        <v>11</v>
      </c>
      <c r="GT38" s="489">
        <v>538</v>
      </c>
      <c r="GU38" s="488">
        <v>0</v>
      </c>
      <c r="GV38" s="490">
        <v>0</v>
      </c>
      <c r="GW38" s="490">
        <v>1</v>
      </c>
      <c r="GX38" s="490">
        <v>1</v>
      </c>
      <c r="GY38" s="491">
        <v>2</v>
      </c>
      <c r="GZ38" s="491">
        <v>2</v>
      </c>
      <c r="HA38" s="491">
        <v>4</v>
      </c>
      <c r="HB38" s="475">
        <v>0</v>
      </c>
      <c r="HC38" s="475">
        <v>0</v>
      </c>
      <c r="HD38" s="475">
        <v>0</v>
      </c>
      <c r="HE38" s="475">
        <v>0</v>
      </c>
      <c r="HF38" s="475">
        <v>0</v>
      </c>
      <c r="HG38" s="475">
        <v>0</v>
      </c>
      <c r="HH38" s="475">
        <v>0</v>
      </c>
      <c r="HI38" s="475">
        <v>0</v>
      </c>
      <c r="HJ38" s="475">
        <v>0</v>
      </c>
      <c r="HK38" s="475">
        <v>0</v>
      </c>
      <c r="HL38" s="475">
        <v>0</v>
      </c>
      <c r="HM38" s="475">
        <v>0</v>
      </c>
      <c r="HN38" s="475">
        <v>0</v>
      </c>
      <c r="HO38" s="475">
        <v>0</v>
      </c>
      <c r="HP38" s="475">
        <v>0</v>
      </c>
      <c r="HQ38" s="475">
        <v>0</v>
      </c>
      <c r="HR38" s="475">
        <v>2</v>
      </c>
      <c r="HS38" s="475">
        <v>0</v>
      </c>
      <c r="HT38" s="475">
        <v>0</v>
      </c>
      <c r="HU38" s="475">
        <v>0</v>
      </c>
      <c r="HV38" s="475">
        <v>0</v>
      </c>
      <c r="HW38" s="475">
        <v>0</v>
      </c>
      <c r="HX38" s="475">
        <v>0</v>
      </c>
      <c r="HY38" s="475">
        <v>0</v>
      </c>
      <c r="HZ38" s="475" t="s">
        <v>721</v>
      </c>
      <c r="IA38" s="475">
        <v>14</v>
      </c>
      <c r="IB38" s="475" t="s">
        <v>721</v>
      </c>
      <c r="IC38" s="475" t="s">
        <v>721</v>
      </c>
      <c r="ID38" s="475" t="s">
        <v>721</v>
      </c>
      <c r="IE38" s="475" t="s">
        <v>721</v>
      </c>
      <c r="IF38" s="475" t="s">
        <v>721</v>
      </c>
      <c r="IG38" s="475" t="s">
        <v>721</v>
      </c>
      <c r="IH38" s="475" t="s">
        <v>721</v>
      </c>
      <c r="II38" s="475" t="s">
        <v>721</v>
      </c>
      <c r="IJ38" s="475" t="s">
        <v>721</v>
      </c>
      <c r="IK38" s="475" t="s">
        <v>721</v>
      </c>
      <c r="IL38" s="475" t="s">
        <v>721</v>
      </c>
      <c r="IM38" s="475" t="s">
        <v>721</v>
      </c>
      <c r="IN38" s="475" t="s">
        <v>721</v>
      </c>
      <c r="IO38" s="475" t="s">
        <v>721</v>
      </c>
      <c r="IP38" s="475" t="s">
        <v>721</v>
      </c>
      <c r="IQ38" s="475" t="s">
        <v>721</v>
      </c>
      <c r="IR38" s="475" t="s">
        <v>721</v>
      </c>
      <c r="IS38" s="475" t="s">
        <v>721</v>
      </c>
      <c r="IT38" s="475" t="s">
        <v>721</v>
      </c>
      <c r="IU38" s="475" t="s">
        <v>721</v>
      </c>
      <c r="IV38" s="475" t="s">
        <v>721</v>
      </c>
      <c r="IW38" s="475" t="s">
        <v>721</v>
      </c>
      <c r="IX38" s="475" t="s">
        <v>721</v>
      </c>
      <c r="IY38" s="475" t="s">
        <v>721</v>
      </c>
      <c r="IZ38" s="475" t="s">
        <v>721</v>
      </c>
      <c r="JA38" s="475" t="s">
        <v>721</v>
      </c>
      <c r="JB38" s="475" t="s">
        <v>721</v>
      </c>
      <c r="JC38" s="475" t="s">
        <v>721</v>
      </c>
      <c r="JD38" s="475" t="s">
        <v>721</v>
      </c>
      <c r="JE38" s="475" t="s">
        <v>721</v>
      </c>
      <c r="JF38" s="475" t="s">
        <v>721</v>
      </c>
      <c r="JG38" s="475" t="s">
        <v>721</v>
      </c>
      <c r="JH38" s="475" t="s">
        <v>721</v>
      </c>
      <c r="JI38" s="475" t="s">
        <v>721</v>
      </c>
      <c r="JJ38" s="475" t="s">
        <v>721</v>
      </c>
      <c r="JK38" s="475" t="s">
        <v>721</v>
      </c>
      <c r="JL38" s="755">
        <v>21426.2</v>
      </c>
      <c r="JM38" s="755">
        <v>58991.199999999997</v>
      </c>
      <c r="JN38" s="755">
        <v>633.79999999999995</v>
      </c>
      <c r="JO38" s="755">
        <v>1000.5</v>
      </c>
      <c r="JP38" s="755">
        <v>328.1</v>
      </c>
      <c r="JQ38" s="755">
        <v>2381.9</v>
      </c>
      <c r="JR38" s="755">
        <v>723.8</v>
      </c>
      <c r="JS38" s="755" t="s">
        <v>721</v>
      </c>
      <c r="JT38" s="755">
        <v>177.2</v>
      </c>
      <c r="JU38" s="755" t="s">
        <v>721</v>
      </c>
      <c r="JV38" s="755" t="s">
        <v>721</v>
      </c>
      <c r="JW38" s="755" t="s">
        <v>721</v>
      </c>
      <c r="JX38" s="755">
        <v>131.4</v>
      </c>
      <c r="JY38" s="755">
        <v>491.7</v>
      </c>
      <c r="JZ38" s="755" t="s">
        <v>721</v>
      </c>
      <c r="KA38" s="755" t="s">
        <v>721</v>
      </c>
      <c r="KB38" s="755" t="s">
        <v>721</v>
      </c>
      <c r="KC38" s="755">
        <v>173.7</v>
      </c>
      <c r="KD38" s="755">
        <v>2482.6</v>
      </c>
      <c r="KE38" s="475">
        <v>27</v>
      </c>
      <c r="KF38" s="475">
        <v>43</v>
      </c>
      <c r="KG38" s="475" t="s">
        <v>721</v>
      </c>
      <c r="KH38" s="475" t="s">
        <v>721</v>
      </c>
      <c r="KI38" s="475" t="s">
        <v>721</v>
      </c>
      <c r="KJ38" s="475" t="s">
        <v>721</v>
      </c>
      <c r="KK38" s="475" t="s">
        <v>721</v>
      </c>
      <c r="KL38" s="475" t="s">
        <v>721</v>
      </c>
      <c r="KM38" s="475" t="s">
        <v>721</v>
      </c>
      <c r="KN38" s="475" t="s">
        <v>721</v>
      </c>
      <c r="KO38" s="475" t="s">
        <v>721</v>
      </c>
      <c r="KP38" s="475" t="s">
        <v>721</v>
      </c>
      <c r="KQ38" s="475" t="s">
        <v>721</v>
      </c>
      <c r="KR38" s="475" t="s">
        <v>721</v>
      </c>
      <c r="KS38" s="475" t="s">
        <v>721</v>
      </c>
      <c r="KT38" s="475" t="s">
        <v>721</v>
      </c>
      <c r="KU38" s="475" t="s">
        <v>721</v>
      </c>
      <c r="KV38" s="475" t="s">
        <v>721</v>
      </c>
      <c r="KW38" s="475" t="s">
        <v>721</v>
      </c>
      <c r="KX38" s="475">
        <v>33</v>
      </c>
      <c r="KY38" s="475">
        <v>178</v>
      </c>
      <c r="KZ38" s="475" t="s">
        <v>721</v>
      </c>
      <c r="LA38" s="475" t="s">
        <v>721</v>
      </c>
      <c r="LB38" s="475" t="s">
        <v>721</v>
      </c>
      <c r="LC38" s="475" t="s">
        <v>721</v>
      </c>
      <c r="LD38" s="475" t="s">
        <v>721</v>
      </c>
      <c r="LE38" s="475" t="s">
        <v>721</v>
      </c>
      <c r="LF38" s="475" t="s">
        <v>721</v>
      </c>
      <c r="LG38" s="475" t="s">
        <v>721</v>
      </c>
      <c r="LH38" s="475" t="s">
        <v>721</v>
      </c>
      <c r="LI38" s="475" t="s">
        <v>721</v>
      </c>
      <c r="LJ38" s="475" t="s">
        <v>721</v>
      </c>
      <c r="LK38" s="475" t="s">
        <v>721</v>
      </c>
      <c r="LL38" s="475" t="s">
        <v>721</v>
      </c>
      <c r="LM38" s="475" t="s">
        <v>721</v>
      </c>
      <c r="LN38" s="475" t="s">
        <v>721</v>
      </c>
      <c r="LO38" s="475" t="s">
        <v>721</v>
      </c>
      <c r="LP38" s="475" t="s">
        <v>721</v>
      </c>
      <c r="LQ38" s="475">
        <v>123</v>
      </c>
      <c r="LR38" s="475">
        <v>298</v>
      </c>
      <c r="LS38" s="475" t="s">
        <v>721</v>
      </c>
      <c r="LT38" s="475" t="s">
        <v>721</v>
      </c>
      <c r="LU38" s="475" t="s">
        <v>721</v>
      </c>
      <c r="LV38" s="475">
        <v>20</v>
      </c>
      <c r="LW38" s="475" t="s">
        <v>721</v>
      </c>
      <c r="LX38" s="475" t="s">
        <v>721</v>
      </c>
      <c r="LY38" s="475" t="s">
        <v>721</v>
      </c>
      <c r="LZ38" s="475" t="s">
        <v>721</v>
      </c>
      <c r="MA38" s="475" t="s">
        <v>721</v>
      </c>
      <c r="MB38" s="475" t="s">
        <v>721</v>
      </c>
      <c r="MC38" s="475" t="s">
        <v>721</v>
      </c>
      <c r="MD38" s="475" t="s">
        <v>721</v>
      </c>
      <c r="ME38" s="475" t="s">
        <v>721</v>
      </c>
      <c r="MF38" s="475" t="s">
        <v>721</v>
      </c>
      <c r="MG38" s="475" t="s">
        <v>721</v>
      </c>
      <c r="MH38" s="475" t="s">
        <v>721</v>
      </c>
      <c r="MI38" s="475" t="s">
        <v>721</v>
      </c>
      <c r="MJ38" s="475">
        <v>54</v>
      </c>
      <c r="MK38" s="475">
        <v>199</v>
      </c>
      <c r="ML38" s="475" t="s">
        <v>721</v>
      </c>
      <c r="MM38" s="475" t="s">
        <v>721</v>
      </c>
      <c r="MN38" s="475" t="s">
        <v>721</v>
      </c>
      <c r="MO38" s="475" t="s">
        <v>721</v>
      </c>
      <c r="MP38" s="475" t="s">
        <v>721</v>
      </c>
      <c r="MQ38" s="475" t="s">
        <v>721</v>
      </c>
      <c r="MR38" s="475" t="s">
        <v>721</v>
      </c>
      <c r="MS38" s="475" t="s">
        <v>721</v>
      </c>
      <c r="MT38" s="475" t="s">
        <v>721</v>
      </c>
      <c r="MU38" s="475" t="s">
        <v>721</v>
      </c>
      <c r="MV38" s="475" t="s">
        <v>721</v>
      </c>
      <c r="MW38" s="475" t="s">
        <v>721</v>
      </c>
      <c r="MX38" s="475" t="s">
        <v>721</v>
      </c>
      <c r="MY38" s="475" t="s">
        <v>721</v>
      </c>
      <c r="MZ38" s="475" t="s">
        <v>721</v>
      </c>
      <c r="NA38" s="475" t="s">
        <v>721</v>
      </c>
      <c r="NB38" s="475" t="s">
        <v>721</v>
      </c>
      <c r="NC38" s="476">
        <v>0.52800000000000002</v>
      </c>
      <c r="ND38" s="476">
        <v>0.47199999999999998</v>
      </c>
      <c r="NE38" s="476">
        <v>0.24099999999999999</v>
      </c>
      <c r="NF38" s="476">
        <v>0.66700000000000004</v>
      </c>
      <c r="NG38" s="476" t="s">
        <v>721</v>
      </c>
      <c r="NH38" s="476" t="s">
        <v>721</v>
      </c>
      <c r="NI38" s="476" t="s">
        <v>721</v>
      </c>
      <c r="NJ38" s="476">
        <v>3.2000000000000001E-2</v>
      </c>
      <c r="NK38" s="476" t="s">
        <v>721</v>
      </c>
      <c r="NL38" s="476" t="s">
        <v>721</v>
      </c>
      <c r="NM38" s="476" t="s">
        <v>721</v>
      </c>
      <c r="NN38" s="476" t="s">
        <v>721</v>
      </c>
      <c r="NO38" s="476" t="s">
        <v>721</v>
      </c>
      <c r="NP38" s="476" t="s">
        <v>721</v>
      </c>
      <c r="NQ38" s="476" t="s">
        <v>721</v>
      </c>
      <c r="NR38" s="476" t="s">
        <v>721</v>
      </c>
      <c r="NS38" s="476" t="s">
        <v>721</v>
      </c>
      <c r="NT38" s="476" t="s">
        <v>721</v>
      </c>
      <c r="NU38" s="476" t="s">
        <v>721</v>
      </c>
      <c r="NV38" s="476" t="s">
        <v>721</v>
      </c>
      <c r="NW38" s="476">
        <v>2.1000000000000001E-2</v>
      </c>
      <c r="NX38" s="476" t="s">
        <v>721</v>
      </c>
      <c r="NY38" s="476">
        <v>0.35</v>
      </c>
      <c r="NZ38" s="476" t="s">
        <v>721</v>
      </c>
      <c r="OA38" s="476" t="s">
        <v>721</v>
      </c>
      <c r="OB38" s="476" t="s">
        <v>721</v>
      </c>
      <c r="OC38" s="476" t="s">
        <v>721</v>
      </c>
      <c r="OD38" s="476" t="s">
        <v>721</v>
      </c>
      <c r="OE38" s="476">
        <v>0.61</v>
      </c>
      <c r="OF38" s="476" t="s">
        <v>721</v>
      </c>
      <c r="OG38" s="476" t="s">
        <v>721</v>
      </c>
      <c r="OH38" s="476" t="s">
        <v>721</v>
      </c>
      <c r="OI38" s="476" t="s">
        <v>721</v>
      </c>
      <c r="OJ38" s="476" t="s">
        <v>721</v>
      </c>
      <c r="OK38" s="476" t="s">
        <v>721</v>
      </c>
      <c r="OL38" s="476" t="s">
        <v>721</v>
      </c>
      <c r="OM38" s="476" t="s">
        <v>721</v>
      </c>
      <c r="ON38" s="476" t="s">
        <v>721</v>
      </c>
      <c r="OO38" s="476" t="s">
        <v>721</v>
      </c>
      <c r="OP38" s="476" t="s">
        <v>721</v>
      </c>
      <c r="OQ38" s="476" t="s">
        <v>721</v>
      </c>
      <c r="OR38" s="476" t="s">
        <v>721</v>
      </c>
      <c r="OS38" s="476" t="s">
        <v>721</v>
      </c>
      <c r="OT38" s="476" t="s">
        <v>721</v>
      </c>
      <c r="OU38" s="476" t="s">
        <v>721</v>
      </c>
      <c r="OV38" s="476" t="s">
        <v>721</v>
      </c>
      <c r="OW38" s="476" t="s">
        <v>721</v>
      </c>
      <c r="OX38" s="476" t="s">
        <v>721</v>
      </c>
      <c r="OY38" s="476" t="s">
        <v>721</v>
      </c>
      <c r="OZ38" s="476" t="s">
        <v>721</v>
      </c>
      <c r="PA38" s="476" t="s">
        <v>721</v>
      </c>
      <c r="PB38" s="476" t="s">
        <v>721</v>
      </c>
      <c r="PC38" s="476" t="s">
        <v>721</v>
      </c>
      <c r="PD38" s="476" t="s">
        <v>721</v>
      </c>
      <c r="PE38" s="476" t="s">
        <v>721</v>
      </c>
      <c r="PF38" s="476">
        <v>0.214</v>
      </c>
      <c r="PG38" s="476" t="s">
        <v>721</v>
      </c>
      <c r="PH38" s="476" t="s">
        <v>721</v>
      </c>
      <c r="PI38" s="476" t="s">
        <v>721</v>
      </c>
      <c r="PJ38" s="476" t="s">
        <v>721</v>
      </c>
      <c r="PK38" s="476" t="s">
        <v>721</v>
      </c>
      <c r="PL38" s="476">
        <v>0.76700000000000002</v>
      </c>
      <c r="PM38" s="476">
        <v>1.4E-2</v>
      </c>
      <c r="PN38" s="476" t="s">
        <v>721</v>
      </c>
      <c r="PO38" s="476" t="s">
        <v>721</v>
      </c>
      <c r="PP38" s="476" t="s">
        <v>721</v>
      </c>
      <c r="PQ38" s="476" t="s">
        <v>721</v>
      </c>
      <c r="PR38" s="476" t="s">
        <v>721</v>
      </c>
      <c r="PS38" s="476" t="s">
        <v>721</v>
      </c>
      <c r="PT38" s="476" t="s">
        <v>721</v>
      </c>
      <c r="PU38" s="476" t="s">
        <v>721</v>
      </c>
      <c r="PV38" s="476" t="s">
        <v>721</v>
      </c>
      <c r="PW38" s="476" t="s">
        <v>721</v>
      </c>
      <c r="PX38" s="476" t="s">
        <v>721</v>
      </c>
      <c r="PY38" s="476" t="s">
        <v>721</v>
      </c>
      <c r="PZ38" s="476" t="s">
        <v>721</v>
      </c>
      <c r="QA38" s="476" t="s">
        <v>721</v>
      </c>
      <c r="QB38" s="476" t="s">
        <v>721</v>
      </c>
      <c r="QC38" s="476" t="s">
        <v>721</v>
      </c>
      <c r="QD38" s="476" t="s">
        <v>721</v>
      </c>
      <c r="QE38" s="476" t="s">
        <v>721</v>
      </c>
      <c r="QF38" s="476" t="s">
        <v>721</v>
      </c>
      <c r="QG38" s="476" t="s">
        <v>721</v>
      </c>
      <c r="QH38" s="476" t="s">
        <v>721</v>
      </c>
      <c r="QI38" s="476" t="s">
        <v>721</v>
      </c>
      <c r="QJ38" s="476" t="s">
        <v>721</v>
      </c>
      <c r="QK38" s="476" t="s">
        <v>721</v>
      </c>
      <c r="QL38" s="476" t="s">
        <v>721</v>
      </c>
      <c r="QM38" s="476">
        <v>0.48299999999999998</v>
      </c>
      <c r="QN38" s="476" t="s">
        <v>721</v>
      </c>
      <c r="QO38" s="476" t="s">
        <v>721</v>
      </c>
      <c r="QP38" s="476" t="s">
        <v>721</v>
      </c>
      <c r="QQ38" s="476" t="s">
        <v>721</v>
      </c>
      <c r="QR38" s="476" t="s">
        <v>721</v>
      </c>
      <c r="QS38" s="476" t="s">
        <v>721</v>
      </c>
      <c r="QT38" s="476" t="s">
        <v>721</v>
      </c>
      <c r="QU38" s="476" t="s">
        <v>721</v>
      </c>
      <c r="QV38" s="476" t="s">
        <v>721</v>
      </c>
      <c r="QW38" s="476" t="s">
        <v>721</v>
      </c>
      <c r="QX38" s="476" t="s">
        <v>721</v>
      </c>
      <c r="QY38" s="476" t="s">
        <v>721</v>
      </c>
      <c r="QZ38" s="476" t="s">
        <v>721</v>
      </c>
      <c r="RA38" s="476" t="s">
        <v>721</v>
      </c>
      <c r="RB38" s="476" t="s">
        <v>721</v>
      </c>
      <c r="RC38" s="476" t="s">
        <v>721</v>
      </c>
      <c r="RD38" s="476" t="s">
        <v>721</v>
      </c>
      <c r="RE38" s="476" t="s">
        <v>721</v>
      </c>
      <c r="RF38" s="476" t="s">
        <v>721</v>
      </c>
      <c r="RG38" s="476" t="s">
        <v>721</v>
      </c>
      <c r="RH38" s="476" t="s">
        <v>721</v>
      </c>
      <c r="RI38" s="476" t="s">
        <v>721</v>
      </c>
      <c r="RJ38" s="476" t="s">
        <v>721</v>
      </c>
      <c r="RK38" s="476" t="s">
        <v>721</v>
      </c>
      <c r="RL38" s="476" t="s">
        <v>721</v>
      </c>
      <c r="RM38" s="476" t="s">
        <v>721</v>
      </c>
      <c r="RN38" s="476" t="s">
        <v>721</v>
      </c>
      <c r="RO38" s="476" t="s">
        <v>721</v>
      </c>
      <c r="RP38" s="476" t="s">
        <v>721</v>
      </c>
      <c r="RQ38" s="476" t="s">
        <v>721</v>
      </c>
      <c r="RR38" s="476" t="s">
        <v>721</v>
      </c>
      <c r="RS38" s="476" t="s">
        <v>721</v>
      </c>
      <c r="RT38" s="476" t="s">
        <v>721</v>
      </c>
      <c r="RU38" s="476" t="s">
        <v>721</v>
      </c>
      <c r="RV38" s="476" t="s">
        <v>721</v>
      </c>
      <c r="RW38" s="476" t="s">
        <v>721</v>
      </c>
      <c r="RX38" s="476">
        <v>0.24099999999999999</v>
      </c>
      <c r="RY38" s="476">
        <v>0.66300000000000003</v>
      </c>
      <c r="RZ38" s="476">
        <v>7.0000000000000001E-3</v>
      </c>
      <c r="SA38" s="476">
        <v>1.0999999999999999E-2</v>
      </c>
      <c r="SB38" s="476">
        <v>4.0000000000000001E-3</v>
      </c>
      <c r="SC38" s="476">
        <v>2.7E-2</v>
      </c>
      <c r="SD38" s="476">
        <v>8.0000000000000002E-3</v>
      </c>
      <c r="SE38" s="476" t="s">
        <v>721</v>
      </c>
      <c r="SF38" s="476">
        <v>2E-3</v>
      </c>
      <c r="SG38" s="476" t="s">
        <v>721</v>
      </c>
      <c r="SH38" s="476" t="s">
        <v>721</v>
      </c>
      <c r="SI38" s="476" t="s">
        <v>721</v>
      </c>
      <c r="SJ38" s="476">
        <v>1E-3</v>
      </c>
      <c r="SK38" s="476">
        <v>6.0000000000000001E-3</v>
      </c>
      <c r="SL38" s="476" t="s">
        <v>721</v>
      </c>
      <c r="SM38" s="476" t="s">
        <v>721</v>
      </c>
      <c r="SN38" s="476" t="s">
        <v>721</v>
      </c>
      <c r="SO38" s="476">
        <v>2E-3</v>
      </c>
      <c r="SP38" s="476">
        <v>2.8000000000000001E-2</v>
      </c>
      <c r="SQ38" s="476">
        <v>0.34200000000000003</v>
      </c>
      <c r="SR38" s="476">
        <v>0.54400000000000004</v>
      </c>
      <c r="SS38" s="476" t="s">
        <v>721</v>
      </c>
      <c r="ST38" s="476" t="s">
        <v>721</v>
      </c>
      <c r="SU38" s="476" t="s">
        <v>721</v>
      </c>
      <c r="SV38" s="476" t="s">
        <v>721</v>
      </c>
      <c r="SW38" s="476" t="s">
        <v>721</v>
      </c>
      <c r="SX38" s="476" t="s">
        <v>721</v>
      </c>
      <c r="SY38" s="476" t="s">
        <v>721</v>
      </c>
      <c r="SZ38" s="476" t="s">
        <v>721</v>
      </c>
      <c r="TA38" s="476" t="s">
        <v>721</v>
      </c>
      <c r="TB38" s="476" t="s">
        <v>721</v>
      </c>
      <c r="TC38" s="476" t="s">
        <v>721</v>
      </c>
      <c r="TD38" s="476" t="s">
        <v>721</v>
      </c>
      <c r="TE38" s="476" t="s">
        <v>721</v>
      </c>
      <c r="TF38" s="476" t="s">
        <v>721</v>
      </c>
      <c r="TG38" s="476" t="s">
        <v>721</v>
      </c>
      <c r="TH38" s="476" t="s">
        <v>721</v>
      </c>
      <c r="TI38" s="476" t="s">
        <v>721</v>
      </c>
      <c r="TJ38" s="476">
        <v>0.14000000000000001</v>
      </c>
      <c r="TK38" s="476">
        <v>0.75700000000000001</v>
      </c>
      <c r="TL38" s="476" t="s">
        <v>721</v>
      </c>
      <c r="TM38" s="476" t="s">
        <v>721</v>
      </c>
      <c r="TN38" s="476" t="s">
        <v>721</v>
      </c>
      <c r="TO38" s="476" t="s">
        <v>721</v>
      </c>
      <c r="TP38" s="476" t="s">
        <v>721</v>
      </c>
      <c r="TQ38" s="476" t="s">
        <v>721</v>
      </c>
      <c r="TR38" s="476" t="s">
        <v>721</v>
      </c>
      <c r="TS38" s="476" t="s">
        <v>721</v>
      </c>
      <c r="TT38" s="476" t="s">
        <v>721</v>
      </c>
      <c r="TU38" s="476" t="s">
        <v>721</v>
      </c>
      <c r="TV38" s="476" t="s">
        <v>721</v>
      </c>
      <c r="TW38" s="476" t="s">
        <v>721</v>
      </c>
      <c r="TX38" s="476" t="s">
        <v>721</v>
      </c>
      <c r="TY38" s="476" t="s">
        <v>721</v>
      </c>
      <c r="TZ38" s="476" t="s">
        <v>721</v>
      </c>
      <c r="UA38" s="476" t="s">
        <v>721</v>
      </c>
      <c r="UB38" s="476" t="s">
        <v>721</v>
      </c>
      <c r="UC38" s="476">
        <v>0.26400000000000001</v>
      </c>
      <c r="UD38" s="476">
        <v>0.63900000000000001</v>
      </c>
      <c r="UE38" s="476" t="s">
        <v>721</v>
      </c>
      <c r="UF38" s="476" t="s">
        <v>721</v>
      </c>
      <c r="UG38" s="476" t="s">
        <v>721</v>
      </c>
      <c r="UH38" s="476">
        <v>4.2999999999999997E-2</v>
      </c>
      <c r="UI38" s="476" t="s">
        <v>721</v>
      </c>
      <c r="UJ38" s="476" t="s">
        <v>721</v>
      </c>
      <c r="UK38" s="476" t="s">
        <v>721</v>
      </c>
      <c r="UL38" s="476" t="s">
        <v>721</v>
      </c>
      <c r="UM38" s="476" t="s">
        <v>721</v>
      </c>
      <c r="UN38" s="476" t="s">
        <v>721</v>
      </c>
      <c r="UO38" s="476" t="s">
        <v>721</v>
      </c>
      <c r="UP38" s="476" t="s">
        <v>721</v>
      </c>
      <c r="UQ38" s="476" t="s">
        <v>721</v>
      </c>
      <c r="UR38" s="476" t="s">
        <v>721</v>
      </c>
      <c r="US38" s="476" t="s">
        <v>721</v>
      </c>
      <c r="UT38" s="476" t="s">
        <v>721</v>
      </c>
      <c r="UU38" s="476" t="s">
        <v>721</v>
      </c>
      <c r="UV38" s="476">
        <v>0.19500000000000001</v>
      </c>
      <c r="UW38" s="476">
        <v>0.71799999999999997</v>
      </c>
      <c r="UX38" s="476" t="s">
        <v>721</v>
      </c>
      <c r="UY38" s="476" t="s">
        <v>721</v>
      </c>
      <c r="UZ38" s="476" t="s">
        <v>721</v>
      </c>
      <c r="VA38" s="476" t="s">
        <v>721</v>
      </c>
      <c r="VB38" s="476" t="s">
        <v>721</v>
      </c>
      <c r="VC38" s="476" t="s">
        <v>721</v>
      </c>
      <c r="VD38" s="476" t="s">
        <v>721</v>
      </c>
      <c r="VE38" s="476" t="s">
        <v>721</v>
      </c>
      <c r="VF38" s="476" t="s">
        <v>721</v>
      </c>
      <c r="VG38" s="476" t="s">
        <v>721</v>
      </c>
      <c r="VH38" s="476" t="s">
        <v>721</v>
      </c>
      <c r="VI38" s="476" t="s">
        <v>721</v>
      </c>
      <c r="VJ38" s="476" t="s">
        <v>721</v>
      </c>
      <c r="VK38" s="476" t="s">
        <v>721</v>
      </c>
      <c r="VL38" s="476" t="s">
        <v>721</v>
      </c>
      <c r="VM38" s="476" t="s">
        <v>721</v>
      </c>
      <c r="VN38" s="476" t="s">
        <v>721</v>
      </c>
      <c r="VO38" s="28"/>
      <c r="VP38" s="28"/>
      <c r="VQ38" s="28"/>
      <c r="VR38" s="28"/>
      <c r="VS38" s="28"/>
      <c r="VT38" s="28"/>
      <c r="VU38" s="28"/>
      <c r="VV38" s="28"/>
      <c r="VW38" s="28"/>
      <c r="VX38" s="28"/>
      <c r="VY38" s="28"/>
      <c r="VZ38" s="28"/>
      <c r="WA38" s="28"/>
      <c r="WB38" s="28"/>
      <c r="WC38" s="28"/>
      <c r="WD38" s="28"/>
      <c r="WE38" s="28"/>
      <c r="WF38" s="28"/>
      <c r="WG38" s="28"/>
      <c r="WH38" s="28"/>
      <c r="WI38" s="28"/>
      <c r="WJ38" s="28"/>
      <c r="WK38" s="28"/>
      <c r="WL38" s="28"/>
      <c r="WM38" s="28"/>
      <c r="WN38" s="28"/>
      <c r="WO38" s="28"/>
      <c r="WP38" s="28"/>
      <c r="WQ38" s="28"/>
      <c r="WR38" s="28"/>
      <c r="WS38" s="28"/>
      <c r="WT38" s="28"/>
      <c r="WU38" s="28"/>
      <c r="WV38" s="28"/>
      <c r="WW38" s="28"/>
    </row>
    <row r="39" spans="1:621" s="151" customFormat="1" ht="15.75" customHeight="1" x14ac:dyDescent="0.35">
      <c r="A39" s="477" t="s">
        <v>5</v>
      </c>
      <c r="B39" s="492" t="s">
        <v>12</v>
      </c>
      <c r="C39" s="493">
        <v>16</v>
      </c>
      <c r="D39" s="494">
        <v>41157</v>
      </c>
      <c r="E39" s="473">
        <v>4915885.0999999996</v>
      </c>
      <c r="F39" s="473">
        <v>119.4</v>
      </c>
      <c r="G39" s="474">
        <v>40890</v>
      </c>
      <c r="H39" s="474">
        <v>35231</v>
      </c>
      <c r="I39" s="474">
        <v>21040</v>
      </c>
      <c r="J39" s="474">
        <v>17876</v>
      </c>
      <c r="K39" s="474">
        <v>15495</v>
      </c>
      <c r="L39" s="473">
        <v>2467585.5</v>
      </c>
      <c r="M39" s="474">
        <v>25529</v>
      </c>
      <c r="N39" s="473">
        <v>2448299.6</v>
      </c>
      <c r="O39" s="494">
        <v>4833</v>
      </c>
      <c r="P39" s="495">
        <v>869880.2</v>
      </c>
      <c r="Q39" s="494">
        <v>4891</v>
      </c>
      <c r="R39" s="495">
        <v>189042</v>
      </c>
      <c r="S39" s="480">
        <v>9455</v>
      </c>
      <c r="T39" s="481">
        <v>1032394.6</v>
      </c>
      <c r="U39" s="480">
        <v>570</v>
      </c>
      <c r="V39" s="481">
        <v>74630.2</v>
      </c>
      <c r="W39" s="480">
        <v>31132</v>
      </c>
      <c r="X39" s="481">
        <v>3808860.3</v>
      </c>
      <c r="Y39" s="494">
        <v>35253</v>
      </c>
      <c r="Z39" s="494">
        <v>23481</v>
      </c>
      <c r="AA39" s="494">
        <v>26888</v>
      </c>
      <c r="AB39" s="494">
        <v>20284</v>
      </c>
      <c r="AC39" s="494">
        <v>2482</v>
      </c>
      <c r="AD39" s="494">
        <v>8949</v>
      </c>
      <c r="AE39" s="494">
        <v>16600</v>
      </c>
      <c r="AF39" s="495">
        <v>1212487.3999999999</v>
      </c>
      <c r="AG39" s="494">
        <v>21907</v>
      </c>
      <c r="AH39" s="495">
        <v>3533684.4</v>
      </c>
      <c r="AI39" s="494">
        <v>1690</v>
      </c>
      <c r="AJ39" s="495">
        <v>79830.600000000006</v>
      </c>
      <c r="AK39" s="494">
        <v>827</v>
      </c>
      <c r="AL39" s="495">
        <v>89882.7</v>
      </c>
      <c r="AM39" s="496">
        <v>23192</v>
      </c>
      <c r="AN39" s="496">
        <v>17965</v>
      </c>
      <c r="AO39" s="496">
        <v>8273</v>
      </c>
      <c r="AP39" s="496">
        <v>19201</v>
      </c>
      <c r="AQ39" s="496">
        <v>8936</v>
      </c>
      <c r="AR39" s="496">
        <v>692</v>
      </c>
      <c r="AS39" s="496">
        <v>177</v>
      </c>
      <c r="AT39" s="496">
        <v>751</v>
      </c>
      <c r="AU39" s="496">
        <v>220</v>
      </c>
      <c r="AV39" s="496" t="s">
        <v>721</v>
      </c>
      <c r="AW39" s="496">
        <v>666</v>
      </c>
      <c r="AX39" s="496">
        <v>228</v>
      </c>
      <c r="AY39" s="496">
        <v>15</v>
      </c>
      <c r="AZ39" s="496">
        <v>291</v>
      </c>
      <c r="BA39" s="496">
        <v>59</v>
      </c>
      <c r="BB39" s="496">
        <v>291</v>
      </c>
      <c r="BC39" s="496">
        <v>21</v>
      </c>
      <c r="BD39" s="496" t="s">
        <v>721</v>
      </c>
      <c r="BE39" s="496">
        <v>40</v>
      </c>
      <c r="BF39" s="496">
        <v>416</v>
      </c>
      <c r="BG39" s="496">
        <v>869</v>
      </c>
      <c r="BH39" s="496">
        <v>42</v>
      </c>
      <c r="BI39" s="496">
        <v>9274</v>
      </c>
      <c r="BJ39" s="496">
        <v>163</v>
      </c>
      <c r="BK39" s="496" t="s">
        <v>721</v>
      </c>
      <c r="BL39" s="496">
        <v>251</v>
      </c>
      <c r="BM39" s="496">
        <v>258</v>
      </c>
      <c r="BN39" s="496">
        <v>352</v>
      </c>
      <c r="BO39" s="496">
        <v>28940</v>
      </c>
      <c r="BP39" s="496">
        <v>25</v>
      </c>
      <c r="BQ39" s="496">
        <v>21</v>
      </c>
      <c r="BR39" s="496">
        <v>416</v>
      </c>
      <c r="BS39" s="496">
        <v>46</v>
      </c>
      <c r="BT39" s="496">
        <v>181</v>
      </c>
      <c r="BU39" s="496">
        <v>86</v>
      </c>
      <c r="BV39" s="496" t="s">
        <v>721</v>
      </c>
      <c r="BW39" s="496" t="s">
        <v>721</v>
      </c>
      <c r="BX39" s="496" t="s">
        <v>721</v>
      </c>
      <c r="BY39" s="496">
        <v>42</v>
      </c>
      <c r="BZ39" s="496" t="s">
        <v>721</v>
      </c>
      <c r="CA39" s="496" t="s">
        <v>721</v>
      </c>
      <c r="CB39" s="496" t="s">
        <v>721</v>
      </c>
      <c r="CC39" s="496" t="s">
        <v>721</v>
      </c>
      <c r="CD39" s="496">
        <v>42</v>
      </c>
      <c r="CE39" s="496" t="s">
        <v>721</v>
      </c>
      <c r="CF39" s="496" t="s">
        <v>721</v>
      </c>
      <c r="CG39" s="496">
        <v>467</v>
      </c>
      <c r="CH39" s="496">
        <v>14</v>
      </c>
      <c r="CI39" s="496">
        <v>21</v>
      </c>
      <c r="CJ39" s="496">
        <v>106</v>
      </c>
      <c r="CK39" s="496">
        <v>354</v>
      </c>
      <c r="CL39" s="496">
        <v>12</v>
      </c>
      <c r="CM39" s="496">
        <v>18</v>
      </c>
      <c r="CN39" s="496" t="s">
        <v>721</v>
      </c>
      <c r="CO39" s="496" t="s">
        <v>721</v>
      </c>
      <c r="CP39" s="496">
        <v>3319</v>
      </c>
      <c r="CQ39" s="496">
        <v>49</v>
      </c>
      <c r="CR39" s="496" t="s">
        <v>721</v>
      </c>
      <c r="CS39" s="496">
        <v>59</v>
      </c>
      <c r="CT39" s="496">
        <v>47</v>
      </c>
      <c r="CU39" s="496">
        <v>48</v>
      </c>
      <c r="CV39" s="496">
        <v>31205</v>
      </c>
      <c r="CW39" s="496">
        <v>82</v>
      </c>
      <c r="CX39" s="496" t="s">
        <v>721</v>
      </c>
      <c r="CY39" s="496">
        <v>120</v>
      </c>
      <c r="CZ39" s="496">
        <v>39</v>
      </c>
      <c r="DA39" s="496">
        <v>25</v>
      </c>
      <c r="DB39" s="496">
        <v>21</v>
      </c>
      <c r="DC39" s="496" t="s">
        <v>721</v>
      </c>
      <c r="DD39" s="496" t="s">
        <v>721</v>
      </c>
      <c r="DE39" s="496" t="s">
        <v>721</v>
      </c>
      <c r="DF39" s="496" t="s">
        <v>721</v>
      </c>
      <c r="DG39" s="496" t="s">
        <v>721</v>
      </c>
      <c r="DH39" s="496" t="s">
        <v>721</v>
      </c>
      <c r="DI39" s="496" t="s">
        <v>721</v>
      </c>
      <c r="DJ39" s="496" t="s">
        <v>721</v>
      </c>
      <c r="DK39" s="496" t="s">
        <v>721</v>
      </c>
      <c r="DL39" s="496" t="s">
        <v>721</v>
      </c>
      <c r="DM39" s="496" t="s">
        <v>721</v>
      </c>
      <c r="DN39" s="496">
        <v>87</v>
      </c>
      <c r="DO39" s="496" t="s">
        <v>721</v>
      </c>
      <c r="DP39" s="496" t="s">
        <v>721</v>
      </c>
      <c r="DQ39" s="496">
        <v>21</v>
      </c>
      <c r="DR39" s="496">
        <v>96</v>
      </c>
      <c r="DS39" s="483" t="s">
        <v>721</v>
      </c>
      <c r="DT39" s="483" t="s">
        <v>721</v>
      </c>
      <c r="DU39" s="483" t="s">
        <v>721</v>
      </c>
      <c r="DV39" s="496">
        <v>5101</v>
      </c>
      <c r="DW39" s="497">
        <v>751960.8</v>
      </c>
      <c r="DX39" s="496">
        <v>7702</v>
      </c>
      <c r="DY39" s="497">
        <v>1125506.8999999999</v>
      </c>
      <c r="DZ39" s="496">
        <v>10594</v>
      </c>
      <c r="EA39" s="497">
        <v>1106554.6000000001</v>
      </c>
      <c r="EB39" s="496">
        <v>7959</v>
      </c>
      <c r="EC39" s="497">
        <v>802469.5</v>
      </c>
      <c r="ED39" s="496">
        <v>6080</v>
      </c>
      <c r="EE39" s="497">
        <v>654843.80000000005</v>
      </c>
      <c r="EF39" s="496">
        <v>3721</v>
      </c>
      <c r="EG39" s="497">
        <v>474549.5</v>
      </c>
      <c r="EH39" s="485">
        <v>32204</v>
      </c>
      <c r="EI39" s="486">
        <v>94945</v>
      </c>
      <c r="EJ39" s="485">
        <v>32548</v>
      </c>
      <c r="EK39" s="486">
        <v>749905.1</v>
      </c>
      <c r="EL39" s="485">
        <v>32098</v>
      </c>
      <c r="EM39" s="486">
        <v>298184.90000000002</v>
      </c>
      <c r="EN39" s="485">
        <v>33523</v>
      </c>
      <c r="EO39" s="486">
        <v>172777.8</v>
      </c>
      <c r="EP39" s="485">
        <v>32178</v>
      </c>
      <c r="EQ39" s="486">
        <v>90174.1</v>
      </c>
      <c r="ER39" s="485">
        <v>32275</v>
      </c>
      <c r="ES39" s="486">
        <v>67974.100000000006</v>
      </c>
      <c r="ET39" s="485">
        <v>2</v>
      </c>
      <c r="EU39" s="485">
        <v>30170</v>
      </c>
      <c r="EV39" s="486">
        <v>485736.4</v>
      </c>
      <c r="EW39" s="485">
        <v>6675</v>
      </c>
      <c r="EX39" s="486">
        <v>33821.699999999997</v>
      </c>
      <c r="EY39" s="485">
        <v>11099</v>
      </c>
      <c r="EZ39" s="486">
        <v>152665.70000000001</v>
      </c>
      <c r="FA39" s="485">
        <v>4066</v>
      </c>
      <c r="FB39" s="486">
        <v>41379.199999999997</v>
      </c>
      <c r="FC39" s="485">
        <v>36407</v>
      </c>
      <c r="FD39" s="486">
        <v>484116.8</v>
      </c>
      <c r="FE39" s="485">
        <v>36688</v>
      </c>
      <c r="FF39" s="486">
        <v>298435.7</v>
      </c>
      <c r="FG39" s="485">
        <v>24634</v>
      </c>
      <c r="FH39" s="486">
        <v>211752.5</v>
      </c>
      <c r="FI39" s="485">
        <v>27725</v>
      </c>
      <c r="FJ39" s="486">
        <v>183025.4</v>
      </c>
      <c r="FK39" s="485">
        <v>31292</v>
      </c>
      <c r="FL39" s="486">
        <v>108518.6</v>
      </c>
      <c r="FM39" s="485">
        <v>2314</v>
      </c>
      <c r="FN39" s="486">
        <v>6061.9</v>
      </c>
      <c r="FO39" s="485">
        <v>30600</v>
      </c>
      <c r="FP39" s="486">
        <v>268472.3</v>
      </c>
      <c r="FQ39" s="485">
        <v>32013</v>
      </c>
      <c r="FR39" s="486">
        <v>108521.3</v>
      </c>
      <c r="FS39" s="485">
        <v>166</v>
      </c>
      <c r="FT39" s="486">
        <v>1227.2</v>
      </c>
      <c r="FU39" s="485">
        <v>1</v>
      </c>
      <c r="FV39" s="486">
        <v>40</v>
      </c>
      <c r="FW39" s="485">
        <v>0</v>
      </c>
      <c r="FX39" s="486">
        <v>0</v>
      </c>
      <c r="FY39" s="485">
        <v>10</v>
      </c>
      <c r="FZ39" s="486">
        <v>51.9</v>
      </c>
      <c r="GA39" s="485">
        <v>0</v>
      </c>
      <c r="GB39" s="485">
        <v>0</v>
      </c>
      <c r="GC39" s="487">
        <v>0</v>
      </c>
      <c r="GD39" s="488">
        <v>27</v>
      </c>
      <c r="GE39" s="488">
        <v>1214</v>
      </c>
      <c r="GF39" s="488">
        <v>8794</v>
      </c>
      <c r="GG39" s="488">
        <v>33</v>
      </c>
      <c r="GH39" s="488">
        <v>14</v>
      </c>
      <c r="GI39" s="488">
        <v>6</v>
      </c>
      <c r="GJ39" s="488">
        <v>0</v>
      </c>
      <c r="GK39" s="488">
        <v>4990</v>
      </c>
      <c r="GL39" s="488">
        <v>4992</v>
      </c>
      <c r="GM39" s="488">
        <v>10035</v>
      </c>
      <c r="GN39" s="488">
        <v>1615</v>
      </c>
      <c r="GO39" s="488">
        <v>1680</v>
      </c>
      <c r="GP39" s="488">
        <v>94</v>
      </c>
      <c r="GQ39" s="488">
        <v>699</v>
      </c>
      <c r="GR39" s="488">
        <v>65</v>
      </c>
      <c r="GS39" s="488">
        <v>858</v>
      </c>
      <c r="GT39" s="489">
        <v>29111</v>
      </c>
      <c r="GU39" s="488">
        <v>57</v>
      </c>
      <c r="GV39" s="490">
        <v>3</v>
      </c>
      <c r="GW39" s="490">
        <v>49</v>
      </c>
      <c r="GX39" s="490">
        <v>109</v>
      </c>
      <c r="GY39" s="491">
        <v>87</v>
      </c>
      <c r="GZ39" s="491">
        <v>36</v>
      </c>
      <c r="HA39" s="491">
        <v>123</v>
      </c>
      <c r="HB39" s="475">
        <v>1</v>
      </c>
      <c r="HC39" s="475">
        <v>15</v>
      </c>
      <c r="HD39" s="475">
        <v>0</v>
      </c>
      <c r="HE39" s="475">
        <v>0</v>
      </c>
      <c r="HF39" s="475">
        <v>1</v>
      </c>
      <c r="HG39" s="475">
        <v>10</v>
      </c>
      <c r="HH39" s="475">
        <v>18</v>
      </c>
      <c r="HI39" s="475">
        <v>0</v>
      </c>
      <c r="HJ39" s="475">
        <v>0</v>
      </c>
      <c r="HK39" s="475">
        <v>0</v>
      </c>
      <c r="HL39" s="475">
        <v>11</v>
      </c>
      <c r="HM39" s="475">
        <v>7</v>
      </c>
      <c r="HN39" s="475">
        <v>0</v>
      </c>
      <c r="HO39" s="475">
        <v>4</v>
      </c>
      <c r="HP39" s="475">
        <v>0</v>
      </c>
      <c r="HQ39" s="475">
        <v>4</v>
      </c>
      <c r="HR39" s="475">
        <v>170</v>
      </c>
      <c r="HS39" s="475">
        <v>0</v>
      </c>
      <c r="HT39" s="475">
        <v>0</v>
      </c>
      <c r="HU39" s="475">
        <v>0</v>
      </c>
      <c r="HV39" s="475">
        <v>0</v>
      </c>
      <c r="HW39" s="475">
        <v>0</v>
      </c>
      <c r="HX39" s="475">
        <v>0</v>
      </c>
      <c r="HY39" s="475">
        <v>0</v>
      </c>
      <c r="HZ39" s="475">
        <v>397</v>
      </c>
      <c r="IA39" s="475">
        <v>776</v>
      </c>
      <c r="IB39" s="475">
        <v>304</v>
      </c>
      <c r="IC39" s="475">
        <v>31</v>
      </c>
      <c r="ID39" s="475" t="s">
        <v>721</v>
      </c>
      <c r="IE39" s="475">
        <v>24</v>
      </c>
      <c r="IF39" s="475">
        <v>31</v>
      </c>
      <c r="IG39" s="475" t="s">
        <v>721</v>
      </c>
      <c r="IH39" s="475">
        <v>16</v>
      </c>
      <c r="II39" s="475" t="s">
        <v>721</v>
      </c>
      <c r="IJ39" s="475" t="s">
        <v>721</v>
      </c>
      <c r="IK39" s="475" t="s">
        <v>721</v>
      </c>
      <c r="IL39" s="475" t="s">
        <v>721</v>
      </c>
      <c r="IM39" s="475" t="s">
        <v>721</v>
      </c>
      <c r="IN39" s="475" t="s">
        <v>721</v>
      </c>
      <c r="IO39" s="475" t="s">
        <v>721</v>
      </c>
      <c r="IP39" s="475" t="s">
        <v>721</v>
      </c>
      <c r="IQ39" s="475">
        <v>14</v>
      </c>
      <c r="IR39" s="475">
        <v>55</v>
      </c>
      <c r="IS39" s="475">
        <v>223</v>
      </c>
      <c r="IT39" s="475">
        <v>360</v>
      </c>
      <c r="IU39" s="475">
        <v>178</v>
      </c>
      <c r="IV39" s="475">
        <v>22</v>
      </c>
      <c r="IW39" s="475" t="s">
        <v>721</v>
      </c>
      <c r="IX39" s="475" t="s">
        <v>721</v>
      </c>
      <c r="IY39" s="475">
        <v>24</v>
      </c>
      <c r="IZ39" s="475" t="s">
        <v>721</v>
      </c>
      <c r="JA39" s="475" t="s">
        <v>721</v>
      </c>
      <c r="JB39" s="475" t="s">
        <v>721</v>
      </c>
      <c r="JC39" s="475" t="s">
        <v>721</v>
      </c>
      <c r="JD39" s="475" t="s">
        <v>721</v>
      </c>
      <c r="JE39" s="475" t="s">
        <v>721</v>
      </c>
      <c r="JF39" s="475" t="s">
        <v>721</v>
      </c>
      <c r="JG39" s="475" t="s">
        <v>721</v>
      </c>
      <c r="JH39" s="475" t="s">
        <v>721</v>
      </c>
      <c r="JI39" s="475" t="s">
        <v>721</v>
      </c>
      <c r="JJ39" s="475" t="s">
        <v>721</v>
      </c>
      <c r="JK39" s="475">
        <v>23</v>
      </c>
      <c r="JL39" s="755">
        <v>1019199</v>
      </c>
      <c r="JM39" s="755">
        <v>2302788.5</v>
      </c>
      <c r="JN39" s="755">
        <v>1032990.5</v>
      </c>
      <c r="JO39" s="755">
        <v>84293.1</v>
      </c>
      <c r="JP39" s="755">
        <v>18891.099999999999</v>
      </c>
      <c r="JQ39" s="755">
        <v>93064.8</v>
      </c>
      <c r="JR39" s="755">
        <v>23794.3</v>
      </c>
      <c r="JS39" s="755">
        <v>145.1</v>
      </c>
      <c r="JT39" s="755">
        <v>76748.100000000006</v>
      </c>
      <c r="JU39" s="755">
        <v>24831.200000000001</v>
      </c>
      <c r="JV39" s="755">
        <v>1719.1</v>
      </c>
      <c r="JW39" s="755">
        <v>34101.1</v>
      </c>
      <c r="JX39" s="755">
        <v>7102.6</v>
      </c>
      <c r="JY39" s="755">
        <v>35111</v>
      </c>
      <c r="JZ39" s="755">
        <v>2668.2</v>
      </c>
      <c r="KA39" s="755">
        <v>1136.9000000000001</v>
      </c>
      <c r="KB39" s="755">
        <v>4717.6000000000004</v>
      </c>
      <c r="KC39" s="755">
        <v>52122.3</v>
      </c>
      <c r="KD39" s="755">
        <v>100460.6</v>
      </c>
      <c r="KE39" s="475">
        <v>1133</v>
      </c>
      <c r="KF39" s="475">
        <v>2482</v>
      </c>
      <c r="KG39" s="475">
        <v>734</v>
      </c>
      <c r="KH39" s="475">
        <v>81</v>
      </c>
      <c r="KI39" s="475" t="s">
        <v>721</v>
      </c>
      <c r="KJ39" s="475">
        <v>93</v>
      </c>
      <c r="KK39" s="475">
        <v>22</v>
      </c>
      <c r="KL39" s="475" t="s">
        <v>721</v>
      </c>
      <c r="KM39" s="475">
        <v>37</v>
      </c>
      <c r="KN39" s="475">
        <v>14</v>
      </c>
      <c r="KO39" s="475" t="s">
        <v>721</v>
      </c>
      <c r="KP39" s="475">
        <v>26</v>
      </c>
      <c r="KQ39" s="475" t="s">
        <v>721</v>
      </c>
      <c r="KR39" s="475">
        <v>27</v>
      </c>
      <c r="KS39" s="475" t="s">
        <v>721</v>
      </c>
      <c r="KT39" s="475" t="s">
        <v>721</v>
      </c>
      <c r="KU39" s="475" t="s">
        <v>721</v>
      </c>
      <c r="KV39" s="475">
        <v>46</v>
      </c>
      <c r="KW39" s="475">
        <v>110</v>
      </c>
      <c r="KX39" s="475">
        <v>908</v>
      </c>
      <c r="KY39" s="475">
        <v>2587</v>
      </c>
      <c r="KZ39" s="475">
        <v>831</v>
      </c>
      <c r="LA39" s="475">
        <v>92</v>
      </c>
      <c r="LB39" s="475">
        <v>17</v>
      </c>
      <c r="LC39" s="475">
        <v>92</v>
      </c>
      <c r="LD39" s="475">
        <v>22</v>
      </c>
      <c r="LE39" s="475" t="s">
        <v>721</v>
      </c>
      <c r="LF39" s="475">
        <v>69</v>
      </c>
      <c r="LG39" s="475">
        <v>33</v>
      </c>
      <c r="LH39" s="475" t="s">
        <v>721</v>
      </c>
      <c r="LI39" s="475">
        <v>23</v>
      </c>
      <c r="LJ39" s="475">
        <v>14</v>
      </c>
      <c r="LK39" s="475">
        <v>48</v>
      </c>
      <c r="LL39" s="475" t="s">
        <v>721</v>
      </c>
      <c r="LM39" s="475" t="s">
        <v>721</v>
      </c>
      <c r="LN39" s="475" t="s">
        <v>721</v>
      </c>
      <c r="LO39" s="475">
        <v>43</v>
      </c>
      <c r="LP39" s="475">
        <v>102</v>
      </c>
      <c r="LQ39" s="475">
        <v>5299</v>
      </c>
      <c r="LR39" s="475">
        <v>11849</v>
      </c>
      <c r="LS39" s="475">
        <v>5592</v>
      </c>
      <c r="LT39" s="475">
        <v>403</v>
      </c>
      <c r="LU39" s="475">
        <v>111</v>
      </c>
      <c r="LV39" s="475">
        <v>429</v>
      </c>
      <c r="LW39" s="475">
        <v>156</v>
      </c>
      <c r="LX39" s="475" t="s">
        <v>721</v>
      </c>
      <c r="LY39" s="475">
        <v>366</v>
      </c>
      <c r="LZ39" s="475">
        <v>133</v>
      </c>
      <c r="MA39" s="475">
        <v>11</v>
      </c>
      <c r="MB39" s="475">
        <v>173</v>
      </c>
      <c r="MC39" s="475">
        <v>29</v>
      </c>
      <c r="MD39" s="475">
        <v>155</v>
      </c>
      <c r="ME39" s="475">
        <v>16</v>
      </c>
      <c r="MF39" s="475" t="s">
        <v>721</v>
      </c>
      <c r="MG39" s="475">
        <v>23</v>
      </c>
      <c r="MH39" s="475">
        <v>220</v>
      </c>
      <c r="MI39" s="475">
        <v>556</v>
      </c>
      <c r="MJ39" s="475">
        <v>2929</v>
      </c>
      <c r="MK39" s="475">
        <v>7306</v>
      </c>
      <c r="ML39" s="475">
        <v>3309</v>
      </c>
      <c r="MM39" s="475">
        <v>288</v>
      </c>
      <c r="MN39" s="475">
        <v>66</v>
      </c>
      <c r="MO39" s="475">
        <v>321</v>
      </c>
      <c r="MP39" s="475">
        <v>64</v>
      </c>
      <c r="MQ39" s="475" t="s">
        <v>721</v>
      </c>
      <c r="MR39" s="475">
        <v>300</v>
      </c>
      <c r="MS39" s="475">
        <v>95</v>
      </c>
      <c r="MT39" s="475" t="s">
        <v>721</v>
      </c>
      <c r="MU39" s="475">
        <v>117</v>
      </c>
      <c r="MV39" s="475">
        <v>30</v>
      </c>
      <c r="MW39" s="475">
        <v>135</v>
      </c>
      <c r="MX39" s="475" t="s">
        <v>721</v>
      </c>
      <c r="MY39" s="475" t="s">
        <v>721</v>
      </c>
      <c r="MZ39" s="475">
        <v>17</v>
      </c>
      <c r="NA39" s="475">
        <v>195</v>
      </c>
      <c r="NB39" s="475">
        <v>311</v>
      </c>
      <c r="NC39" s="476">
        <v>0.56399999999999995</v>
      </c>
      <c r="ND39" s="476">
        <v>0.436</v>
      </c>
      <c r="NE39" s="476">
        <v>0.20100000000000001</v>
      </c>
      <c r="NF39" s="476">
        <v>0.46700000000000003</v>
      </c>
      <c r="NG39" s="476">
        <v>0.217</v>
      </c>
      <c r="NH39" s="476">
        <v>1.7000000000000001E-2</v>
      </c>
      <c r="NI39" s="476">
        <v>4.0000000000000001E-3</v>
      </c>
      <c r="NJ39" s="476">
        <v>1.7999999999999999E-2</v>
      </c>
      <c r="NK39" s="476">
        <v>5.0000000000000001E-3</v>
      </c>
      <c r="NL39" s="476" t="s">
        <v>721</v>
      </c>
      <c r="NM39" s="476">
        <v>1.6E-2</v>
      </c>
      <c r="NN39" s="476">
        <v>6.0000000000000001E-3</v>
      </c>
      <c r="NO39" s="476">
        <v>0</v>
      </c>
      <c r="NP39" s="476">
        <v>7.0000000000000001E-3</v>
      </c>
      <c r="NQ39" s="476">
        <v>1E-3</v>
      </c>
      <c r="NR39" s="476">
        <v>7.0000000000000001E-3</v>
      </c>
      <c r="NS39" s="476">
        <v>1E-3</v>
      </c>
      <c r="NT39" s="476" t="s">
        <v>721</v>
      </c>
      <c r="NU39" s="476">
        <v>1E-3</v>
      </c>
      <c r="NV39" s="476">
        <v>0.01</v>
      </c>
      <c r="NW39" s="476">
        <v>2.1000000000000001E-2</v>
      </c>
      <c r="NX39" s="476">
        <v>1E-3</v>
      </c>
      <c r="NY39" s="476">
        <v>0.22500000000000001</v>
      </c>
      <c r="NZ39" s="476">
        <v>4.0000000000000001E-3</v>
      </c>
      <c r="OA39" s="476" t="s">
        <v>721</v>
      </c>
      <c r="OB39" s="476">
        <v>6.0000000000000001E-3</v>
      </c>
      <c r="OC39" s="476">
        <v>6.0000000000000001E-3</v>
      </c>
      <c r="OD39" s="476">
        <v>8.9999999999999993E-3</v>
      </c>
      <c r="OE39" s="476">
        <v>0.70299999999999996</v>
      </c>
      <c r="OF39" s="476">
        <v>1E-3</v>
      </c>
      <c r="OG39" s="476">
        <v>1E-3</v>
      </c>
      <c r="OH39" s="476">
        <v>0.01</v>
      </c>
      <c r="OI39" s="476">
        <v>1E-3</v>
      </c>
      <c r="OJ39" s="476">
        <v>4.0000000000000001E-3</v>
      </c>
      <c r="OK39" s="476">
        <v>2E-3</v>
      </c>
      <c r="OL39" s="476" t="s">
        <v>721</v>
      </c>
      <c r="OM39" s="476" t="s">
        <v>721</v>
      </c>
      <c r="ON39" s="476" t="s">
        <v>721</v>
      </c>
      <c r="OO39" s="476">
        <v>1E-3</v>
      </c>
      <c r="OP39" s="476" t="s">
        <v>721</v>
      </c>
      <c r="OQ39" s="476" t="s">
        <v>721</v>
      </c>
      <c r="OR39" s="476" t="s">
        <v>721</v>
      </c>
      <c r="OS39" s="476" t="s">
        <v>721</v>
      </c>
      <c r="OT39" s="476">
        <v>1E-3</v>
      </c>
      <c r="OU39" s="476" t="s">
        <v>721</v>
      </c>
      <c r="OV39" s="476" t="s">
        <v>721</v>
      </c>
      <c r="OW39" s="476">
        <v>1.0999999999999999E-2</v>
      </c>
      <c r="OX39" s="476">
        <v>0</v>
      </c>
      <c r="OY39" s="476">
        <v>1E-3</v>
      </c>
      <c r="OZ39" s="476">
        <v>3.0000000000000001E-3</v>
      </c>
      <c r="PA39" s="476">
        <v>8.9999999999999993E-3</v>
      </c>
      <c r="PB39" s="476">
        <v>0</v>
      </c>
      <c r="PC39" s="476">
        <v>0</v>
      </c>
      <c r="PD39" s="476" t="s">
        <v>721</v>
      </c>
      <c r="PE39" s="476" t="s">
        <v>721</v>
      </c>
      <c r="PF39" s="476">
        <v>9.4E-2</v>
      </c>
      <c r="PG39" s="476">
        <v>1E-3</v>
      </c>
      <c r="PH39" s="476" t="s">
        <v>721</v>
      </c>
      <c r="PI39" s="476">
        <v>2E-3</v>
      </c>
      <c r="PJ39" s="476">
        <v>1E-3</v>
      </c>
      <c r="PK39" s="476">
        <v>1E-3</v>
      </c>
      <c r="PL39" s="476">
        <v>0.88500000000000001</v>
      </c>
      <c r="PM39" s="476">
        <v>2E-3</v>
      </c>
      <c r="PN39" s="476" t="s">
        <v>721</v>
      </c>
      <c r="PO39" s="476">
        <v>3.0000000000000001E-3</v>
      </c>
      <c r="PP39" s="476">
        <v>1E-3</v>
      </c>
      <c r="PQ39" s="476">
        <v>1E-3</v>
      </c>
      <c r="PR39" s="476">
        <v>1E-3</v>
      </c>
      <c r="PS39" s="476" t="s">
        <v>721</v>
      </c>
      <c r="PT39" s="476" t="s">
        <v>721</v>
      </c>
      <c r="PU39" s="476" t="s">
        <v>721</v>
      </c>
      <c r="PV39" s="476" t="s">
        <v>721</v>
      </c>
      <c r="PW39" s="476" t="s">
        <v>721</v>
      </c>
      <c r="PX39" s="476" t="s">
        <v>721</v>
      </c>
      <c r="PY39" s="476" t="s">
        <v>721</v>
      </c>
      <c r="PZ39" s="476" t="s">
        <v>721</v>
      </c>
      <c r="QA39" s="476" t="s">
        <v>721</v>
      </c>
      <c r="QB39" s="476" t="s">
        <v>721</v>
      </c>
      <c r="QC39" s="476" t="s">
        <v>721</v>
      </c>
      <c r="QD39" s="476">
        <v>2E-3</v>
      </c>
      <c r="QE39" s="476" t="s">
        <v>721</v>
      </c>
      <c r="QF39" s="476" t="s">
        <v>721</v>
      </c>
      <c r="QG39" s="476">
        <v>1E-3</v>
      </c>
      <c r="QH39" s="476">
        <v>3.0000000000000001E-3</v>
      </c>
      <c r="QI39" s="476" t="s">
        <v>721</v>
      </c>
      <c r="QJ39" s="476" t="s">
        <v>721</v>
      </c>
      <c r="QK39" s="476" t="s">
        <v>721</v>
      </c>
      <c r="QL39" s="476">
        <v>0.23599999999999999</v>
      </c>
      <c r="QM39" s="476">
        <v>0.46200000000000002</v>
      </c>
      <c r="QN39" s="476">
        <v>0.18099999999999999</v>
      </c>
      <c r="QO39" s="476">
        <v>1.7999999999999999E-2</v>
      </c>
      <c r="QP39" s="476" t="s">
        <v>721</v>
      </c>
      <c r="QQ39" s="476">
        <v>1.4E-2</v>
      </c>
      <c r="QR39" s="476">
        <v>1.7999999999999999E-2</v>
      </c>
      <c r="QS39" s="476" t="s">
        <v>721</v>
      </c>
      <c r="QT39" s="476">
        <v>0.01</v>
      </c>
      <c r="QU39" s="476" t="s">
        <v>721</v>
      </c>
      <c r="QV39" s="476" t="s">
        <v>721</v>
      </c>
      <c r="QW39" s="476" t="s">
        <v>721</v>
      </c>
      <c r="QX39" s="476" t="s">
        <v>721</v>
      </c>
      <c r="QY39" s="476" t="s">
        <v>721</v>
      </c>
      <c r="QZ39" s="476" t="s">
        <v>721</v>
      </c>
      <c r="RA39" s="476" t="s">
        <v>721</v>
      </c>
      <c r="RB39" s="476" t="s">
        <v>721</v>
      </c>
      <c r="RC39" s="476">
        <v>8.0000000000000002E-3</v>
      </c>
      <c r="RD39" s="476">
        <v>3.3000000000000002E-2</v>
      </c>
      <c r="RE39" s="476">
        <v>0.26</v>
      </c>
      <c r="RF39" s="476">
        <v>0.42</v>
      </c>
      <c r="RG39" s="476">
        <v>0.20699999999999999</v>
      </c>
      <c r="RH39" s="476">
        <v>2.5999999999999999E-2</v>
      </c>
      <c r="RI39" s="476" t="s">
        <v>721</v>
      </c>
      <c r="RJ39" s="476" t="s">
        <v>721</v>
      </c>
      <c r="RK39" s="476">
        <v>2.8000000000000001E-2</v>
      </c>
      <c r="RL39" s="476" t="s">
        <v>721</v>
      </c>
      <c r="RM39" s="476" t="s">
        <v>721</v>
      </c>
      <c r="RN39" s="476" t="s">
        <v>721</v>
      </c>
      <c r="RO39" s="476" t="s">
        <v>721</v>
      </c>
      <c r="RP39" s="476" t="s">
        <v>721</v>
      </c>
      <c r="RQ39" s="476" t="s">
        <v>721</v>
      </c>
      <c r="RR39" s="476" t="s">
        <v>721</v>
      </c>
      <c r="RS39" s="476" t="s">
        <v>721</v>
      </c>
      <c r="RT39" s="476" t="s">
        <v>721</v>
      </c>
      <c r="RU39" s="476" t="s">
        <v>721</v>
      </c>
      <c r="RV39" s="476" t="s">
        <v>721</v>
      </c>
      <c r="RW39" s="476">
        <v>2.7E-2</v>
      </c>
      <c r="RX39" s="476">
        <v>0.20699999999999999</v>
      </c>
      <c r="RY39" s="476">
        <v>0.46800000000000003</v>
      </c>
      <c r="RZ39" s="476">
        <v>0.21</v>
      </c>
      <c r="SA39" s="476">
        <v>1.7000000000000001E-2</v>
      </c>
      <c r="SB39" s="476">
        <v>4.0000000000000001E-3</v>
      </c>
      <c r="SC39" s="476">
        <v>1.9E-2</v>
      </c>
      <c r="SD39" s="476">
        <v>5.0000000000000001E-3</v>
      </c>
      <c r="SE39" s="476">
        <v>0</v>
      </c>
      <c r="SF39" s="476">
        <v>1.6E-2</v>
      </c>
      <c r="SG39" s="476">
        <v>5.0000000000000001E-3</v>
      </c>
      <c r="SH39" s="476">
        <v>0</v>
      </c>
      <c r="SI39" s="476">
        <v>7.0000000000000001E-3</v>
      </c>
      <c r="SJ39" s="476">
        <v>1E-3</v>
      </c>
      <c r="SK39" s="476">
        <v>7.0000000000000001E-3</v>
      </c>
      <c r="SL39" s="476">
        <v>1E-3</v>
      </c>
      <c r="SM39" s="476">
        <v>0</v>
      </c>
      <c r="SN39" s="476">
        <v>1E-3</v>
      </c>
      <c r="SO39" s="476">
        <v>1.0999999999999999E-2</v>
      </c>
      <c r="SP39" s="476">
        <v>0.02</v>
      </c>
      <c r="SQ39" s="476">
        <v>0.23400000000000001</v>
      </c>
      <c r="SR39" s="476">
        <v>0.51400000000000001</v>
      </c>
      <c r="SS39" s="476">
        <v>0.152</v>
      </c>
      <c r="ST39" s="476">
        <v>1.7000000000000001E-2</v>
      </c>
      <c r="SU39" s="476" t="s">
        <v>721</v>
      </c>
      <c r="SV39" s="476">
        <v>1.9E-2</v>
      </c>
      <c r="SW39" s="476">
        <v>5.0000000000000001E-3</v>
      </c>
      <c r="SX39" s="476" t="s">
        <v>721</v>
      </c>
      <c r="SY39" s="476">
        <v>8.0000000000000002E-3</v>
      </c>
      <c r="SZ39" s="476">
        <v>3.0000000000000001E-3</v>
      </c>
      <c r="TA39" s="476" t="s">
        <v>721</v>
      </c>
      <c r="TB39" s="476">
        <v>5.0000000000000001E-3</v>
      </c>
      <c r="TC39" s="476" t="s">
        <v>721</v>
      </c>
      <c r="TD39" s="476">
        <v>6.0000000000000001E-3</v>
      </c>
      <c r="TE39" s="476" t="s">
        <v>721</v>
      </c>
      <c r="TF39" s="476" t="s">
        <v>721</v>
      </c>
      <c r="TG39" s="476" t="s">
        <v>721</v>
      </c>
      <c r="TH39" s="476">
        <v>0.01</v>
      </c>
      <c r="TI39" s="476">
        <v>2.3E-2</v>
      </c>
      <c r="TJ39" s="476">
        <v>0.186</v>
      </c>
      <c r="TK39" s="476">
        <v>0.52900000000000003</v>
      </c>
      <c r="TL39" s="476">
        <v>0.17</v>
      </c>
      <c r="TM39" s="476">
        <v>1.9E-2</v>
      </c>
      <c r="TN39" s="476">
        <v>3.0000000000000001E-3</v>
      </c>
      <c r="TO39" s="476">
        <v>1.9E-2</v>
      </c>
      <c r="TP39" s="476">
        <v>4.0000000000000001E-3</v>
      </c>
      <c r="TQ39" s="476" t="s">
        <v>721</v>
      </c>
      <c r="TR39" s="476">
        <v>1.4E-2</v>
      </c>
      <c r="TS39" s="476">
        <v>7.0000000000000001E-3</v>
      </c>
      <c r="TT39" s="476" t="s">
        <v>721</v>
      </c>
      <c r="TU39" s="476">
        <v>5.0000000000000001E-3</v>
      </c>
      <c r="TV39" s="476">
        <v>3.0000000000000001E-3</v>
      </c>
      <c r="TW39" s="476">
        <v>0.01</v>
      </c>
      <c r="TX39" s="476" t="s">
        <v>721</v>
      </c>
      <c r="TY39" s="476" t="s">
        <v>721</v>
      </c>
      <c r="TZ39" s="476" t="s">
        <v>721</v>
      </c>
      <c r="UA39" s="476">
        <v>8.9999999999999993E-3</v>
      </c>
      <c r="UB39" s="476">
        <v>2.1000000000000001E-2</v>
      </c>
      <c r="UC39" s="476">
        <v>0.20799999999999999</v>
      </c>
      <c r="UD39" s="476">
        <v>0.46400000000000002</v>
      </c>
      <c r="UE39" s="476">
        <v>0.219</v>
      </c>
      <c r="UF39" s="476">
        <v>1.6E-2</v>
      </c>
      <c r="UG39" s="476">
        <v>4.0000000000000001E-3</v>
      </c>
      <c r="UH39" s="476">
        <v>1.7000000000000001E-2</v>
      </c>
      <c r="UI39" s="476">
        <v>6.0000000000000001E-3</v>
      </c>
      <c r="UJ39" s="476" t="s">
        <v>721</v>
      </c>
      <c r="UK39" s="476">
        <v>1.4E-2</v>
      </c>
      <c r="UL39" s="476">
        <v>5.0000000000000001E-3</v>
      </c>
      <c r="UM39" s="476">
        <v>0</v>
      </c>
      <c r="UN39" s="476">
        <v>7.0000000000000001E-3</v>
      </c>
      <c r="UO39" s="476">
        <v>1E-3</v>
      </c>
      <c r="UP39" s="476">
        <v>6.0000000000000001E-3</v>
      </c>
      <c r="UQ39" s="476">
        <v>1E-3</v>
      </c>
      <c r="UR39" s="476" t="s">
        <v>721</v>
      </c>
      <c r="US39" s="476">
        <v>1E-3</v>
      </c>
      <c r="UT39" s="476">
        <v>8.9999999999999993E-3</v>
      </c>
      <c r="UU39" s="476">
        <v>2.1999999999999999E-2</v>
      </c>
      <c r="UV39" s="476">
        <v>0.189</v>
      </c>
      <c r="UW39" s="476">
        <v>0.47199999999999998</v>
      </c>
      <c r="UX39" s="476">
        <v>0.214</v>
      </c>
      <c r="UY39" s="476">
        <v>1.9E-2</v>
      </c>
      <c r="UZ39" s="476">
        <v>4.0000000000000001E-3</v>
      </c>
      <c r="VA39" s="476">
        <v>2.1000000000000001E-2</v>
      </c>
      <c r="VB39" s="476">
        <v>4.0000000000000001E-3</v>
      </c>
      <c r="VC39" s="476" t="s">
        <v>721</v>
      </c>
      <c r="VD39" s="476">
        <v>1.9E-2</v>
      </c>
      <c r="VE39" s="476">
        <v>6.0000000000000001E-3</v>
      </c>
      <c r="VF39" s="476" t="s">
        <v>721</v>
      </c>
      <c r="VG39" s="476">
        <v>8.0000000000000002E-3</v>
      </c>
      <c r="VH39" s="476">
        <v>2E-3</v>
      </c>
      <c r="VI39" s="476">
        <v>8.9999999999999993E-3</v>
      </c>
      <c r="VJ39" s="476" t="s">
        <v>721</v>
      </c>
      <c r="VK39" s="476" t="s">
        <v>721</v>
      </c>
      <c r="VL39" s="476">
        <v>1E-3</v>
      </c>
      <c r="VM39" s="476">
        <v>1.2999999999999999E-2</v>
      </c>
      <c r="VN39" s="476">
        <v>0.02</v>
      </c>
      <c r="VO39" s="28"/>
      <c r="VP39" s="28"/>
      <c r="VQ39" s="28"/>
      <c r="VR39" s="28"/>
      <c r="VS39" s="28"/>
      <c r="VT39" s="28"/>
      <c r="VU39" s="28"/>
      <c r="VV39" s="28"/>
      <c r="VW39" s="28"/>
      <c r="VX39" s="28"/>
      <c r="VY39" s="28"/>
      <c r="VZ39" s="28"/>
      <c r="WA39" s="28"/>
      <c r="WB39" s="28"/>
      <c r="WC39" s="28"/>
      <c r="WD39" s="28"/>
      <c r="WE39" s="28"/>
      <c r="WF39" s="28"/>
      <c r="WG39" s="28"/>
      <c r="WH39" s="28"/>
      <c r="WI39" s="28"/>
      <c r="WJ39" s="28"/>
      <c r="WK39" s="28"/>
      <c r="WL39" s="28"/>
      <c r="WM39" s="28"/>
      <c r="WN39" s="28"/>
      <c r="WO39" s="28"/>
      <c r="WP39" s="28"/>
      <c r="WQ39" s="28"/>
      <c r="WR39" s="28"/>
      <c r="WS39" s="28"/>
      <c r="WT39" s="28"/>
      <c r="WU39" s="28"/>
      <c r="WV39" s="28"/>
      <c r="WW39" s="28"/>
    </row>
    <row r="40" spans="1:621" s="151" customFormat="1" ht="15.75" customHeight="1" x14ac:dyDescent="0.35">
      <c r="A40" s="477" t="s">
        <v>6</v>
      </c>
      <c r="B40" s="492" t="s">
        <v>12</v>
      </c>
      <c r="C40" s="493">
        <v>17</v>
      </c>
      <c r="D40" s="494">
        <v>40234</v>
      </c>
      <c r="E40" s="473">
        <v>4711411.0999999996</v>
      </c>
      <c r="F40" s="473">
        <v>117.1</v>
      </c>
      <c r="G40" s="474">
        <v>40179</v>
      </c>
      <c r="H40" s="474">
        <v>35318</v>
      </c>
      <c r="I40" s="474">
        <v>23756</v>
      </c>
      <c r="J40" s="474">
        <v>19051</v>
      </c>
      <c r="K40" s="474">
        <v>12743</v>
      </c>
      <c r="L40" s="473">
        <v>2113754.7000000002</v>
      </c>
      <c r="M40" s="474">
        <v>27275</v>
      </c>
      <c r="N40" s="473">
        <v>2597656.4</v>
      </c>
      <c r="O40" s="494">
        <v>5725</v>
      </c>
      <c r="P40" s="495">
        <v>1033601.5</v>
      </c>
      <c r="Q40" s="494">
        <v>4199</v>
      </c>
      <c r="R40" s="495">
        <v>157845.20000000001</v>
      </c>
      <c r="S40" s="494">
        <v>13076</v>
      </c>
      <c r="T40" s="495">
        <v>1287699.3</v>
      </c>
      <c r="U40" s="494">
        <v>592</v>
      </c>
      <c r="V40" s="495">
        <v>74960.3</v>
      </c>
      <c r="W40" s="494">
        <v>26566</v>
      </c>
      <c r="X40" s="495">
        <v>3348751.5</v>
      </c>
      <c r="Y40" s="494">
        <v>35613</v>
      </c>
      <c r="Z40" s="494">
        <v>22022</v>
      </c>
      <c r="AA40" s="494">
        <v>26839</v>
      </c>
      <c r="AB40" s="494">
        <v>19462</v>
      </c>
      <c r="AC40" s="494">
        <v>1640</v>
      </c>
      <c r="AD40" s="494">
        <v>9301</v>
      </c>
      <c r="AE40" s="494">
        <v>17640</v>
      </c>
      <c r="AF40" s="495">
        <v>1199779</v>
      </c>
      <c r="AG40" s="494">
        <v>19984</v>
      </c>
      <c r="AH40" s="495">
        <v>3332500</v>
      </c>
      <c r="AI40" s="494">
        <v>1163</v>
      </c>
      <c r="AJ40" s="495">
        <v>50750.2</v>
      </c>
      <c r="AK40" s="494">
        <v>1231</v>
      </c>
      <c r="AL40" s="495">
        <v>128381.9</v>
      </c>
      <c r="AM40" s="496">
        <v>23342</v>
      </c>
      <c r="AN40" s="496">
        <v>16892</v>
      </c>
      <c r="AO40" s="496">
        <v>12456</v>
      </c>
      <c r="AP40" s="496">
        <v>13026</v>
      </c>
      <c r="AQ40" s="496">
        <v>3839</v>
      </c>
      <c r="AR40" s="496">
        <v>1394</v>
      </c>
      <c r="AS40" s="496">
        <v>151</v>
      </c>
      <c r="AT40" s="496">
        <v>2503</v>
      </c>
      <c r="AU40" s="496">
        <v>437</v>
      </c>
      <c r="AV40" s="496" t="s">
        <v>721</v>
      </c>
      <c r="AW40" s="496">
        <v>802</v>
      </c>
      <c r="AX40" s="496">
        <v>250</v>
      </c>
      <c r="AY40" s="496">
        <v>60</v>
      </c>
      <c r="AZ40" s="496">
        <v>162</v>
      </c>
      <c r="BA40" s="496">
        <v>49</v>
      </c>
      <c r="BB40" s="496">
        <v>219</v>
      </c>
      <c r="BC40" s="496">
        <v>13</v>
      </c>
      <c r="BD40" s="496">
        <v>24</v>
      </c>
      <c r="BE40" s="496">
        <v>350</v>
      </c>
      <c r="BF40" s="496">
        <v>1975</v>
      </c>
      <c r="BG40" s="496">
        <v>2515</v>
      </c>
      <c r="BH40" s="496">
        <v>63</v>
      </c>
      <c r="BI40" s="496">
        <v>8682</v>
      </c>
      <c r="BJ40" s="496">
        <v>216</v>
      </c>
      <c r="BK40" s="496">
        <v>13</v>
      </c>
      <c r="BL40" s="496">
        <v>110</v>
      </c>
      <c r="BM40" s="496">
        <v>1508</v>
      </c>
      <c r="BN40" s="496">
        <v>817</v>
      </c>
      <c r="BO40" s="496">
        <v>21251</v>
      </c>
      <c r="BP40" s="496">
        <v>31</v>
      </c>
      <c r="BQ40" s="496">
        <v>19</v>
      </c>
      <c r="BR40" s="496">
        <v>398</v>
      </c>
      <c r="BS40" s="496">
        <v>67</v>
      </c>
      <c r="BT40" s="496">
        <v>230</v>
      </c>
      <c r="BU40" s="496">
        <v>31</v>
      </c>
      <c r="BV40" s="496">
        <v>19</v>
      </c>
      <c r="BW40" s="496" t="s">
        <v>721</v>
      </c>
      <c r="BX40" s="496">
        <v>21</v>
      </c>
      <c r="BY40" s="496">
        <v>328</v>
      </c>
      <c r="BZ40" s="496" t="s">
        <v>721</v>
      </c>
      <c r="CA40" s="496" t="s">
        <v>721</v>
      </c>
      <c r="CB40" s="496" t="s">
        <v>721</v>
      </c>
      <c r="CC40" s="496" t="s">
        <v>721</v>
      </c>
      <c r="CD40" s="496">
        <v>703</v>
      </c>
      <c r="CE40" s="496">
        <v>16</v>
      </c>
      <c r="CF40" s="496">
        <v>19</v>
      </c>
      <c r="CG40" s="496">
        <v>2884</v>
      </c>
      <c r="CH40" s="496">
        <v>21</v>
      </c>
      <c r="CI40" s="496" t="s">
        <v>721</v>
      </c>
      <c r="CJ40" s="496">
        <v>805</v>
      </c>
      <c r="CK40" s="496">
        <v>1938</v>
      </c>
      <c r="CL40" s="496" t="s">
        <v>721</v>
      </c>
      <c r="CM40" s="496" t="s">
        <v>721</v>
      </c>
      <c r="CN40" s="496" t="s">
        <v>721</v>
      </c>
      <c r="CO40" s="496">
        <v>22</v>
      </c>
      <c r="CP40" s="496">
        <v>6646</v>
      </c>
      <c r="CQ40" s="496">
        <v>64</v>
      </c>
      <c r="CR40" s="496">
        <v>22</v>
      </c>
      <c r="CS40" s="496">
        <v>76</v>
      </c>
      <c r="CT40" s="496">
        <v>773</v>
      </c>
      <c r="CU40" s="496">
        <v>556</v>
      </c>
      <c r="CV40" s="496">
        <v>23646</v>
      </c>
      <c r="CW40" s="496">
        <v>101</v>
      </c>
      <c r="CX40" s="496" t="s">
        <v>721</v>
      </c>
      <c r="CY40" s="496">
        <v>84</v>
      </c>
      <c r="CZ40" s="496">
        <v>167</v>
      </c>
      <c r="DA40" s="496">
        <v>62</v>
      </c>
      <c r="DB40" s="496">
        <v>11</v>
      </c>
      <c r="DC40" s="496" t="s">
        <v>721</v>
      </c>
      <c r="DD40" s="496" t="s">
        <v>721</v>
      </c>
      <c r="DE40" s="496" t="s">
        <v>721</v>
      </c>
      <c r="DF40" s="496">
        <v>122</v>
      </c>
      <c r="DG40" s="496" t="s">
        <v>721</v>
      </c>
      <c r="DH40" s="496" t="s">
        <v>721</v>
      </c>
      <c r="DI40" s="496" t="s">
        <v>721</v>
      </c>
      <c r="DJ40" s="496" t="s">
        <v>721</v>
      </c>
      <c r="DK40" s="496">
        <v>252</v>
      </c>
      <c r="DL40" s="496">
        <v>14</v>
      </c>
      <c r="DM40" s="496" t="s">
        <v>721</v>
      </c>
      <c r="DN40" s="496">
        <v>1536</v>
      </c>
      <c r="DO40" s="496" t="s">
        <v>721</v>
      </c>
      <c r="DP40" s="496" t="s">
        <v>721</v>
      </c>
      <c r="DQ40" s="496">
        <v>296</v>
      </c>
      <c r="DR40" s="496">
        <v>1097</v>
      </c>
      <c r="DS40" s="483" t="s">
        <v>721</v>
      </c>
      <c r="DT40" s="483" t="s">
        <v>721</v>
      </c>
      <c r="DU40" s="483" t="s">
        <v>721</v>
      </c>
      <c r="DV40" s="496">
        <v>4911</v>
      </c>
      <c r="DW40" s="497">
        <v>831497.1</v>
      </c>
      <c r="DX40" s="496">
        <v>6735</v>
      </c>
      <c r="DY40" s="497">
        <v>1062120.6000000001</v>
      </c>
      <c r="DZ40" s="496">
        <v>7463</v>
      </c>
      <c r="EA40" s="497">
        <v>730082.6</v>
      </c>
      <c r="EB40" s="496">
        <v>7187</v>
      </c>
      <c r="EC40" s="497">
        <v>641876.6</v>
      </c>
      <c r="ED40" s="496">
        <v>7794</v>
      </c>
      <c r="EE40" s="497">
        <v>742608.1</v>
      </c>
      <c r="EF40" s="496">
        <v>6144</v>
      </c>
      <c r="EG40" s="497">
        <v>703226.1</v>
      </c>
      <c r="EH40" s="485">
        <v>31941</v>
      </c>
      <c r="EI40" s="486">
        <v>89727.9</v>
      </c>
      <c r="EJ40" s="485">
        <v>32309</v>
      </c>
      <c r="EK40" s="486">
        <v>697300.7</v>
      </c>
      <c r="EL40" s="485">
        <v>31710</v>
      </c>
      <c r="EM40" s="486">
        <v>265753.2</v>
      </c>
      <c r="EN40" s="485">
        <v>33847</v>
      </c>
      <c r="EO40" s="486">
        <v>166345.60000000001</v>
      </c>
      <c r="EP40" s="485">
        <v>31885</v>
      </c>
      <c r="EQ40" s="486">
        <v>84518.6</v>
      </c>
      <c r="ER40" s="485">
        <v>31854</v>
      </c>
      <c r="ES40" s="486">
        <v>64730</v>
      </c>
      <c r="ET40" s="485">
        <v>9</v>
      </c>
      <c r="EU40" s="485">
        <v>28400</v>
      </c>
      <c r="EV40" s="486">
        <v>454977.6</v>
      </c>
      <c r="EW40" s="485">
        <v>4872</v>
      </c>
      <c r="EX40" s="486">
        <v>23540.3</v>
      </c>
      <c r="EY40" s="485">
        <v>10870</v>
      </c>
      <c r="EZ40" s="486">
        <v>152658.70000000001</v>
      </c>
      <c r="FA40" s="485">
        <v>2646</v>
      </c>
      <c r="FB40" s="486">
        <v>28795.5</v>
      </c>
      <c r="FC40" s="485">
        <v>35220</v>
      </c>
      <c r="FD40" s="486">
        <v>471657.2</v>
      </c>
      <c r="FE40" s="485">
        <v>34521</v>
      </c>
      <c r="FF40" s="486">
        <v>281960.3</v>
      </c>
      <c r="FG40" s="485">
        <v>15990</v>
      </c>
      <c r="FH40" s="486">
        <v>148013.1</v>
      </c>
      <c r="FI40" s="485">
        <v>23179</v>
      </c>
      <c r="FJ40" s="486">
        <v>158809.79999999999</v>
      </c>
      <c r="FK40" s="485">
        <v>28741</v>
      </c>
      <c r="FL40" s="486">
        <v>97598.2</v>
      </c>
      <c r="FM40" s="485">
        <v>2091</v>
      </c>
      <c r="FN40" s="486">
        <v>5167.3</v>
      </c>
      <c r="FO40" s="485">
        <v>27662</v>
      </c>
      <c r="FP40" s="486">
        <v>246661.5</v>
      </c>
      <c r="FQ40" s="485">
        <v>26947</v>
      </c>
      <c r="FR40" s="486">
        <v>80656.899999999994</v>
      </c>
      <c r="FS40" s="485">
        <v>148</v>
      </c>
      <c r="FT40" s="486">
        <v>1166.0999999999999</v>
      </c>
      <c r="FU40" s="485">
        <v>0</v>
      </c>
      <c r="FV40" s="486">
        <v>0</v>
      </c>
      <c r="FW40" s="485">
        <v>0</v>
      </c>
      <c r="FX40" s="486">
        <v>0</v>
      </c>
      <c r="FY40" s="485">
        <v>0</v>
      </c>
      <c r="FZ40" s="486">
        <v>0</v>
      </c>
      <c r="GA40" s="485">
        <v>0</v>
      </c>
      <c r="GB40" s="485">
        <v>0</v>
      </c>
      <c r="GC40" s="487">
        <v>0</v>
      </c>
      <c r="GD40" s="488">
        <v>19</v>
      </c>
      <c r="GE40" s="488">
        <v>320</v>
      </c>
      <c r="GF40" s="488">
        <v>12432</v>
      </c>
      <c r="GG40" s="488">
        <v>40</v>
      </c>
      <c r="GH40" s="488">
        <v>19</v>
      </c>
      <c r="GI40" s="488">
        <v>23</v>
      </c>
      <c r="GJ40" s="488">
        <v>4</v>
      </c>
      <c r="GK40" s="488">
        <v>3421</v>
      </c>
      <c r="GL40" s="488">
        <v>9264</v>
      </c>
      <c r="GM40" s="488">
        <v>12771</v>
      </c>
      <c r="GN40" s="488">
        <v>35</v>
      </c>
      <c r="GO40" s="488">
        <v>1605</v>
      </c>
      <c r="GP40" s="488">
        <v>337</v>
      </c>
      <c r="GQ40" s="488">
        <v>341</v>
      </c>
      <c r="GR40" s="488">
        <v>7</v>
      </c>
      <c r="GS40" s="488">
        <v>685</v>
      </c>
      <c r="GT40" s="489">
        <v>29654</v>
      </c>
      <c r="GU40" s="488">
        <v>60</v>
      </c>
      <c r="GV40" s="490">
        <v>1</v>
      </c>
      <c r="GW40" s="490">
        <v>42</v>
      </c>
      <c r="GX40" s="490">
        <v>103</v>
      </c>
      <c r="GY40" s="491">
        <v>80</v>
      </c>
      <c r="GZ40" s="491">
        <v>53</v>
      </c>
      <c r="HA40" s="491">
        <v>133</v>
      </c>
      <c r="HB40" s="475">
        <v>3</v>
      </c>
      <c r="HC40" s="475">
        <v>19</v>
      </c>
      <c r="HD40" s="475">
        <v>0</v>
      </c>
      <c r="HE40" s="475">
        <v>0</v>
      </c>
      <c r="HF40" s="475">
        <v>3</v>
      </c>
      <c r="HG40" s="475">
        <v>3</v>
      </c>
      <c r="HH40" s="475">
        <v>14</v>
      </c>
      <c r="HI40" s="475">
        <v>0</v>
      </c>
      <c r="HJ40" s="475">
        <v>0</v>
      </c>
      <c r="HK40" s="475">
        <v>0</v>
      </c>
      <c r="HL40" s="475">
        <v>6</v>
      </c>
      <c r="HM40" s="475">
        <v>4</v>
      </c>
      <c r="HN40" s="475">
        <v>0</v>
      </c>
      <c r="HO40" s="475">
        <v>10</v>
      </c>
      <c r="HP40" s="475">
        <v>0</v>
      </c>
      <c r="HQ40" s="475">
        <v>3</v>
      </c>
      <c r="HR40" s="475">
        <v>177</v>
      </c>
      <c r="HS40" s="475">
        <v>0</v>
      </c>
      <c r="HT40" s="475">
        <v>0</v>
      </c>
      <c r="HU40" s="475">
        <v>0</v>
      </c>
      <c r="HV40" s="475">
        <v>0</v>
      </c>
      <c r="HW40" s="475">
        <v>0</v>
      </c>
      <c r="HX40" s="475">
        <v>0</v>
      </c>
      <c r="HY40" s="475">
        <v>0</v>
      </c>
      <c r="HZ40" s="475">
        <v>479</v>
      </c>
      <c r="IA40" s="475">
        <v>520</v>
      </c>
      <c r="IB40" s="475">
        <v>150</v>
      </c>
      <c r="IC40" s="475">
        <v>32</v>
      </c>
      <c r="ID40" s="475">
        <v>13</v>
      </c>
      <c r="IE40" s="475">
        <v>85</v>
      </c>
      <c r="IF40" s="475">
        <v>101</v>
      </c>
      <c r="IG40" s="475" t="s">
        <v>721</v>
      </c>
      <c r="IH40" s="475">
        <v>12</v>
      </c>
      <c r="II40" s="475" t="s">
        <v>721</v>
      </c>
      <c r="IJ40" s="475" t="s">
        <v>721</v>
      </c>
      <c r="IK40" s="475" t="s">
        <v>721</v>
      </c>
      <c r="IL40" s="475" t="s">
        <v>721</v>
      </c>
      <c r="IM40" s="475" t="s">
        <v>721</v>
      </c>
      <c r="IN40" s="475" t="s">
        <v>721</v>
      </c>
      <c r="IO40" s="475" t="s">
        <v>721</v>
      </c>
      <c r="IP40" s="475" t="s">
        <v>721</v>
      </c>
      <c r="IQ40" s="475">
        <v>42</v>
      </c>
      <c r="IR40" s="475">
        <v>142</v>
      </c>
      <c r="IS40" s="475">
        <v>244</v>
      </c>
      <c r="IT40" s="475">
        <v>221</v>
      </c>
      <c r="IU40" s="475">
        <v>70</v>
      </c>
      <c r="IV40" s="475" t="s">
        <v>721</v>
      </c>
      <c r="IW40" s="475" t="s">
        <v>721</v>
      </c>
      <c r="IX40" s="475">
        <v>24</v>
      </c>
      <c r="IY40" s="475">
        <v>35</v>
      </c>
      <c r="IZ40" s="475" t="s">
        <v>721</v>
      </c>
      <c r="JA40" s="475" t="s">
        <v>721</v>
      </c>
      <c r="JB40" s="475" t="s">
        <v>721</v>
      </c>
      <c r="JC40" s="475" t="s">
        <v>721</v>
      </c>
      <c r="JD40" s="475" t="s">
        <v>721</v>
      </c>
      <c r="JE40" s="475" t="s">
        <v>721</v>
      </c>
      <c r="JF40" s="475" t="s">
        <v>721</v>
      </c>
      <c r="JG40" s="475" t="s">
        <v>721</v>
      </c>
      <c r="JH40" s="475" t="s">
        <v>721</v>
      </c>
      <c r="JI40" s="475" t="s">
        <v>721</v>
      </c>
      <c r="JJ40" s="475">
        <v>15</v>
      </c>
      <c r="JK40" s="475">
        <v>44</v>
      </c>
      <c r="JL40" s="755">
        <v>1575551.5</v>
      </c>
      <c r="JM40" s="755">
        <v>1533469.3</v>
      </c>
      <c r="JN40" s="755">
        <v>436603.1</v>
      </c>
      <c r="JO40" s="755">
        <v>167375</v>
      </c>
      <c r="JP40" s="755">
        <v>15602</v>
      </c>
      <c r="JQ40" s="755">
        <v>270163</v>
      </c>
      <c r="JR40" s="755">
        <v>43126.5</v>
      </c>
      <c r="JS40" s="755">
        <v>1447.9</v>
      </c>
      <c r="JT40" s="755">
        <v>81806.5</v>
      </c>
      <c r="JU40" s="755">
        <v>23809.5</v>
      </c>
      <c r="JV40" s="755">
        <v>8841</v>
      </c>
      <c r="JW40" s="755">
        <v>20398.599999999999</v>
      </c>
      <c r="JX40" s="755">
        <v>6124.7</v>
      </c>
      <c r="JY40" s="755">
        <v>26839.4</v>
      </c>
      <c r="JZ40" s="755">
        <v>1756.2</v>
      </c>
      <c r="KA40" s="755">
        <v>2491.9</v>
      </c>
      <c r="KB40" s="755">
        <v>35994.6</v>
      </c>
      <c r="KC40" s="755">
        <v>206806.5</v>
      </c>
      <c r="KD40" s="755">
        <v>253203.9</v>
      </c>
      <c r="KE40" s="475">
        <v>2259</v>
      </c>
      <c r="KF40" s="475">
        <v>1815</v>
      </c>
      <c r="KG40" s="475">
        <v>484</v>
      </c>
      <c r="KH40" s="475">
        <v>165</v>
      </c>
      <c r="KI40" s="475">
        <v>14</v>
      </c>
      <c r="KJ40" s="475">
        <v>310</v>
      </c>
      <c r="KK40" s="475">
        <v>65</v>
      </c>
      <c r="KL40" s="475" t="s">
        <v>721</v>
      </c>
      <c r="KM40" s="475">
        <v>67</v>
      </c>
      <c r="KN40" s="475">
        <v>15</v>
      </c>
      <c r="KO40" s="475">
        <v>18</v>
      </c>
      <c r="KP40" s="475">
        <v>35</v>
      </c>
      <c r="KQ40" s="475" t="s">
        <v>721</v>
      </c>
      <c r="KR40" s="475">
        <v>28</v>
      </c>
      <c r="KS40" s="475" t="s">
        <v>721</v>
      </c>
      <c r="KT40" s="475" t="s">
        <v>721</v>
      </c>
      <c r="KU40" s="475">
        <v>18</v>
      </c>
      <c r="KV40" s="475">
        <v>128</v>
      </c>
      <c r="KW40" s="475">
        <v>286</v>
      </c>
      <c r="KX40" s="475">
        <v>1355</v>
      </c>
      <c r="KY40" s="475">
        <v>1545</v>
      </c>
      <c r="KZ40" s="475">
        <v>315</v>
      </c>
      <c r="LA40" s="475">
        <v>157</v>
      </c>
      <c r="LB40" s="475">
        <v>11</v>
      </c>
      <c r="LC40" s="475">
        <v>296</v>
      </c>
      <c r="LD40" s="475">
        <v>18</v>
      </c>
      <c r="LE40" s="475" t="s">
        <v>721</v>
      </c>
      <c r="LF40" s="475">
        <v>57</v>
      </c>
      <c r="LG40" s="475">
        <v>30</v>
      </c>
      <c r="LH40" s="475" t="s">
        <v>721</v>
      </c>
      <c r="LI40" s="475" t="s">
        <v>721</v>
      </c>
      <c r="LJ40" s="475" t="s">
        <v>721</v>
      </c>
      <c r="LK40" s="475">
        <v>21</v>
      </c>
      <c r="LL40" s="475" t="s">
        <v>721</v>
      </c>
      <c r="LM40" s="475" t="s">
        <v>721</v>
      </c>
      <c r="LN40" s="475">
        <v>20</v>
      </c>
      <c r="LO40" s="475">
        <v>154</v>
      </c>
      <c r="LP40" s="475">
        <v>192</v>
      </c>
      <c r="LQ40" s="475">
        <v>8449</v>
      </c>
      <c r="LR40" s="475">
        <v>8522</v>
      </c>
      <c r="LS40" s="475">
        <v>2732</v>
      </c>
      <c r="LT40" s="475">
        <v>843</v>
      </c>
      <c r="LU40" s="475">
        <v>107</v>
      </c>
      <c r="LV40" s="475">
        <v>1757</v>
      </c>
      <c r="LW40" s="475">
        <v>355</v>
      </c>
      <c r="LX40" s="475" t="s">
        <v>721</v>
      </c>
      <c r="LY40" s="475">
        <v>580</v>
      </c>
      <c r="LZ40" s="475">
        <v>174</v>
      </c>
      <c r="MA40" s="475">
        <v>45</v>
      </c>
      <c r="MB40" s="475">
        <v>122</v>
      </c>
      <c r="MC40" s="475">
        <v>29</v>
      </c>
      <c r="MD40" s="475">
        <v>127</v>
      </c>
      <c r="ME40" s="475" t="s">
        <v>721</v>
      </c>
      <c r="MF40" s="475">
        <v>18</v>
      </c>
      <c r="MG40" s="475">
        <v>244</v>
      </c>
      <c r="MH40" s="475">
        <v>1323</v>
      </c>
      <c r="MI40" s="475">
        <v>1830</v>
      </c>
      <c r="MJ40" s="475">
        <v>3940</v>
      </c>
      <c r="MK40" s="475">
        <v>4430</v>
      </c>
      <c r="ML40" s="475">
        <v>1079</v>
      </c>
      <c r="MM40" s="475">
        <v>547</v>
      </c>
      <c r="MN40" s="475">
        <v>43</v>
      </c>
      <c r="MO40" s="475">
        <v>725</v>
      </c>
      <c r="MP40" s="475">
        <v>80</v>
      </c>
      <c r="MQ40" s="475" t="s">
        <v>721</v>
      </c>
      <c r="MR40" s="475">
        <v>220</v>
      </c>
      <c r="MS40" s="475">
        <v>76</v>
      </c>
      <c r="MT40" s="475">
        <v>15</v>
      </c>
      <c r="MU40" s="475">
        <v>40</v>
      </c>
      <c r="MV40" s="475">
        <v>20</v>
      </c>
      <c r="MW40" s="475">
        <v>91</v>
      </c>
      <c r="MX40" s="475" t="s">
        <v>721</v>
      </c>
      <c r="MY40" s="475" t="s">
        <v>721</v>
      </c>
      <c r="MZ40" s="475">
        <v>106</v>
      </c>
      <c r="NA40" s="475">
        <v>649</v>
      </c>
      <c r="NB40" s="475">
        <v>673</v>
      </c>
      <c r="NC40" s="476">
        <v>0.57999999999999996</v>
      </c>
      <c r="ND40" s="476">
        <v>0.42</v>
      </c>
      <c r="NE40" s="476">
        <v>0.31</v>
      </c>
      <c r="NF40" s="476">
        <v>0.32400000000000001</v>
      </c>
      <c r="NG40" s="476">
        <v>9.5000000000000001E-2</v>
      </c>
      <c r="NH40" s="476">
        <v>3.5000000000000003E-2</v>
      </c>
      <c r="NI40" s="476">
        <v>4.0000000000000001E-3</v>
      </c>
      <c r="NJ40" s="476">
        <v>6.2E-2</v>
      </c>
      <c r="NK40" s="476">
        <v>1.0999999999999999E-2</v>
      </c>
      <c r="NL40" s="476" t="s">
        <v>721</v>
      </c>
      <c r="NM40" s="476">
        <v>0.02</v>
      </c>
      <c r="NN40" s="476">
        <v>6.0000000000000001E-3</v>
      </c>
      <c r="NO40" s="476">
        <v>1E-3</v>
      </c>
      <c r="NP40" s="476">
        <v>4.0000000000000001E-3</v>
      </c>
      <c r="NQ40" s="476">
        <v>1E-3</v>
      </c>
      <c r="NR40" s="476">
        <v>5.0000000000000001E-3</v>
      </c>
      <c r="NS40" s="476">
        <v>0</v>
      </c>
      <c r="NT40" s="476">
        <v>1E-3</v>
      </c>
      <c r="NU40" s="476">
        <v>8.9999999999999993E-3</v>
      </c>
      <c r="NV40" s="476">
        <v>4.9000000000000002E-2</v>
      </c>
      <c r="NW40" s="476">
        <v>6.3E-2</v>
      </c>
      <c r="NX40" s="476">
        <v>2E-3</v>
      </c>
      <c r="NY40" s="476">
        <v>0.216</v>
      </c>
      <c r="NZ40" s="476">
        <v>5.0000000000000001E-3</v>
      </c>
      <c r="OA40" s="476">
        <v>0</v>
      </c>
      <c r="OB40" s="476">
        <v>3.0000000000000001E-3</v>
      </c>
      <c r="OC40" s="476">
        <v>3.6999999999999998E-2</v>
      </c>
      <c r="OD40" s="476">
        <v>0.02</v>
      </c>
      <c r="OE40" s="476">
        <v>0.52800000000000002</v>
      </c>
      <c r="OF40" s="476">
        <v>1E-3</v>
      </c>
      <c r="OG40" s="476">
        <v>0</v>
      </c>
      <c r="OH40" s="476">
        <v>0.01</v>
      </c>
      <c r="OI40" s="476">
        <v>2E-3</v>
      </c>
      <c r="OJ40" s="476">
        <v>6.0000000000000001E-3</v>
      </c>
      <c r="OK40" s="476">
        <v>1E-3</v>
      </c>
      <c r="OL40" s="476">
        <v>0</v>
      </c>
      <c r="OM40" s="476" t="s">
        <v>721</v>
      </c>
      <c r="ON40" s="476">
        <v>1E-3</v>
      </c>
      <c r="OO40" s="476">
        <v>8.0000000000000002E-3</v>
      </c>
      <c r="OP40" s="476" t="s">
        <v>721</v>
      </c>
      <c r="OQ40" s="476" t="s">
        <v>721</v>
      </c>
      <c r="OR40" s="476" t="s">
        <v>721</v>
      </c>
      <c r="OS40" s="476" t="s">
        <v>721</v>
      </c>
      <c r="OT40" s="476">
        <v>1.7000000000000001E-2</v>
      </c>
      <c r="OU40" s="476">
        <v>0</v>
      </c>
      <c r="OV40" s="476">
        <v>0</v>
      </c>
      <c r="OW40" s="476">
        <v>7.1999999999999995E-2</v>
      </c>
      <c r="OX40" s="476">
        <v>1E-3</v>
      </c>
      <c r="OY40" s="476" t="s">
        <v>721</v>
      </c>
      <c r="OZ40" s="476">
        <v>0.02</v>
      </c>
      <c r="PA40" s="476">
        <v>4.8000000000000001E-2</v>
      </c>
      <c r="PB40" s="476" t="s">
        <v>721</v>
      </c>
      <c r="PC40" s="476" t="s">
        <v>721</v>
      </c>
      <c r="PD40" s="476" t="s">
        <v>721</v>
      </c>
      <c r="PE40" s="476">
        <v>1E-3</v>
      </c>
      <c r="PF40" s="476">
        <v>0.187</v>
      </c>
      <c r="PG40" s="476">
        <v>2E-3</v>
      </c>
      <c r="PH40" s="476">
        <v>1E-3</v>
      </c>
      <c r="PI40" s="476">
        <v>2E-3</v>
      </c>
      <c r="PJ40" s="476">
        <v>2.1999999999999999E-2</v>
      </c>
      <c r="PK40" s="476">
        <v>1.6E-2</v>
      </c>
      <c r="PL40" s="476">
        <v>0.66400000000000003</v>
      </c>
      <c r="PM40" s="476">
        <v>3.0000000000000001E-3</v>
      </c>
      <c r="PN40" s="476" t="s">
        <v>721</v>
      </c>
      <c r="PO40" s="476">
        <v>2E-3</v>
      </c>
      <c r="PP40" s="476">
        <v>5.0000000000000001E-3</v>
      </c>
      <c r="PQ40" s="476">
        <v>2E-3</v>
      </c>
      <c r="PR40" s="476">
        <v>0</v>
      </c>
      <c r="PS40" s="476" t="s">
        <v>721</v>
      </c>
      <c r="PT40" s="476" t="s">
        <v>721</v>
      </c>
      <c r="PU40" s="476" t="s">
        <v>721</v>
      </c>
      <c r="PV40" s="476">
        <v>3.0000000000000001E-3</v>
      </c>
      <c r="PW40" s="476" t="s">
        <v>721</v>
      </c>
      <c r="PX40" s="476" t="s">
        <v>721</v>
      </c>
      <c r="PY40" s="476" t="s">
        <v>721</v>
      </c>
      <c r="PZ40" s="476" t="s">
        <v>721</v>
      </c>
      <c r="QA40" s="476">
        <v>7.0000000000000001E-3</v>
      </c>
      <c r="QB40" s="476">
        <v>0</v>
      </c>
      <c r="QC40" s="476" t="s">
        <v>721</v>
      </c>
      <c r="QD40" s="476">
        <v>4.2999999999999997E-2</v>
      </c>
      <c r="QE40" s="476" t="s">
        <v>721</v>
      </c>
      <c r="QF40" s="476" t="s">
        <v>721</v>
      </c>
      <c r="QG40" s="476">
        <v>8.0000000000000002E-3</v>
      </c>
      <c r="QH40" s="476">
        <v>3.1E-2</v>
      </c>
      <c r="QI40" s="476" t="s">
        <v>721</v>
      </c>
      <c r="QJ40" s="476" t="s">
        <v>721</v>
      </c>
      <c r="QK40" s="476" t="s">
        <v>721</v>
      </c>
      <c r="QL40" s="476">
        <v>0.29799999999999999</v>
      </c>
      <c r="QM40" s="476">
        <v>0.32400000000000001</v>
      </c>
      <c r="QN40" s="476">
        <v>9.2999999999999999E-2</v>
      </c>
      <c r="QO40" s="476">
        <v>0.02</v>
      </c>
      <c r="QP40" s="476">
        <v>8.0000000000000002E-3</v>
      </c>
      <c r="QQ40" s="476">
        <v>5.2999999999999999E-2</v>
      </c>
      <c r="QR40" s="476">
        <v>6.3E-2</v>
      </c>
      <c r="QS40" s="476" t="s">
        <v>721</v>
      </c>
      <c r="QT40" s="476">
        <v>7.0000000000000001E-3</v>
      </c>
      <c r="QU40" s="476" t="s">
        <v>721</v>
      </c>
      <c r="QV40" s="476" t="s">
        <v>721</v>
      </c>
      <c r="QW40" s="476" t="s">
        <v>721</v>
      </c>
      <c r="QX40" s="476" t="s">
        <v>721</v>
      </c>
      <c r="QY40" s="476" t="s">
        <v>721</v>
      </c>
      <c r="QZ40" s="476" t="s">
        <v>721</v>
      </c>
      <c r="RA40" s="476" t="s">
        <v>721</v>
      </c>
      <c r="RB40" s="476" t="s">
        <v>721</v>
      </c>
      <c r="RC40" s="476">
        <v>2.5999999999999999E-2</v>
      </c>
      <c r="RD40" s="476">
        <v>8.7999999999999995E-2</v>
      </c>
      <c r="RE40" s="476">
        <v>0.35599999999999998</v>
      </c>
      <c r="RF40" s="476">
        <v>0.32300000000000001</v>
      </c>
      <c r="RG40" s="476">
        <v>0.10199999999999999</v>
      </c>
      <c r="RH40" s="476" t="s">
        <v>721</v>
      </c>
      <c r="RI40" s="476" t="s">
        <v>721</v>
      </c>
      <c r="RJ40" s="476">
        <v>3.5000000000000003E-2</v>
      </c>
      <c r="RK40" s="476">
        <v>5.0999999999999997E-2</v>
      </c>
      <c r="RL40" s="476" t="s">
        <v>721</v>
      </c>
      <c r="RM40" s="476" t="s">
        <v>721</v>
      </c>
      <c r="RN40" s="476" t="s">
        <v>721</v>
      </c>
      <c r="RO40" s="476" t="s">
        <v>721</v>
      </c>
      <c r="RP40" s="476" t="s">
        <v>721</v>
      </c>
      <c r="RQ40" s="476" t="s">
        <v>721</v>
      </c>
      <c r="RR40" s="476" t="s">
        <v>721</v>
      </c>
      <c r="RS40" s="476" t="s">
        <v>721</v>
      </c>
      <c r="RT40" s="476" t="s">
        <v>721</v>
      </c>
      <c r="RU40" s="476" t="s">
        <v>721</v>
      </c>
      <c r="RV40" s="476">
        <v>2.1999999999999999E-2</v>
      </c>
      <c r="RW40" s="476">
        <v>6.4000000000000001E-2</v>
      </c>
      <c r="RX40" s="476">
        <v>0.33400000000000002</v>
      </c>
      <c r="RY40" s="476">
        <v>0.32500000000000001</v>
      </c>
      <c r="RZ40" s="476">
        <v>9.2999999999999999E-2</v>
      </c>
      <c r="SA40" s="476">
        <v>3.5999999999999997E-2</v>
      </c>
      <c r="SB40" s="476">
        <v>3.0000000000000001E-3</v>
      </c>
      <c r="SC40" s="476">
        <v>5.7000000000000002E-2</v>
      </c>
      <c r="SD40" s="476">
        <v>8.9999999999999993E-3</v>
      </c>
      <c r="SE40" s="476">
        <v>0</v>
      </c>
      <c r="SF40" s="476">
        <v>1.7000000000000001E-2</v>
      </c>
      <c r="SG40" s="476">
        <v>5.0000000000000001E-3</v>
      </c>
      <c r="SH40" s="476">
        <v>2E-3</v>
      </c>
      <c r="SI40" s="476">
        <v>4.0000000000000001E-3</v>
      </c>
      <c r="SJ40" s="476">
        <v>1E-3</v>
      </c>
      <c r="SK40" s="476">
        <v>6.0000000000000001E-3</v>
      </c>
      <c r="SL40" s="476">
        <v>0</v>
      </c>
      <c r="SM40" s="476">
        <v>1E-3</v>
      </c>
      <c r="SN40" s="476">
        <v>8.0000000000000002E-3</v>
      </c>
      <c r="SO40" s="476">
        <v>4.3999999999999997E-2</v>
      </c>
      <c r="SP40" s="476">
        <v>5.3999999999999999E-2</v>
      </c>
      <c r="SQ40" s="476">
        <v>0.39500000000000002</v>
      </c>
      <c r="SR40" s="476">
        <v>0.317</v>
      </c>
      <c r="SS40" s="476">
        <v>8.5000000000000006E-2</v>
      </c>
      <c r="ST40" s="476">
        <v>2.9000000000000001E-2</v>
      </c>
      <c r="SU40" s="476">
        <v>2E-3</v>
      </c>
      <c r="SV40" s="476">
        <v>5.3999999999999999E-2</v>
      </c>
      <c r="SW40" s="476">
        <v>1.0999999999999999E-2</v>
      </c>
      <c r="SX40" s="476" t="s">
        <v>721</v>
      </c>
      <c r="SY40" s="476">
        <v>1.2E-2</v>
      </c>
      <c r="SZ40" s="476">
        <v>3.0000000000000001E-3</v>
      </c>
      <c r="TA40" s="476">
        <v>3.0000000000000001E-3</v>
      </c>
      <c r="TB40" s="476">
        <v>6.0000000000000001E-3</v>
      </c>
      <c r="TC40" s="476" t="s">
        <v>721</v>
      </c>
      <c r="TD40" s="476">
        <v>5.0000000000000001E-3</v>
      </c>
      <c r="TE40" s="476" t="s">
        <v>721</v>
      </c>
      <c r="TF40" s="476" t="s">
        <v>721</v>
      </c>
      <c r="TG40" s="476">
        <v>3.0000000000000001E-3</v>
      </c>
      <c r="TH40" s="476">
        <v>2.1999999999999999E-2</v>
      </c>
      <c r="TI40" s="476">
        <v>0.05</v>
      </c>
      <c r="TJ40" s="476">
        <v>0.32300000000000001</v>
      </c>
      <c r="TK40" s="476">
        <v>0.36799999999999999</v>
      </c>
      <c r="TL40" s="476">
        <v>7.4999999999999997E-2</v>
      </c>
      <c r="TM40" s="476">
        <v>3.6999999999999998E-2</v>
      </c>
      <c r="TN40" s="476">
        <v>3.0000000000000001E-3</v>
      </c>
      <c r="TO40" s="476">
        <v>7.0000000000000007E-2</v>
      </c>
      <c r="TP40" s="476">
        <v>4.0000000000000001E-3</v>
      </c>
      <c r="TQ40" s="476" t="s">
        <v>721</v>
      </c>
      <c r="TR40" s="476">
        <v>1.4E-2</v>
      </c>
      <c r="TS40" s="476">
        <v>7.0000000000000001E-3</v>
      </c>
      <c r="TT40" s="476" t="s">
        <v>721</v>
      </c>
      <c r="TU40" s="476" t="s">
        <v>721</v>
      </c>
      <c r="TV40" s="476" t="s">
        <v>721</v>
      </c>
      <c r="TW40" s="476">
        <v>5.0000000000000001E-3</v>
      </c>
      <c r="TX40" s="476" t="s">
        <v>721</v>
      </c>
      <c r="TY40" s="476" t="s">
        <v>721</v>
      </c>
      <c r="TZ40" s="476">
        <v>5.0000000000000001E-3</v>
      </c>
      <c r="UA40" s="476">
        <v>3.6999999999999998E-2</v>
      </c>
      <c r="UB40" s="476">
        <v>4.5999999999999999E-2</v>
      </c>
      <c r="UC40" s="476">
        <v>0.31</v>
      </c>
      <c r="UD40" s="476">
        <v>0.312</v>
      </c>
      <c r="UE40" s="476">
        <v>0.1</v>
      </c>
      <c r="UF40" s="476">
        <v>3.1E-2</v>
      </c>
      <c r="UG40" s="476">
        <v>4.0000000000000001E-3</v>
      </c>
      <c r="UH40" s="476">
        <v>6.4000000000000001E-2</v>
      </c>
      <c r="UI40" s="476">
        <v>1.2999999999999999E-2</v>
      </c>
      <c r="UJ40" s="476" t="s">
        <v>721</v>
      </c>
      <c r="UK40" s="476">
        <v>2.1000000000000001E-2</v>
      </c>
      <c r="UL40" s="476">
        <v>6.0000000000000001E-3</v>
      </c>
      <c r="UM40" s="476">
        <v>2E-3</v>
      </c>
      <c r="UN40" s="476">
        <v>4.0000000000000001E-3</v>
      </c>
      <c r="UO40" s="476">
        <v>1E-3</v>
      </c>
      <c r="UP40" s="476">
        <v>5.0000000000000001E-3</v>
      </c>
      <c r="UQ40" s="476" t="s">
        <v>721</v>
      </c>
      <c r="UR40" s="476">
        <v>1E-3</v>
      </c>
      <c r="US40" s="476">
        <v>8.9999999999999993E-3</v>
      </c>
      <c r="UT40" s="476">
        <v>4.9000000000000002E-2</v>
      </c>
      <c r="UU40" s="476">
        <v>6.7000000000000004E-2</v>
      </c>
      <c r="UV40" s="476">
        <v>0.309</v>
      </c>
      <c r="UW40" s="476">
        <v>0.34799999999999998</v>
      </c>
      <c r="UX40" s="476">
        <v>8.5000000000000006E-2</v>
      </c>
      <c r="UY40" s="476">
        <v>4.2999999999999997E-2</v>
      </c>
      <c r="UZ40" s="476">
        <v>3.0000000000000001E-3</v>
      </c>
      <c r="VA40" s="476">
        <v>5.7000000000000002E-2</v>
      </c>
      <c r="VB40" s="476">
        <v>6.0000000000000001E-3</v>
      </c>
      <c r="VC40" s="476" t="s">
        <v>721</v>
      </c>
      <c r="VD40" s="476">
        <v>1.7000000000000001E-2</v>
      </c>
      <c r="VE40" s="476">
        <v>6.0000000000000001E-3</v>
      </c>
      <c r="VF40" s="476">
        <v>1E-3</v>
      </c>
      <c r="VG40" s="476">
        <v>3.0000000000000001E-3</v>
      </c>
      <c r="VH40" s="476">
        <v>2E-3</v>
      </c>
      <c r="VI40" s="476">
        <v>7.0000000000000001E-3</v>
      </c>
      <c r="VJ40" s="476" t="s">
        <v>721</v>
      </c>
      <c r="VK40" s="476" t="s">
        <v>721</v>
      </c>
      <c r="VL40" s="476">
        <v>8.0000000000000002E-3</v>
      </c>
      <c r="VM40" s="476">
        <v>5.0999999999999997E-2</v>
      </c>
      <c r="VN40" s="476">
        <v>5.2999999999999999E-2</v>
      </c>
      <c r="VO40" s="28"/>
      <c r="VP40" s="28"/>
      <c r="VQ40" s="28"/>
      <c r="VR40" s="28"/>
      <c r="VS40" s="28"/>
      <c r="VT40" s="28"/>
      <c r="VU40" s="28"/>
      <c r="VV40" s="28"/>
      <c r="VW40" s="28"/>
      <c r="VX40" s="28"/>
      <c r="VY40" s="28"/>
      <c r="VZ40" s="28"/>
      <c r="WA40" s="28"/>
      <c r="WB40" s="28"/>
      <c r="WC40" s="28"/>
      <c r="WD40" s="28"/>
      <c r="WE40" s="28"/>
      <c r="WF40" s="28"/>
      <c r="WG40" s="28"/>
      <c r="WH40" s="28"/>
      <c r="WI40" s="28"/>
      <c r="WJ40" s="28"/>
      <c r="WK40" s="28"/>
      <c r="WL40" s="28"/>
      <c r="WM40" s="28"/>
      <c r="WN40" s="28"/>
      <c r="WO40" s="28"/>
      <c r="WP40" s="28"/>
      <c r="WQ40" s="28"/>
      <c r="WR40" s="28"/>
      <c r="WS40" s="28"/>
      <c r="WT40" s="28"/>
      <c r="WU40" s="28"/>
      <c r="WV40" s="28"/>
      <c r="WW40" s="28"/>
    </row>
    <row r="41" spans="1:621" s="151" customFormat="1" ht="15.75" customHeight="1" x14ac:dyDescent="0.35">
      <c r="A41" s="477" t="s">
        <v>47</v>
      </c>
      <c r="B41" s="492" t="s">
        <v>12</v>
      </c>
      <c r="C41" s="493">
        <v>20.25</v>
      </c>
      <c r="D41" s="494">
        <v>26844</v>
      </c>
      <c r="E41" s="473">
        <v>2889017.1</v>
      </c>
      <c r="F41" s="473">
        <v>107.6</v>
      </c>
      <c r="G41" s="474">
        <v>26088</v>
      </c>
      <c r="H41" s="474">
        <v>25374</v>
      </c>
      <c r="I41" s="474">
        <v>22525</v>
      </c>
      <c r="J41" s="474">
        <v>18064</v>
      </c>
      <c r="K41" s="474">
        <v>10444</v>
      </c>
      <c r="L41" s="473">
        <v>1671310.8</v>
      </c>
      <c r="M41" s="474">
        <v>16185</v>
      </c>
      <c r="N41" s="473">
        <v>1217706.3</v>
      </c>
      <c r="O41" s="494">
        <v>860</v>
      </c>
      <c r="P41" s="495">
        <v>133856.9</v>
      </c>
      <c r="Q41" s="494">
        <v>1898</v>
      </c>
      <c r="R41" s="495">
        <v>44000.1</v>
      </c>
      <c r="S41" s="480">
        <v>15515</v>
      </c>
      <c r="T41" s="481">
        <v>1618197.5</v>
      </c>
      <c r="U41" s="480">
        <v>269</v>
      </c>
      <c r="V41" s="481">
        <v>35736.5</v>
      </c>
      <c r="W41" s="480">
        <v>11060</v>
      </c>
      <c r="X41" s="481">
        <v>1235083.1000000001</v>
      </c>
      <c r="Y41" s="494">
        <v>25374</v>
      </c>
      <c r="Z41" s="494">
        <v>9396</v>
      </c>
      <c r="AA41" s="494">
        <v>15975</v>
      </c>
      <c r="AB41" s="494">
        <v>7722</v>
      </c>
      <c r="AC41" s="494">
        <v>712</v>
      </c>
      <c r="AD41" s="494">
        <v>1266</v>
      </c>
      <c r="AE41" s="494">
        <v>14267</v>
      </c>
      <c r="AF41" s="495">
        <v>1016146.5</v>
      </c>
      <c r="AG41" s="494">
        <v>11765</v>
      </c>
      <c r="AH41" s="495">
        <v>1824186.5</v>
      </c>
      <c r="AI41" s="494">
        <v>254</v>
      </c>
      <c r="AJ41" s="495">
        <v>11254.6</v>
      </c>
      <c r="AK41" s="494">
        <v>343</v>
      </c>
      <c r="AL41" s="495">
        <v>37429.5</v>
      </c>
      <c r="AM41" s="496">
        <v>15965</v>
      </c>
      <c r="AN41" s="496">
        <v>10879</v>
      </c>
      <c r="AO41" s="496">
        <v>4745</v>
      </c>
      <c r="AP41" s="496">
        <v>2434</v>
      </c>
      <c r="AQ41" s="496">
        <v>3621</v>
      </c>
      <c r="AR41" s="496">
        <v>1838</v>
      </c>
      <c r="AS41" s="496">
        <v>86</v>
      </c>
      <c r="AT41" s="496">
        <v>1006</v>
      </c>
      <c r="AU41" s="496">
        <v>220</v>
      </c>
      <c r="AV41" s="496" t="s">
        <v>721</v>
      </c>
      <c r="AW41" s="496">
        <v>11426</v>
      </c>
      <c r="AX41" s="496">
        <v>60</v>
      </c>
      <c r="AY41" s="496">
        <v>47</v>
      </c>
      <c r="AZ41" s="496">
        <v>237</v>
      </c>
      <c r="BA41" s="496">
        <v>97</v>
      </c>
      <c r="BB41" s="496">
        <v>75</v>
      </c>
      <c r="BC41" s="496" t="s">
        <v>721</v>
      </c>
      <c r="BD41" s="496" t="s">
        <v>721</v>
      </c>
      <c r="BE41" s="496">
        <v>21</v>
      </c>
      <c r="BF41" s="496">
        <v>441</v>
      </c>
      <c r="BG41" s="496">
        <v>482</v>
      </c>
      <c r="BH41" s="496">
        <v>12</v>
      </c>
      <c r="BI41" s="496">
        <v>1784</v>
      </c>
      <c r="BJ41" s="496">
        <v>11126</v>
      </c>
      <c r="BK41" s="496">
        <v>21</v>
      </c>
      <c r="BL41" s="496">
        <v>234</v>
      </c>
      <c r="BM41" s="496">
        <v>849</v>
      </c>
      <c r="BN41" s="496">
        <v>264</v>
      </c>
      <c r="BO41" s="496">
        <v>8175</v>
      </c>
      <c r="BP41" s="496" t="s">
        <v>721</v>
      </c>
      <c r="BQ41" s="496" t="s">
        <v>721</v>
      </c>
      <c r="BR41" s="496">
        <v>949</v>
      </c>
      <c r="BS41" s="496">
        <v>312</v>
      </c>
      <c r="BT41" s="496">
        <v>40</v>
      </c>
      <c r="BU41" s="496">
        <v>20</v>
      </c>
      <c r="BV41" s="496" t="s">
        <v>721</v>
      </c>
      <c r="BW41" s="496" t="s">
        <v>721</v>
      </c>
      <c r="BX41" s="496" t="s">
        <v>721</v>
      </c>
      <c r="BY41" s="496" t="s">
        <v>721</v>
      </c>
      <c r="BZ41" s="496" t="s">
        <v>721</v>
      </c>
      <c r="CA41" s="496" t="s">
        <v>721</v>
      </c>
      <c r="CB41" s="496" t="s">
        <v>721</v>
      </c>
      <c r="CC41" s="496" t="s">
        <v>721</v>
      </c>
      <c r="CD41" s="496">
        <v>2210</v>
      </c>
      <c r="CE41" s="496" t="s">
        <v>721</v>
      </c>
      <c r="CF41" s="496" t="s">
        <v>721</v>
      </c>
      <c r="CG41" s="496">
        <v>95</v>
      </c>
      <c r="CH41" s="496">
        <v>33</v>
      </c>
      <c r="CI41" s="496">
        <v>11</v>
      </c>
      <c r="CJ41" s="496">
        <v>29</v>
      </c>
      <c r="CK41" s="496">
        <v>621</v>
      </c>
      <c r="CL41" s="496" t="s">
        <v>721</v>
      </c>
      <c r="CM41" s="496" t="s">
        <v>721</v>
      </c>
      <c r="CN41" s="496" t="s">
        <v>721</v>
      </c>
      <c r="CO41" s="496">
        <v>13</v>
      </c>
      <c r="CP41" s="496">
        <v>1269</v>
      </c>
      <c r="CQ41" s="496">
        <v>10561</v>
      </c>
      <c r="CR41" s="496" t="s">
        <v>721</v>
      </c>
      <c r="CS41" s="496">
        <v>136</v>
      </c>
      <c r="CT41" s="496">
        <v>438</v>
      </c>
      <c r="CU41" s="496">
        <v>112</v>
      </c>
      <c r="CV41" s="496">
        <v>9183</v>
      </c>
      <c r="CW41" s="496">
        <v>191</v>
      </c>
      <c r="CX41" s="496" t="s">
        <v>721</v>
      </c>
      <c r="CY41" s="496">
        <v>739</v>
      </c>
      <c r="CZ41" s="496">
        <v>182</v>
      </c>
      <c r="DA41" s="496">
        <v>13</v>
      </c>
      <c r="DB41" s="496">
        <v>20</v>
      </c>
      <c r="DC41" s="496" t="s">
        <v>721</v>
      </c>
      <c r="DD41" s="496" t="s">
        <v>721</v>
      </c>
      <c r="DE41" s="496" t="s">
        <v>721</v>
      </c>
      <c r="DF41" s="496" t="s">
        <v>721</v>
      </c>
      <c r="DG41" s="496" t="s">
        <v>721</v>
      </c>
      <c r="DH41" s="496" t="s">
        <v>721</v>
      </c>
      <c r="DI41" s="496" t="s">
        <v>721</v>
      </c>
      <c r="DJ41" s="496" t="s">
        <v>721</v>
      </c>
      <c r="DK41" s="496">
        <v>1973</v>
      </c>
      <c r="DL41" s="496" t="s">
        <v>721</v>
      </c>
      <c r="DM41" s="496" t="s">
        <v>721</v>
      </c>
      <c r="DN41" s="496">
        <v>57</v>
      </c>
      <c r="DO41" s="496" t="s">
        <v>721</v>
      </c>
      <c r="DP41" s="496" t="s">
        <v>721</v>
      </c>
      <c r="DQ41" s="496" t="s">
        <v>721</v>
      </c>
      <c r="DR41" s="496">
        <v>425</v>
      </c>
      <c r="DS41" s="483" t="s">
        <v>721</v>
      </c>
      <c r="DT41" s="483" t="s">
        <v>721</v>
      </c>
      <c r="DU41" s="483" t="s">
        <v>721</v>
      </c>
      <c r="DV41" s="496">
        <v>454</v>
      </c>
      <c r="DW41" s="497">
        <v>73802.2</v>
      </c>
      <c r="DX41" s="496">
        <v>1535</v>
      </c>
      <c r="DY41" s="497">
        <v>194606.4</v>
      </c>
      <c r="DZ41" s="496">
        <v>4515</v>
      </c>
      <c r="EA41" s="497">
        <v>457088.2</v>
      </c>
      <c r="EB41" s="496">
        <v>6441</v>
      </c>
      <c r="EC41" s="497">
        <v>577325.1</v>
      </c>
      <c r="ED41" s="496">
        <v>7559</v>
      </c>
      <c r="EE41" s="497">
        <v>741626.8</v>
      </c>
      <c r="EF41" s="496">
        <v>6340</v>
      </c>
      <c r="EG41" s="497">
        <v>844568.4</v>
      </c>
      <c r="EH41" s="485">
        <v>24843</v>
      </c>
      <c r="EI41" s="486">
        <v>88519</v>
      </c>
      <c r="EJ41" s="485">
        <v>23660</v>
      </c>
      <c r="EK41" s="486">
        <v>567324.6</v>
      </c>
      <c r="EL41" s="485">
        <v>23582</v>
      </c>
      <c r="EM41" s="486">
        <v>243260.3</v>
      </c>
      <c r="EN41" s="485">
        <v>24953</v>
      </c>
      <c r="EO41" s="486">
        <v>171731.6</v>
      </c>
      <c r="EP41" s="485">
        <v>23769</v>
      </c>
      <c r="EQ41" s="486">
        <v>73685.8</v>
      </c>
      <c r="ER41" s="485">
        <v>24695</v>
      </c>
      <c r="ES41" s="486">
        <v>72986.3</v>
      </c>
      <c r="ET41" s="485">
        <v>4</v>
      </c>
      <c r="EU41" s="485">
        <v>17548</v>
      </c>
      <c r="EV41" s="486">
        <v>250267.6</v>
      </c>
      <c r="EW41" s="485">
        <v>1297</v>
      </c>
      <c r="EX41" s="486">
        <v>7436.3</v>
      </c>
      <c r="EY41" s="485">
        <v>9370</v>
      </c>
      <c r="EZ41" s="486">
        <v>122564.9</v>
      </c>
      <c r="FA41" s="485">
        <v>2179</v>
      </c>
      <c r="FB41" s="486">
        <v>24268.5</v>
      </c>
      <c r="FC41" s="485">
        <v>23883</v>
      </c>
      <c r="FD41" s="486">
        <v>299170</v>
      </c>
      <c r="FE41" s="485">
        <v>22380</v>
      </c>
      <c r="FF41" s="486">
        <v>176825.3</v>
      </c>
      <c r="FG41" s="485">
        <v>15556</v>
      </c>
      <c r="FH41" s="486">
        <v>140143.79999999999</v>
      </c>
      <c r="FI41" s="485">
        <v>19748</v>
      </c>
      <c r="FJ41" s="486">
        <v>128598.8</v>
      </c>
      <c r="FK41" s="485">
        <v>21222</v>
      </c>
      <c r="FL41" s="486">
        <v>73510.600000000006</v>
      </c>
      <c r="FM41" s="485">
        <v>406</v>
      </c>
      <c r="FN41" s="486">
        <v>1231.5</v>
      </c>
      <c r="FO41" s="485">
        <v>23381</v>
      </c>
      <c r="FP41" s="486">
        <v>217901.3</v>
      </c>
      <c r="FQ41" s="485">
        <v>21492</v>
      </c>
      <c r="FR41" s="486">
        <v>53088.6</v>
      </c>
      <c r="FS41" s="485">
        <v>92</v>
      </c>
      <c r="FT41" s="486">
        <v>727.7</v>
      </c>
      <c r="FU41" s="485">
        <v>1</v>
      </c>
      <c r="FV41" s="486">
        <v>53.7</v>
      </c>
      <c r="FW41" s="485">
        <v>0</v>
      </c>
      <c r="FX41" s="486">
        <v>0</v>
      </c>
      <c r="FY41" s="485">
        <v>0</v>
      </c>
      <c r="FZ41" s="486">
        <v>0</v>
      </c>
      <c r="GA41" s="485">
        <v>0</v>
      </c>
      <c r="GB41" s="485">
        <v>0</v>
      </c>
      <c r="GC41" s="487">
        <v>0</v>
      </c>
      <c r="GD41" s="488">
        <v>102</v>
      </c>
      <c r="GE41" s="488">
        <v>550</v>
      </c>
      <c r="GF41" s="488">
        <v>13535</v>
      </c>
      <c r="GG41" s="488">
        <v>22</v>
      </c>
      <c r="GH41" s="488">
        <v>2</v>
      </c>
      <c r="GI41" s="488">
        <v>341</v>
      </c>
      <c r="GJ41" s="488">
        <v>2</v>
      </c>
      <c r="GK41" s="488">
        <v>5496</v>
      </c>
      <c r="GL41" s="488">
        <v>8324</v>
      </c>
      <c r="GM41" s="488">
        <v>14187</v>
      </c>
      <c r="GN41" s="488">
        <v>4791</v>
      </c>
      <c r="GO41" s="488">
        <v>510</v>
      </c>
      <c r="GP41" s="488">
        <v>30</v>
      </c>
      <c r="GQ41" s="488">
        <v>61</v>
      </c>
      <c r="GR41" s="488">
        <v>38</v>
      </c>
      <c r="GS41" s="488">
        <v>129</v>
      </c>
      <c r="GT41" s="489">
        <v>19257</v>
      </c>
      <c r="GU41" s="488">
        <v>51</v>
      </c>
      <c r="GV41" s="490">
        <v>5</v>
      </c>
      <c r="GW41" s="490">
        <v>20</v>
      </c>
      <c r="GX41" s="490">
        <v>76</v>
      </c>
      <c r="GY41" s="491">
        <v>3</v>
      </c>
      <c r="GZ41" s="491">
        <v>3</v>
      </c>
      <c r="HA41" s="491">
        <v>6</v>
      </c>
      <c r="HB41" s="475">
        <v>5</v>
      </c>
      <c r="HC41" s="475">
        <v>13</v>
      </c>
      <c r="HD41" s="475">
        <v>0</v>
      </c>
      <c r="HE41" s="475">
        <v>1</v>
      </c>
      <c r="HF41" s="475">
        <v>2</v>
      </c>
      <c r="HG41" s="475">
        <v>1</v>
      </c>
      <c r="HH41" s="475">
        <v>9</v>
      </c>
      <c r="HI41" s="475">
        <v>0</v>
      </c>
      <c r="HJ41" s="475">
        <v>0</v>
      </c>
      <c r="HK41" s="475">
        <v>0</v>
      </c>
      <c r="HL41" s="475">
        <v>6</v>
      </c>
      <c r="HM41" s="475">
        <v>7</v>
      </c>
      <c r="HN41" s="475">
        <v>0</v>
      </c>
      <c r="HO41" s="475">
        <v>8</v>
      </c>
      <c r="HP41" s="475">
        <v>0</v>
      </c>
      <c r="HQ41" s="475">
        <v>4</v>
      </c>
      <c r="HR41" s="475">
        <v>101</v>
      </c>
      <c r="HS41" s="475">
        <v>0</v>
      </c>
      <c r="HT41" s="475">
        <v>0</v>
      </c>
      <c r="HU41" s="475">
        <v>0</v>
      </c>
      <c r="HV41" s="475">
        <v>0</v>
      </c>
      <c r="HW41" s="475">
        <v>0</v>
      </c>
      <c r="HX41" s="475">
        <v>0</v>
      </c>
      <c r="HY41" s="475">
        <v>0</v>
      </c>
      <c r="HZ41" s="475">
        <v>86</v>
      </c>
      <c r="IA41" s="475">
        <v>58</v>
      </c>
      <c r="IB41" s="475">
        <v>64</v>
      </c>
      <c r="IC41" s="475">
        <v>28</v>
      </c>
      <c r="ID41" s="475" t="s">
        <v>721</v>
      </c>
      <c r="IE41" s="475">
        <v>21</v>
      </c>
      <c r="IF41" s="475">
        <v>113</v>
      </c>
      <c r="IG41" s="475" t="s">
        <v>721</v>
      </c>
      <c r="IH41" s="475">
        <v>103</v>
      </c>
      <c r="II41" s="475" t="s">
        <v>721</v>
      </c>
      <c r="IJ41" s="475" t="s">
        <v>721</v>
      </c>
      <c r="IK41" s="475" t="s">
        <v>721</v>
      </c>
      <c r="IL41" s="475" t="s">
        <v>721</v>
      </c>
      <c r="IM41" s="475" t="s">
        <v>721</v>
      </c>
      <c r="IN41" s="475" t="s">
        <v>721</v>
      </c>
      <c r="IO41" s="475" t="s">
        <v>721</v>
      </c>
      <c r="IP41" s="475" t="s">
        <v>721</v>
      </c>
      <c r="IQ41" s="475" t="s">
        <v>721</v>
      </c>
      <c r="IR41" s="475">
        <v>20</v>
      </c>
      <c r="IS41" s="475">
        <v>30</v>
      </c>
      <c r="IT41" s="475">
        <v>24</v>
      </c>
      <c r="IU41" s="475">
        <v>23</v>
      </c>
      <c r="IV41" s="475" t="s">
        <v>721</v>
      </c>
      <c r="IW41" s="475" t="s">
        <v>721</v>
      </c>
      <c r="IX41" s="475">
        <v>14</v>
      </c>
      <c r="IY41" s="475">
        <v>19</v>
      </c>
      <c r="IZ41" s="475" t="s">
        <v>721</v>
      </c>
      <c r="JA41" s="475" t="s">
        <v>721</v>
      </c>
      <c r="JB41" s="475" t="s">
        <v>721</v>
      </c>
      <c r="JC41" s="475" t="s">
        <v>721</v>
      </c>
      <c r="JD41" s="475" t="s">
        <v>721</v>
      </c>
      <c r="JE41" s="475" t="s">
        <v>721</v>
      </c>
      <c r="JF41" s="475" t="s">
        <v>721</v>
      </c>
      <c r="JG41" s="475" t="s">
        <v>721</v>
      </c>
      <c r="JH41" s="475" t="s">
        <v>721</v>
      </c>
      <c r="JI41" s="475" t="s">
        <v>721</v>
      </c>
      <c r="JJ41" s="475" t="s">
        <v>721</v>
      </c>
      <c r="JK41" s="475" t="s">
        <v>721</v>
      </c>
      <c r="JL41" s="755">
        <v>582579.1</v>
      </c>
      <c r="JM41" s="755">
        <v>309595.59999999998</v>
      </c>
      <c r="JN41" s="755">
        <v>413562</v>
      </c>
      <c r="JO41" s="755">
        <v>146154.9</v>
      </c>
      <c r="JP41" s="755">
        <v>7613.1</v>
      </c>
      <c r="JQ41" s="755">
        <v>133502.6</v>
      </c>
      <c r="JR41" s="755">
        <v>21973.4</v>
      </c>
      <c r="JS41" s="755">
        <v>243.4</v>
      </c>
      <c r="JT41" s="755">
        <v>1114506.7</v>
      </c>
      <c r="JU41" s="755">
        <v>7228.6</v>
      </c>
      <c r="JV41" s="755">
        <v>5785.4</v>
      </c>
      <c r="JW41" s="755">
        <v>29181.4</v>
      </c>
      <c r="JX41" s="755">
        <v>11343.1</v>
      </c>
      <c r="JY41" s="755">
        <v>9855.5</v>
      </c>
      <c r="JZ41" s="755">
        <v>421.9</v>
      </c>
      <c r="KA41" s="755" t="s">
        <v>721</v>
      </c>
      <c r="KB41" s="755">
        <v>2388</v>
      </c>
      <c r="KC41" s="755">
        <v>37704.699999999997</v>
      </c>
      <c r="KD41" s="755">
        <v>55377.7</v>
      </c>
      <c r="KE41" s="475">
        <v>156</v>
      </c>
      <c r="KF41" s="475">
        <v>103</v>
      </c>
      <c r="KG41" s="475">
        <v>97</v>
      </c>
      <c r="KH41" s="475">
        <v>51</v>
      </c>
      <c r="KI41" s="475" t="s">
        <v>721</v>
      </c>
      <c r="KJ41" s="475">
        <v>73</v>
      </c>
      <c r="KK41" s="475">
        <v>16</v>
      </c>
      <c r="KL41" s="475" t="s">
        <v>721</v>
      </c>
      <c r="KM41" s="475">
        <v>287</v>
      </c>
      <c r="KN41" s="475" t="s">
        <v>721</v>
      </c>
      <c r="KO41" s="475" t="s">
        <v>721</v>
      </c>
      <c r="KP41" s="475" t="s">
        <v>721</v>
      </c>
      <c r="KQ41" s="475" t="s">
        <v>721</v>
      </c>
      <c r="KR41" s="475" t="s">
        <v>721</v>
      </c>
      <c r="KS41" s="475" t="s">
        <v>721</v>
      </c>
      <c r="KT41" s="475" t="s">
        <v>721</v>
      </c>
      <c r="KU41" s="475" t="s">
        <v>721</v>
      </c>
      <c r="KV41" s="475">
        <v>16</v>
      </c>
      <c r="KW41" s="475">
        <v>35</v>
      </c>
      <c r="KX41" s="475">
        <v>185</v>
      </c>
      <c r="KY41" s="475">
        <v>118</v>
      </c>
      <c r="KZ41" s="475">
        <v>147</v>
      </c>
      <c r="LA41" s="475">
        <v>98</v>
      </c>
      <c r="LB41" s="475" t="s">
        <v>721</v>
      </c>
      <c r="LC41" s="475">
        <v>107</v>
      </c>
      <c r="LD41" s="475" t="s">
        <v>721</v>
      </c>
      <c r="LE41" s="475" t="s">
        <v>721</v>
      </c>
      <c r="LF41" s="475">
        <v>1105</v>
      </c>
      <c r="LG41" s="475" t="s">
        <v>721</v>
      </c>
      <c r="LH41" s="475" t="s">
        <v>721</v>
      </c>
      <c r="LI41" s="475">
        <v>19</v>
      </c>
      <c r="LJ41" s="475">
        <v>11</v>
      </c>
      <c r="LK41" s="475" t="s">
        <v>721</v>
      </c>
      <c r="LL41" s="475" t="s">
        <v>721</v>
      </c>
      <c r="LM41" s="475" t="s">
        <v>721</v>
      </c>
      <c r="LN41" s="475" t="s">
        <v>721</v>
      </c>
      <c r="LO41" s="475">
        <v>54</v>
      </c>
      <c r="LP41" s="475">
        <v>32</v>
      </c>
      <c r="LQ41" s="475">
        <v>2433</v>
      </c>
      <c r="LR41" s="475">
        <v>1017</v>
      </c>
      <c r="LS41" s="475">
        <v>2043</v>
      </c>
      <c r="LT41" s="475">
        <v>1444</v>
      </c>
      <c r="LU41" s="475">
        <v>64</v>
      </c>
      <c r="LV41" s="475">
        <v>362</v>
      </c>
      <c r="LW41" s="475">
        <v>162</v>
      </c>
      <c r="LX41" s="475" t="s">
        <v>721</v>
      </c>
      <c r="LY41" s="475">
        <v>7792</v>
      </c>
      <c r="LZ41" s="475">
        <v>29</v>
      </c>
      <c r="MA41" s="475">
        <v>27</v>
      </c>
      <c r="MB41" s="475">
        <v>102</v>
      </c>
      <c r="MC41" s="475">
        <v>44</v>
      </c>
      <c r="MD41" s="475">
        <v>32</v>
      </c>
      <c r="ME41" s="475" t="s">
        <v>721</v>
      </c>
      <c r="MF41" s="475" t="s">
        <v>721</v>
      </c>
      <c r="MG41" s="475">
        <v>12</v>
      </c>
      <c r="MH41" s="475">
        <v>327</v>
      </c>
      <c r="MI41" s="475">
        <v>290</v>
      </c>
      <c r="MJ41" s="475">
        <v>2251</v>
      </c>
      <c r="MK41" s="475">
        <v>1391</v>
      </c>
      <c r="ML41" s="475">
        <v>1529</v>
      </c>
      <c r="MM41" s="475">
        <v>383</v>
      </c>
      <c r="MN41" s="475">
        <v>21</v>
      </c>
      <c r="MO41" s="475">
        <v>636</v>
      </c>
      <c r="MP41" s="475">
        <v>56</v>
      </c>
      <c r="MQ41" s="475" t="s">
        <v>721</v>
      </c>
      <c r="MR41" s="475">
        <v>3587</v>
      </c>
      <c r="MS41" s="475">
        <v>31</v>
      </c>
      <c r="MT41" s="475">
        <v>19</v>
      </c>
      <c r="MU41" s="475">
        <v>133</v>
      </c>
      <c r="MV41" s="475">
        <v>51</v>
      </c>
      <c r="MW41" s="475">
        <v>43</v>
      </c>
      <c r="MX41" s="475" t="s">
        <v>721</v>
      </c>
      <c r="MY41" s="475" t="s">
        <v>721</v>
      </c>
      <c r="MZ41" s="475" t="s">
        <v>721</v>
      </c>
      <c r="NA41" s="475">
        <v>111</v>
      </c>
      <c r="NB41" s="475">
        <v>191</v>
      </c>
      <c r="NC41" s="476">
        <v>0.59499999999999997</v>
      </c>
      <c r="ND41" s="476">
        <v>0.40500000000000003</v>
      </c>
      <c r="NE41" s="476">
        <v>0.17699999999999999</v>
      </c>
      <c r="NF41" s="476">
        <v>9.0999999999999998E-2</v>
      </c>
      <c r="NG41" s="476">
        <v>0.13500000000000001</v>
      </c>
      <c r="NH41" s="476">
        <v>6.8000000000000005E-2</v>
      </c>
      <c r="NI41" s="476">
        <v>3.0000000000000001E-3</v>
      </c>
      <c r="NJ41" s="476">
        <v>3.6999999999999998E-2</v>
      </c>
      <c r="NK41" s="476">
        <v>8.0000000000000002E-3</v>
      </c>
      <c r="NL41" s="476" t="s">
        <v>721</v>
      </c>
      <c r="NM41" s="476">
        <v>0.42599999999999999</v>
      </c>
      <c r="NN41" s="476">
        <v>2E-3</v>
      </c>
      <c r="NO41" s="476">
        <v>2E-3</v>
      </c>
      <c r="NP41" s="476">
        <v>8.9999999999999993E-3</v>
      </c>
      <c r="NQ41" s="476">
        <v>4.0000000000000001E-3</v>
      </c>
      <c r="NR41" s="476">
        <v>3.0000000000000001E-3</v>
      </c>
      <c r="NS41" s="476" t="s">
        <v>721</v>
      </c>
      <c r="NT41" s="476" t="s">
        <v>721</v>
      </c>
      <c r="NU41" s="476">
        <v>1E-3</v>
      </c>
      <c r="NV41" s="476">
        <v>1.6E-2</v>
      </c>
      <c r="NW41" s="476">
        <v>1.7999999999999999E-2</v>
      </c>
      <c r="NX41" s="476">
        <v>0</v>
      </c>
      <c r="NY41" s="476">
        <v>6.6000000000000003E-2</v>
      </c>
      <c r="NZ41" s="476">
        <v>0.41399999999999998</v>
      </c>
      <c r="OA41" s="476">
        <v>1E-3</v>
      </c>
      <c r="OB41" s="476">
        <v>8.9999999999999993E-3</v>
      </c>
      <c r="OC41" s="476">
        <v>3.2000000000000001E-2</v>
      </c>
      <c r="OD41" s="476">
        <v>0.01</v>
      </c>
      <c r="OE41" s="476">
        <v>0.30499999999999999</v>
      </c>
      <c r="OF41" s="476" t="s">
        <v>721</v>
      </c>
      <c r="OG41" s="476" t="s">
        <v>721</v>
      </c>
      <c r="OH41" s="476">
        <v>3.5000000000000003E-2</v>
      </c>
      <c r="OI41" s="476">
        <v>1.2E-2</v>
      </c>
      <c r="OJ41" s="476">
        <v>1E-3</v>
      </c>
      <c r="OK41" s="476">
        <v>1E-3</v>
      </c>
      <c r="OL41" s="476" t="s">
        <v>721</v>
      </c>
      <c r="OM41" s="476" t="s">
        <v>721</v>
      </c>
      <c r="ON41" s="476" t="s">
        <v>721</v>
      </c>
      <c r="OO41" s="476" t="s">
        <v>721</v>
      </c>
      <c r="OP41" s="476" t="s">
        <v>721</v>
      </c>
      <c r="OQ41" s="476" t="s">
        <v>721</v>
      </c>
      <c r="OR41" s="476" t="s">
        <v>721</v>
      </c>
      <c r="OS41" s="476" t="s">
        <v>721</v>
      </c>
      <c r="OT41" s="476">
        <v>8.2000000000000003E-2</v>
      </c>
      <c r="OU41" s="476" t="s">
        <v>721</v>
      </c>
      <c r="OV41" s="476" t="s">
        <v>721</v>
      </c>
      <c r="OW41" s="476">
        <v>4.0000000000000001E-3</v>
      </c>
      <c r="OX41" s="476">
        <v>1E-3</v>
      </c>
      <c r="OY41" s="476">
        <v>0</v>
      </c>
      <c r="OZ41" s="476">
        <v>1E-3</v>
      </c>
      <c r="PA41" s="476">
        <v>2.3E-2</v>
      </c>
      <c r="PB41" s="476" t="s">
        <v>721</v>
      </c>
      <c r="PC41" s="476" t="s">
        <v>721</v>
      </c>
      <c r="PD41" s="476" t="s">
        <v>721</v>
      </c>
      <c r="PE41" s="476">
        <v>1E-3</v>
      </c>
      <c r="PF41" s="476">
        <v>0.05</v>
      </c>
      <c r="PG41" s="476">
        <v>0.41599999999999998</v>
      </c>
      <c r="PH41" s="476" t="s">
        <v>721</v>
      </c>
      <c r="PI41" s="476">
        <v>5.0000000000000001E-3</v>
      </c>
      <c r="PJ41" s="476">
        <v>1.7000000000000001E-2</v>
      </c>
      <c r="PK41" s="476">
        <v>4.0000000000000001E-3</v>
      </c>
      <c r="PL41" s="476">
        <v>0.36199999999999999</v>
      </c>
      <c r="PM41" s="476">
        <v>8.0000000000000002E-3</v>
      </c>
      <c r="PN41" s="476" t="s">
        <v>721</v>
      </c>
      <c r="PO41" s="476">
        <v>2.9000000000000001E-2</v>
      </c>
      <c r="PP41" s="476">
        <v>7.0000000000000001E-3</v>
      </c>
      <c r="PQ41" s="476">
        <v>1E-3</v>
      </c>
      <c r="PR41" s="476">
        <v>1E-3</v>
      </c>
      <c r="PS41" s="476" t="s">
        <v>721</v>
      </c>
      <c r="PT41" s="476" t="s">
        <v>721</v>
      </c>
      <c r="PU41" s="476" t="s">
        <v>721</v>
      </c>
      <c r="PV41" s="476" t="s">
        <v>721</v>
      </c>
      <c r="PW41" s="476" t="s">
        <v>721</v>
      </c>
      <c r="PX41" s="476" t="s">
        <v>721</v>
      </c>
      <c r="PY41" s="476" t="s">
        <v>721</v>
      </c>
      <c r="PZ41" s="476" t="s">
        <v>721</v>
      </c>
      <c r="QA41" s="476">
        <v>7.8E-2</v>
      </c>
      <c r="QB41" s="476" t="s">
        <v>721</v>
      </c>
      <c r="QC41" s="476" t="s">
        <v>721</v>
      </c>
      <c r="QD41" s="476">
        <v>2E-3</v>
      </c>
      <c r="QE41" s="476" t="s">
        <v>721</v>
      </c>
      <c r="QF41" s="476" t="s">
        <v>721</v>
      </c>
      <c r="QG41" s="476" t="s">
        <v>721</v>
      </c>
      <c r="QH41" s="476">
        <v>1.7000000000000001E-2</v>
      </c>
      <c r="QI41" s="476" t="s">
        <v>721</v>
      </c>
      <c r="QJ41" s="476" t="s">
        <v>721</v>
      </c>
      <c r="QK41" s="476" t="s">
        <v>721</v>
      </c>
      <c r="QL41" s="476">
        <v>0.16900000000000001</v>
      </c>
      <c r="QM41" s="476">
        <v>0.114</v>
      </c>
      <c r="QN41" s="476">
        <v>0.125</v>
      </c>
      <c r="QO41" s="476">
        <v>5.5E-2</v>
      </c>
      <c r="QP41" s="476" t="s">
        <v>721</v>
      </c>
      <c r="QQ41" s="476">
        <v>4.1000000000000002E-2</v>
      </c>
      <c r="QR41" s="476">
        <v>0.222</v>
      </c>
      <c r="QS41" s="476" t="s">
        <v>721</v>
      </c>
      <c r="QT41" s="476">
        <v>0.20200000000000001</v>
      </c>
      <c r="QU41" s="476" t="s">
        <v>721</v>
      </c>
      <c r="QV41" s="476" t="s">
        <v>721</v>
      </c>
      <c r="QW41" s="476" t="s">
        <v>721</v>
      </c>
      <c r="QX41" s="476" t="s">
        <v>721</v>
      </c>
      <c r="QY41" s="476" t="s">
        <v>721</v>
      </c>
      <c r="QZ41" s="476" t="s">
        <v>721</v>
      </c>
      <c r="RA41" s="476" t="s">
        <v>721</v>
      </c>
      <c r="RB41" s="476" t="s">
        <v>721</v>
      </c>
      <c r="RC41" s="476" t="s">
        <v>721</v>
      </c>
      <c r="RD41" s="476">
        <v>3.9E-2</v>
      </c>
      <c r="RE41" s="476">
        <v>0.23300000000000001</v>
      </c>
      <c r="RF41" s="476">
        <v>0.186</v>
      </c>
      <c r="RG41" s="476">
        <v>0.17799999999999999</v>
      </c>
      <c r="RH41" s="476" t="s">
        <v>721</v>
      </c>
      <c r="RI41" s="476" t="s">
        <v>721</v>
      </c>
      <c r="RJ41" s="476">
        <v>0.109</v>
      </c>
      <c r="RK41" s="476">
        <v>0.14699999999999999</v>
      </c>
      <c r="RL41" s="476" t="s">
        <v>721</v>
      </c>
      <c r="RM41" s="476" t="s">
        <v>721</v>
      </c>
      <c r="RN41" s="476" t="s">
        <v>721</v>
      </c>
      <c r="RO41" s="476" t="s">
        <v>721</v>
      </c>
      <c r="RP41" s="476" t="s">
        <v>721</v>
      </c>
      <c r="RQ41" s="476" t="s">
        <v>721</v>
      </c>
      <c r="RR41" s="476" t="s">
        <v>721</v>
      </c>
      <c r="RS41" s="476" t="s">
        <v>721</v>
      </c>
      <c r="RT41" s="476" t="s">
        <v>721</v>
      </c>
      <c r="RU41" s="476" t="s">
        <v>721</v>
      </c>
      <c r="RV41" s="476" t="s">
        <v>721</v>
      </c>
      <c r="RW41" s="476" t="s">
        <v>721</v>
      </c>
      <c r="RX41" s="476">
        <v>0.20200000000000001</v>
      </c>
      <c r="RY41" s="476">
        <v>0.107</v>
      </c>
      <c r="RZ41" s="476">
        <v>0.14299999999999999</v>
      </c>
      <c r="SA41" s="476">
        <v>5.0999999999999997E-2</v>
      </c>
      <c r="SB41" s="476">
        <v>3.0000000000000001E-3</v>
      </c>
      <c r="SC41" s="476">
        <v>4.5999999999999999E-2</v>
      </c>
      <c r="SD41" s="476">
        <v>8.0000000000000002E-3</v>
      </c>
      <c r="SE41" s="476">
        <v>0</v>
      </c>
      <c r="SF41" s="476">
        <v>0.38600000000000001</v>
      </c>
      <c r="SG41" s="476">
        <v>3.0000000000000001E-3</v>
      </c>
      <c r="SH41" s="476">
        <v>2E-3</v>
      </c>
      <c r="SI41" s="476">
        <v>0.01</v>
      </c>
      <c r="SJ41" s="476">
        <v>4.0000000000000001E-3</v>
      </c>
      <c r="SK41" s="476">
        <v>3.0000000000000001E-3</v>
      </c>
      <c r="SL41" s="476">
        <v>0</v>
      </c>
      <c r="SM41" s="476" t="s">
        <v>721</v>
      </c>
      <c r="SN41" s="476">
        <v>1E-3</v>
      </c>
      <c r="SO41" s="476">
        <v>1.2999999999999999E-2</v>
      </c>
      <c r="SP41" s="476">
        <v>1.9E-2</v>
      </c>
      <c r="SQ41" s="476">
        <v>0.18099999999999999</v>
      </c>
      <c r="SR41" s="476">
        <v>0.12</v>
      </c>
      <c r="SS41" s="476">
        <v>0.113</v>
      </c>
      <c r="ST41" s="476">
        <v>5.8999999999999997E-2</v>
      </c>
      <c r="SU41" s="476" t="s">
        <v>721</v>
      </c>
      <c r="SV41" s="476">
        <v>8.5000000000000006E-2</v>
      </c>
      <c r="SW41" s="476">
        <v>1.9E-2</v>
      </c>
      <c r="SX41" s="476" t="s">
        <v>721</v>
      </c>
      <c r="SY41" s="476">
        <v>0.33400000000000002</v>
      </c>
      <c r="SZ41" s="476" t="s">
        <v>721</v>
      </c>
      <c r="TA41" s="476" t="s">
        <v>721</v>
      </c>
      <c r="TB41" s="476" t="s">
        <v>721</v>
      </c>
      <c r="TC41" s="476" t="s">
        <v>721</v>
      </c>
      <c r="TD41" s="476" t="s">
        <v>721</v>
      </c>
      <c r="TE41" s="476" t="s">
        <v>721</v>
      </c>
      <c r="TF41" s="476" t="s">
        <v>721</v>
      </c>
      <c r="TG41" s="476" t="s">
        <v>721</v>
      </c>
      <c r="TH41" s="476">
        <v>1.9E-2</v>
      </c>
      <c r="TI41" s="476">
        <v>4.1000000000000002E-2</v>
      </c>
      <c r="TJ41" s="476">
        <v>9.7000000000000003E-2</v>
      </c>
      <c r="TK41" s="476">
        <v>6.2E-2</v>
      </c>
      <c r="TL41" s="476">
        <v>7.6999999999999999E-2</v>
      </c>
      <c r="TM41" s="476">
        <v>5.1999999999999998E-2</v>
      </c>
      <c r="TN41" s="476" t="s">
        <v>721</v>
      </c>
      <c r="TO41" s="476">
        <v>5.6000000000000001E-2</v>
      </c>
      <c r="TP41" s="476" t="s">
        <v>721</v>
      </c>
      <c r="TQ41" s="476" t="s">
        <v>721</v>
      </c>
      <c r="TR41" s="476">
        <v>0.58199999999999996</v>
      </c>
      <c r="TS41" s="476" t="s">
        <v>721</v>
      </c>
      <c r="TT41" s="476" t="s">
        <v>721</v>
      </c>
      <c r="TU41" s="476">
        <v>0.01</v>
      </c>
      <c r="TV41" s="476">
        <v>6.0000000000000001E-3</v>
      </c>
      <c r="TW41" s="476" t="s">
        <v>721</v>
      </c>
      <c r="TX41" s="476" t="s">
        <v>721</v>
      </c>
      <c r="TY41" s="476" t="s">
        <v>721</v>
      </c>
      <c r="TZ41" s="476" t="s">
        <v>721</v>
      </c>
      <c r="UA41" s="476">
        <v>2.8000000000000001E-2</v>
      </c>
      <c r="UB41" s="476">
        <v>1.7000000000000001E-2</v>
      </c>
      <c r="UC41" s="476">
        <v>0.15</v>
      </c>
      <c r="UD41" s="476">
        <v>6.3E-2</v>
      </c>
      <c r="UE41" s="476">
        <v>0.126</v>
      </c>
      <c r="UF41" s="476">
        <v>8.8999999999999996E-2</v>
      </c>
      <c r="UG41" s="476">
        <v>4.0000000000000001E-3</v>
      </c>
      <c r="UH41" s="476">
        <v>2.1999999999999999E-2</v>
      </c>
      <c r="UI41" s="476">
        <v>0.01</v>
      </c>
      <c r="UJ41" s="476" t="s">
        <v>721</v>
      </c>
      <c r="UK41" s="476">
        <v>0.48099999999999998</v>
      </c>
      <c r="UL41" s="476">
        <v>2E-3</v>
      </c>
      <c r="UM41" s="476">
        <v>2E-3</v>
      </c>
      <c r="UN41" s="476">
        <v>6.0000000000000001E-3</v>
      </c>
      <c r="UO41" s="476">
        <v>3.0000000000000001E-3</v>
      </c>
      <c r="UP41" s="476">
        <v>2E-3</v>
      </c>
      <c r="UQ41" s="476" t="s">
        <v>721</v>
      </c>
      <c r="UR41" s="476" t="s">
        <v>721</v>
      </c>
      <c r="US41" s="476">
        <v>1E-3</v>
      </c>
      <c r="UT41" s="476">
        <v>0.02</v>
      </c>
      <c r="UU41" s="476">
        <v>1.7999999999999999E-2</v>
      </c>
      <c r="UV41" s="476">
        <v>0.216</v>
      </c>
      <c r="UW41" s="476">
        <v>0.13300000000000001</v>
      </c>
      <c r="UX41" s="476">
        <v>0.14599999999999999</v>
      </c>
      <c r="UY41" s="476">
        <v>3.6999999999999998E-2</v>
      </c>
      <c r="UZ41" s="476">
        <v>2E-3</v>
      </c>
      <c r="VA41" s="476">
        <v>6.0999999999999999E-2</v>
      </c>
      <c r="VB41" s="476">
        <v>5.0000000000000001E-3</v>
      </c>
      <c r="VC41" s="476" t="s">
        <v>721</v>
      </c>
      <c r="VD41" s="476">
        <v>0.34300000000000003</v>
      </c>
      <c r="VE41" s="476">
        <v>3.0000000000000001E-3</v>
      </c>
      <c r="VF41" s="476">
        <v>2E-3</v>
      </c>
      <c r="VG41" s="476">
        <v>1.2999999999999999E-2</v>
      </c>
      <c r="VH41" s="476">
        <v>5.0000000000000001E-3</v>
      </c>
      <c r="VI41" s="476">
        <v>4.0000000000000001E-3</v>
      </c>
      <c r="VJ41" s="476" t="s">
        <v>721</v>
      </c>
      <c r="VK41" s="476" t="s">
        <v>721</v>
      </c>
      <c r="VL41" s="476" t="s">
        <v>721</v>
      </c>
      <c r="VM41" s="476">
        <v>1.0999999999999999E-2</v>
      </c>
      <c r="VN41" s="476">
        <v>1.7999999999999999E-2</v>
      </c>
      <c r="VO41" s="28"/>
      <c r="VP41" s="28"/>
      <c r="VQ41" s="28"/>
      <c r="VR41" s="28"/>
      <c r="VS41" s="28"/>
      <c r="VT41" s="28"/>
      <c r="VU41" s="28"/>
      <c r="VV41" s="28"/>
      <c r="VW41" s="28"/>
      <c r="VX41" s="28"/>
      <c r="VY41" s="28"/>
      <c r="VZ41" s="28"/>
      <c r="WA41" s="28"/>
      <c r="WB41" s="28"/>
      <c r="WC41" s="28"/>
      <c r="WD41" s="28"/>
      <c r="WE41" s="28"/>
      <c r="WF41" s="28"/>
      <c r="WG41" s="28"/>
      <c r="WH41" s="28"/>
      <c r="WI41" s="28"/>
      <c r="WJ41" s="28"/>
      <c r="WK41" s="28"/>
      <c r="WL41" s="28"/>
      <c r="WM41" s="28"/>
      <c r="WN41" s="28"/>
      <c r="WO41" s="28"/>
      <c r="WP41" s="28"/>
      <c r="WQ41" s="28"/>
      <c r="WR41" s="28"/>
      <c r="WS41" s="28"/>
      <c r="WT41" s="28"/>
      <c r="WU41" s="28"/>
      <c r="WV41" s="28"/>
      <c r="WW41" s="28"/>
    </row>
    <row r="42" spans="1:621" s="151" customFormat="1" ht="15.75" customHeight="1" x14ac:dyDescent="0.35">
      <c r="A42" s="477" t="s">
        <v>48</v>
      </c>
      <c r="B42" s="492" t="s">
        <v>17</v>
      </c>
      <c r="C42" s="493">
        <v>16</v>
      </c>
      <c r="D42" s="494">
        <v>9098</v>
      </c>
      <c r="E42" s="473">
        <v>902250.6</v>
      </c>
      <c r="F42" s="473">
        <v>99.2</v>
      </c>
      <c r="G42" s="474">
        <v>8910</v>
      </c>
      <c r="H42" s="474">
        <v>7720</v>
      </c>
      <c r="I42" s="474">
        <v>4861</v>
      </c>
      <c r="J42" s="474">
        <v>4086</v>
      </c>
      <c r="K42" s="474">
        <v>2284</v>
      </c>
      <c r="L42" s="473">
        <v>369728.2</v>
      </c>
      <c r="M42" s="474">
        <v>6742</v>
      </c>
      <c r="N42" s="473">
        <v>532522.4</v>
      </c>
      <c r="O42" s="494">
        <v>825</v>
      </c>
      <c r="P42" s="495">
        <v>147839.9</v>
      </c>
      <c r="Q42" s="494">
        <v>1478</v>
      </c>
      <c r="R42" s="495">
        <v>45299.3</v>
      </c>
      <c r="S42" s="494">
        <v>2934</v>
      </c>
      <c r="T42" s="495">
        <v>261150</v>
      </c>
      <c r="U42" s="494">
        <v>159</v>
      </c>
      <c r="V42" s="495">
        <v>18437.7</v>
      </c>
      <c r="W42" s="494">
        <v>6005</v>
      </c>
      <c r="X42" s="495">
        <v>622662.9</v>
      </c>
      <c r="Y42" s="494">
        <v>7825</v>
      </c>
      <c r="Z42" s="494">
        <v>5165</v>
      </c>
      <c r="AA42" s="494">
        <v>6280</v>
      </c>
      <c r="AB42" s="494">
        <v>4642</v>
      </c>
      <c r="AC42" s="494">
        <v>407</v>
      </c>
      <c r="AD42" s="494">
        <v>1805</v>
      </c>
      <c r="AE42" s="494">
        <v>4614</v>
      </c>
      <c r="AF42" s="495">
        <v>290199.2</v>
      </c>
      <c r="AG42" s="494">
        <v>3914</v>
      </c>
      <c r="AH42" s="495">
        <v>583142.5</v>
      </c>
      <c r="AI42" s="494">
        <v>310</v>
      </c>
      <c r="AJ42" s="495">
        <v>11493.6</v>
      </c>
      <c r="AK42" s="494">
        <v>188</v>
      </c>
      <c r="AL42" s="495">
        <v>17415.3</v>
      </c>
      <c r="AM42" s="496">
        <v>5264</v>
      </c>
      <c r="AN42" s="496">
        <v>3834</v>
      </c>
      <c r="AO42" s="496">
        <v>1585</v>
      </c>
      <c r="AP42" s="496">
        <v>2276</v>
      </c>
      <c r="AQ42" s="496">
        <v>1644</v>
      </c>
      <c r="AR42" s="496">
        <v>388</v>
      </c>
      <c r="AS42" s="496">
        <v>41</v>
      </c>
      <c r="AT42" s="496">
        <v>484</v>
      </c>
      <c r="AU42" s="496">
        <v>546</v>
      </c>
      <c r="AV42" s="496" t="s">
        <v>721</v>
      </c>
      <c r="AW42" s="496">
        <v>176</v>
      </c>
      <c r="AX42" s="496">
        <v>522</v>
      </c>
      <c r="AY42" s="496" t="s">
        <v>721</v>
      </c>
      <c r="AZ42" s="496">
        <v>19</v>
      </c>
      <c r="BA42" s="496">
        <v>19</v>
      </c>
      <c r="BB42" s="496">
        <v>635</v>
      </c>
      <c r="BC42" s="496" t="s">
        <v>721</v>
      </c>
      <c r="BD42" s="496" t="s">
        <v>721</v>
      </c>
      <c r="BE42" s="496">
        <v>174</v>
      </c>
      <c r="BF42" s="496">
        <v>224</v>
      </c>
      <c r="BG42" s="496">
        <v>347</v>
      </c>
      <c r="BH42" s="496" t="s">
        <v>721</v>
      </c>
      <c r="BI42" s="496">
        <v>1146</v>
      </c>
      <c r="BJ42" s="496">
        <v>138</v>
      </c>
      <c r="BK42" s="496" t="s">
        <v>721</v>
      </c>
      <c r="BL42" s="496">
        <v>16</v>
      </c>
      <c r="BM42" s="496">
        <v>134</v>
      </c>
      <c r="BN42" s="496">
        <v>318</v>
      </c>
      <c r="BO42" s="496">
        <v>5841</v>
      </c>
      <c r="BP42" s="496">
        <v>22</v>
      </c>
      <c r="BQ42" s="496" t="s">
        <v>721</v>
      </c>
      <c r="BR42" s="496">
        <v>23</v>
      </c>
      <c r="BS42" s="496" t="s">
        <v>721</v>
      </c>
      <c r="BT42" s="496">
        <v>449</v>
      </c>
      <c r="BU42" s="496" t="s">
        <v>721</v>
      </c>
      <c r="BV42" s="496">
        <v>31</v>
      </c>
      <c r="BW42" s="496" t="s">
        <v>721</v>
      </c>
      <c r="BX42" s="496">
        <v>135</v>
      </c>
      <c r="BY42" s="496">
        <v>116</v>
      </c>
      <c r="BZ42" s="496" t="s">
        <v>721</v>
      </c>
      <c r="CA42" s="496" t="s">
        <v>721</v>
      </c>
      <c r="CB42" s="496" t="s">
        <v>721</v>
      </c>
      <c r="CC42" s="496" t="s">
        <v>721</v>
      </c>
      <c r="CD42" s="496" t="s">
        <v>721</v>
      </c>
      <c r="CE42" s="496">
        <v>17</v>
      </c>
      <c r="CF42" s="496" t="s">
        <v>721</v>
      </c>
      <c r="CG42" s="496">
        <v>51</v>
      </c>
      <c r="CH42" s="496" t="s">
        <v>721</v>
      </c>
      <c r="CI42" s="496" t="s">
        <v>721</v>
      </c>
      <c r="CJ42" s="496">
        <v>125</v>
      </c>
      <c r="CK42" s="496">
        <v>189</v>
      </c>
      <c r="CL42" s="496">
        <v>22</v>
      </c>
      <c r="CM42" s="496">
        <v>290</v>
      </c>
      <c r="CN42" s="496" t="s">
        <v>721</v>
      </c>
      <c r="CO42" s="496" t="s">
        <v>721</v>
      </c>
      <c r="CP42" s="496">
        <v>492</v>
      </c>
      <c r="CQ42" s="496">
        <v>41</v>
      </c>
      <c r="CR42" s="496" t="s">
        <v>721</v>
      </c>
      <c r="CS42" s="496" t="s">
        <v>721</v>
      </c>
      <c r="CT42" s="496">
        <v>48</v>
      </c>
      <c r="CU42" s="496">
        <v>109</v>
      </c>
      <c r="CV42" s="496">
        <v>6774</v>
      </c>
      <c r="CW42" s="496">
        <v>128</v>
      </c>
      <c r="CX42" s="496" t="s">
        <v>721</v>
      </c>
      <c r="CY42" s="496" t="s">
        <v>721</v>
      </c>
      <c r="CZ42" s="496">
        <v>22</v>
      </c>
      <c r="DA42" s="496">
        <v>67</v>
      </c>
      <c r="DB42" s="496" t="s">
        <v>721</v>
      </c>
      <c r="DC42" s="496" t="s">
        <v>721</v>
      </c>
      <c r="DD42" s="496" t="s">
        <v>721</v>
      </c>
      <c r="DE42" s="496">
        <v>21</v>
      </c>
      <c r="DF42" s="496">
        <v>13</v>
      </c>
      <c r="DG42" s="496" t="s">
        <v>721</v>
      </c>
      <c r="DH42" s="496" t="s">
        <v>721</v>
      </c>
      <c r="DI42" s="496" t="s">
        <v>721</v>
      </c>
      <c r="DJ42" s="496" t="s">
        <v>721</v>
      </c>
      <c r="DK42" s="496" t="s">
        <v>721</v>
      </c>
      <c r="DL42" s="496" t="s">
        <v>721</v>
      </c>
      <c r="DM42" s="496" t="s">
        <v>721</v>
      </c>
      <c r="DN42" s="496" t="s">
        <v>721</v>
      </c>
      <c r="DO42" s="496" t="s">
        <v>721</v>
      </c>
      <c r="DP42" s="496" t="s">
        <v>721</v>
      </c>
      <c r="DQ42" s="496">
        <v>30</v>
      </c>
      <c r="DR42" s="496">
        <v>45</v>
      </c>
      <c r="DS42" s="483" t="s">
        <v>721</v>
      </c>
      <c r="DT42" s="483" t="s">
        <v>721</v>
      </c>
      <c r="DU42" s="483" t="s">
        <v>721</v>
      </c>
      <c r="DV42" s="496">
        <v>879</v>
      </c>
      <c r="DW42" s="497">
        <v>115605.6</v>
      </c>
      <c r="DX42" s="496">
        <v>1577</v>
      </c>
      <c r="DY42" s="497">
        <v>212649.1</v>
      </c>
      <c r="DZ42" s="496">
        <v>2039</v>
      </c>
      <c r="EA42" s="497">
        <v>172904.3</v>
      </c>
      <c r="EB42" s="496">
        <v>1864</v>
      </c>
      <c r="EC42" s="497">
        <v>148557.20000000001</v>
      </c>
      <c r="ED42" s="496">
        <v>1662</v>
      </c>
      <c r="EE42" s="497">
        <v>140364.6</v>
      </c>
      <c r="EF42" s="496">
        <v>1077</v>
      </c>
      <c r="EG42" s="497">
        <v>112169.8</v>
      </c>
      <c r="EH42" s="485">
        <v>7310</v>
      </c>
      <c r="EI42" s="486">
        <v>21314.7</v>
      </c>
      <c r="EJ42" s="485">
        <v>7280</v>
      </c>
      <c r="EK42" s="486">
        <v>155704.4</v>
      </c>
      <c r="EL42" s="485">
        <v>7227</v>
      </c>
      <c r="EM42" s="486">
        <v>63752.2</v>
      </c>
      <c r="EN42" s="485">
        <v>7590</v>
      </c>
      <c r="EO42" s="486">
        <v>35533.9</v>
      </c>
      <c r="EP42" s="485">
        <v>7261</v>
      </c>
      <c r="EQ42" s="486">
        <v>18769.3</v>
      </c>
      <c r="ER42" s="485">
        <v>7305</v>
      </c>
      <c r="ES42" s="486">
        <v>14787.8</v>
      </c>
      <c r="ET42" s="485">
        <v>0</v>
      </c>
      <c r="EU42" s="485">
        <v>6288</v>
      </c>
      <c r="EV42" s="486">
        <v>87804.4</v>
      </c>
      <c r="EW42" s="485">
        <v>1023</v>
      </c>
      <c r="EX42" s="486">
        <v>4055.8</v>
      </c>
      <c r="EY42" s="485">
        <v>2105</v>
      </c>
      <c r="EZ42" s="486">
        <v>28035.7</v>
      </c>
      <c r="FA42" s="485">
        <v>1089</v>
      </c>
      <c r="FB42" s="486">
        <v>10722.8</v>
      </c>
      <c r="FC42" s="485">
        <v>7833</v>
      </c>
      <c r="FD42" s="486">
        <v>84946.2</v>
      </c>
      <c r="FE42" s="485">
        <v>7778</v>
      </c>
      <c r="FF42" s="486">
        <v>56727.3</v>
      </c>
      <c r="FG42" s="485">
        <v>3079</v>
      </c>
      <c r="FH42" s="486">
        <v>23434.799999999999</v>
      </c>
      <c r="FI42" s="485">
        <v>5640</v>
      </c>
      <c r="FJ42" s="486">
        <v>30535.8</v>
      </c>
      <c r="FK42" s="485">
        <v>6163</v>
      </c>
      <c r="FL42" s="486">
        <v>17370.7</v>
      </c>
      <c r="FM42" s="485">
        <v>429</v>
      </c>
      <c r="FN42" s="486">
        <v>968.3</v>
      </c>
      <c r="FO42" s="485">
        <v>7181</v>
      </c>
      <c r="FP42" s="486">
        <v>35851.199999999997</v>
      </c>
      <c r="FQ42" s="485">
        <v>7208</v>
      </c>
      <c r="FR42" s="486">
        <v>18141.7</v>
      </c>
      <c r="FS42" s="485">
        <v>119</v>
      </c>
      <c r="FT42" s="486">
        <v>852.4</v>
      </c>
      <c r="FU42" s="485">
        <v>0</v>
      </c>
      <c r="FV42" s="486">
        <v>0</v>
      </c>
      <c r="FW42" s="485">
        <v>0</v>
      </c>
      <c r="FX42" s="486">
        <v>0</v>
      </c>
      <c r="FY42" s="485">
        <v>0</v>
      </c>
      <c r="FZ42" s="486">
        <v>0</v>
      </c>
      <c r="GA42" s="485">
        <v>0</v>
      </c>
      <c r="GB42" s="485">
        <v>0</v>
      </c>
      <c r="GC42" s="487">
        <v>0</v>
      </c>
      <c r="GD42" s="488">
        <v>24</v>
      </c>
      <c r="GE42" s="488">
        <v>198</v>
      </c>
      <c r="GF42" s="488">
        <v>3082</v>
      </c>
      <c r="GG42" s="488">
        <v>19</v>
      </c>
      <c r="GH42" s="488">
        <v>4</v>
      </c>
      <c r="GI42" s="488">
        <v>5</v>
      </c>
      <c r="GJ42" s="488">
        <v>2</v>
      </c>
      <c r="GK42" s="488">
        <v>1044</v>
      </c>
      <c r="GL42" s="488">
        <v>2230</v>
      </c>
      <c r="GM42" s="488">
        <v>3304</v>
      </c>
      <c r="GN42" s="488">
        <v>1864</v>
      </c>
      <c r="GO42" s="488">
        <v>385</v>
      </c>
      <c r="GP42" s="488">
        <v>20</v>
      </c>
      <c r="GQ42" s="488">
        <v>169</v>
      </c>
      <c r="GR42" s="488">
        <v>9</v>
      </c>
      <c r="GS42" s="488">
        <v>198</v>
      </c>
      <c r="GT42" s="489">
        <v>5817</v>
      </c>
      <c r="GU42" s="488">
        <v>7</v>
      </c>
      <c r="GV42" s="490">
        <v>0</v>
      </c>
      <c r="GW42" s="490">
        <v>7</v>
      </c>
      <c r="GX42" s="490">
        <v>14</v>
      </c>
      <c r="GY42" s="491">
        <v>18</v>
      </c>
      <c r="GZ42" s="491">
        <v>3</v>
      </c>
      <c r="HA42" s="491">
        <v>21</v>
      </c>
      <c r="HB42" s="475">
        <v>5</v>
      </c>
      <c r="HC42" s="475">
        <v>4</v>
      </c>
      <c r="HD42" s="475">
        <v>0</v>
      </c>
      <c r="HE42" s="475">
        <v>1</v>
      </c>
      <c r="HF42" s="475">
        <v>1</v>
      </c>
      <c r="HG42" s="475">
        <v>0</v>
      </c>
      <c r="HH42" s="475">
        <v>1</v>
      </c>
      <c r="HI42" s="475">
        <v>0</v>
      </c>
      <c r="HJ42" s="475">
        <v>0</v>
      </c>
      <c r="HK42" s="475">
        <v>0</v>
      </c>
      <c r="HL42" s="475">
        <v>11</v>
      </c>
      <c r="HM42" s="475">
        <v>1</v>
      </c>
      <c r="HN42" s="475">
        <v>0</v>
      </c>
      <c r="HO42" s="475">
        <v>4</v>
      </c>
      <c r="HP42" s="475">
        <v>0</v>
      </c>
      <c r="HQ42" s="475">
        <v>1</v>
      </c>
      <c r="HR42" s="475">
        <v>34</v>
      </c>
      <c r="HS42" s="475">
        <v>0</v>
      </c>
      <c r="HT42" s="475">
        <v>0</v>
      </c>
      <c r="HU42" s="475">
        <v>0</v>
      </c>
      <c r="HV42" s="475">
        <v>0</v>
      </c>
      <c r="HW42" s="475">
        <v>0</v>
      </c>
      <c r="HX42" s="475">
        <v>0</v>
      </c>
      <c r="HY42" s="475">
        <v>0</v>
      </c>
      <c r="HZ42" s="475">
        <v>46</v>
      </c>
      <c r="IA42" s="475">
        <v>52</v>
      </c>
      <c r="IB42" s="475">
        <v>38</v>
      </c>
      <c r="IC42" s="475" t="s">
        <v>721</v>
      </c>
      <c r="ID42" s="475" t="s">
        <v>721</v>
      </c>
      <c r="IE42" s="475" t="s">
        <v>721</v>
      </c>
      <c r="IF42" s="475">
        <v>188</v>
      </c>
      <c r="IG42" s="475" t="s">
        <v>721</v>
      </c>
      <c r="IH42" s="475" t="s">
        <v>721</v>
      </c>
      <c r="II42" s="475" t="s">
        <v>721</v>
      </c>
      <c r="IJ42" s="475" t="s">
        <v>721</v>
      </c>
      <c r="IK42" s="475" t="s">
        <v>721</v>
      </c>
      <c r="IL42" s="475" t="s">
        <v>721</v>
      </c>
      <c r="IM42" s="475">
        <v>12</v>
      </c>
      <c r="IN42" s="475" t="s">
        <v>721</v>
      </c>
      <c r="IO42" s="475" t="s">
        <v>721</v>
      </c>
      <c r="IP42" s="475" t="s">
        <v>721</v>
      </c>
      <c r="IQ42" s="475" t="s">
        <v>721</v>
      </c>
      <c r="IR42" s="475">
        <v>16</v>
      </c>
      <c r="IS42" s="475">
        <v>18</v>
      </c>
      <c r="IT42" s="475">
        <v>40</v>
      </c>
      <c r="IU42" s="475">
        <v>20</v>
      </c>
      <c r="IV42" s="475" t="s">
        <v>721</v>
      </c>
      <c r="IW42" s="475" t="s">
        <v>721</v>
      </c>
      <c r="IX42" s="475" t="s">
        <v>721</v>
      </c>
      <c r="IY42" s="475">
        <v>87</v>
      </c>
      <c r="IZ42" s="475" t="s">
        <v>721</v>
      </c>
      <c r="JA42" s="475" t="s">
        <v>721</v>
      </c>
      <c r="JB42" s="475" t="s">
        <v>721</v>
      </c>
      <c r="JC42" s="475" t="s">
        <v>721</v>
      </c>
      <c r="JD42" s="475" t="s">
        <v>721</v>
      </c>
      <c r="JE42" s="475" t="s">
        <v>721</v>
      </c>
      <c r="JF42" s="475" t="s">
        <v>721</v>
      </c>
      <c r="JG42" s="475" t="s">
        <v>721</v>
      </c>
      <c r="JH42" s="475" t="s">
        <v>721</v>
      </c>
      <c r="JI42" s="475" t="s">
        <v>721</v>
      </c>
      <c r="JJ42" s="475" t="s">
        <v>721</v>
      </c>
      <c r="JK42" s="475" t="s">
        <v>721</v>
      </c>
      <c r="JL42" s="755">
        <v>166231.70000000001</v>
      </c>
      <c r="JM42" s="755">
        <v>237539.3</v>
      </c>
      <c r="JN42" s="755">
        <v>159534.29999999999</v>
      </c>
      <c r="JO42" s="755">
        <v>36089.199999999997</v>
      </c>
      <c r="JP42" s="755">
        <v>3685.5</v>
      </c>
      <c r="JQ42" s="755">
        <v>48717.4</v>
      </c>
      <c r="JR42" s="755">
        <v>52178.5</v>
      </c>
      <c r="JS42" s="755">
        <v>303.89999999999998</v>
      </c>
      <c r="JT42" s="755">
        <v>15002.4</v>
      </c>
      <c r="JU42" s="755">
        <v>48576.5</v>
      </c>
      <c r="JV42" s="755">
        <v>724.3</v>
      </c>
      <c r="JW42" s="755">
        <v>1780.9</v>
      </c>
      <c r="JX42" s="755">
        <v>1988</v>
      </c>
      <c r="JY42" s="755">
        <v>59157.599999999999</v>
      </c>
      <c r="JZ42" s="755">
        <v>434.7</v>
      </c>
      <c r="KA42" s="755">
        <v>217.7</v>
      </c>
      <c r="KB42" s="755">
        <v>15692.5</v>
      </c>
      <c r="KC42" s="755">
        <v>21830.5</v>
      </c>
      <c r="KD42" s="755">
        <v>32565.7</v>
      </c>
      <c r="KE42" s="475">
        <v>191</v>
      </c>
      <c r="KF42" s="475">
        <v>251</v>
      </c>
      <c r="KG42" s="475">
        <v>109</v>
      </c>
      <c r="KH42" s="475">
        <v>20</v>
      </c>
      <c r="KI42" s="475" t="s">
        <v>721</v>
      </c>
      <c r="KJ42" s="475">
        <v>50</v>
      </c>
      <c r="KK42" s="475">
        <v>48</v>
      </c>
      <c r="KL42" s="475" t="s">
        <v>721</v>
      </c>
      <c r="KM42" s="475">
        <v>12</v>
      </c>
      <c r="KN42" s="475">
        <v>32</v>
      </c>
      <c r="KO42" s="475" t="s">
        <v>721</v>
      </c>
      <c r="KP42" s="475" t="s">
        <v>721</v>
      </c>
      <c r="KQ42" s="475" t="s">
        <v>721</v>
      </c>
      <c r="KR42" s="475">
        <v>38</v>
      </c>
      <c r="KS42" s="475" t="s">
        <v>721</v>
      </c>
      <c r="KT42" s="475" t="s">
        <v>721</v>
      </c>
      <c r="KU42" s="475" t="s">
        <v>721</v>
      </c>
      <c r="KV42" s="475">
        <v>20</v>
      </c>
      <c r="KW42" s="475">
        <v>39</v>
      </c>
      <c r="KX42" s="475">
        <v>247</v>
      </c>
      <c r="KY42" s="475">
        <v>411</v>
      </c>
      <c r="KZ42" s="475">
        <v>202</v>
      </c>
      <c r="LA42" s="475">
        <v>80</v>
      </c>
      <c r="LB42" s="475" t="s">
        <v>721</v>
      </c>
      <c r="LC42" s="475">
        <v>104</v>
      </c>
      <c r="LD42" s="475">
        <v>86</v>
      </c>
      <c r="LE42" s="475" t="s">
        <v>721</v>
      </c>
      <c r="LF42" s="475">
        <v>21</v>
      </c>
      <c r="LG42" s="475">
        <v>73</v>
      </c>
      <c r="LH42" s="475" t="s">
        <v>721</v>
      </c>
      <c r="LI42" s="475" t="s">
        <v>721</v>
      </c>
      <c r="LJ42" s="475" t="s">
        <v>721</v>
      </c>
      <c r="LK42" s="475">
        <v>132</v>
      </c>
      <c r="LL42" s="475" t="s">
        <v>721</v>
      </c>
      <c r="LM42" s="475" t="s">
        <v>721</v>
      </c>
      <c r="LN42" s="475">
        <v>21</v>
      </c>
      <c r="LO42" s="475">
        <v>32</v>
      </c>
      <c r="LP42" s="475">
        <v>57</v>
      </c>
      <c r="LQ42" s="475">
        <v>1200</v>
      </c>
      <c r="LR42" s="475">
        <v>1654</v>
      </c>
      <c r="LS42" s="475">
        <v>1245</v>
      </c>
      <c r="LT42" s="475">
        <v>268</v>
      </c>
      <c r="LU42" s="475">
        <v>35</v>
      </c>
      <c r="LV42" s="475">
        <v>344</v>
      </c>
      <c r="LW42" s="475">
        <v>421</v>
      </c>
      <c r="LX42" s="475" t="s">
        <v>721</v>
      </c>
      <c r="LY42" s="475">
        <v>141</v>
      </c>
      <c r="LZ42" s="475">
        <v>390</v>
      </c>
      <c r="MA42" s="475" t="s">
        <v>721</v>
      </c>
      <c r="MB42" s="475">
        <v>15</v>
      </c>
      <c r="MC42" s="475">
        <v>12</v>
      </c>
      <c r="MD42" s="475">
        <v>448</v>
      </c>
      <c r="ME42" s="475" t="s">
        <v>721</v>
      </c>
      <c r="MF42" s="475" t="s">
        <v>721</v>
      </c>
      <c r="MG42" s="475">
        <v>129</v>
      </c>
      <c r="MH42" s="475">
        <v>157</v>
      </c>
      <c r="MI42" s="475">
        <v>267</v>
      </c>
      <c r="MJ42" s="475">
        <v>367</v>
      </c>
      <c r="MK42" s="475">
        <v>607</v>
      </c>
      <c r="ML42" s="475">
        <v>388</v>
      </c>
      <c r="MM42" s="475">
        <v>119</v>
      </c>
      <c r="MN42" s="475" t="s">
        <v>721</v>
      </c>
      <c r="MO42" s="475">
        <v>132</v>
      </c>
      <c r="MP42" s="475">
        <v>120</v>
      </c>
      <c r="MQ42" s="475" t="s">
        <v>721</v>
      </c>
      <c r="MR42" s="475">
        <v>32</v>
      </c>
      <c r="MS42" s="475">
        <v>130</v>
      </c>
      <c r="MT42" s="475" t="s">
        <v>721</v>
      </c>
      <c r="MU42" s="475" t="s">
        <v>721</v>
      </c>
      <c r="MV42" s="475" t="s">
        <v>721</v>
      </c>
      <c r="MW42" s="475">
        <v>182</v>
      </c>
      <c r="MX42" s="475" t="s">
        <v>721</v>
      </c>
      <c r="MY42" s="475" t="s">
        <v>721</v>
      </c>
      <c r="MZ42" s="475">
        <v>43</v>
      </c>
      <c r="NA42" s="475">
        <v>66</v>
      </c>
      <c r="NB42" s="475">
        <v>79</v>
      </c>
      <c r="NC42" s="476">
        <v>0.57899999999999996</v>
      </c>
      <c r="ND42" s="476">
        <v>0.42099999999999999</v>
      </c>
      <c r="NE42" s="476">
        <v>0.17399999999999999</v>
      </c>
      <c r="NF42" s="476">
        <v>0.25</v>
      </c>
      <c r="NG42" s="476">
        <v>0.18099999999999999</v>
      </c>
      <c r="NH42" s="476">
        <v>4.2999999999999997E-2</v>
      </c>
      <c r="NI42" s="476">
        <v>5.0000000000000001E-3</v>
      </c>
      <c r="NJ42" s="476">
        <v>5.2999999999999999E-2</v>
      </c>
      <c r="NK42" s="476">
        <v>0.06</v>
      </c>
      <c r="NL42" s="476" t="s">
        <v>721</v>
      </c>
      <c r="NM42" s="476">
        <v>1.9E-2</v>
      </c>
      <c r="NN42" s="476">
        <v>5.7000000000000002E-2</v>
      </c>
      <c r="NO42" s="476" t="s">
        <v>721</v>
      </c>
      <c r="NP42" s="476">
        <v>2E-3</v>
      </c>
      <c r="NQ42" s="476">
        <v>2E-3</v>
      </c>
      <c r="NR42" s="476">
        <v>7.0000000000000007E-2</v>
      </c>
      <c r="NS42" s="476" t="s">
        <v>721</v>
      </c>
      <c r="NT42" s="476" t="s">
        <v>721</v>
      </c>
      <c r="NU42" s="476">
        <v>1.9E-2</v>
      </c>
      <c r="NV42" s="476">
        <v>2.5000000000000001E-2</v>
      </c>
      <c r="NW42" s="476">
        <v>3.7999999999999999E-2</v>
      </c>
      <c r="NX42" s="476" t="s">
        <v>721</v>
      </c>
      <c r="NY42" s="476">
        <v>0.126</v>
      </c>
      <c r="NZ42" s="476">
        <v>1.4999999999999999E-2</v>
      </c>
      <c r="OA42" s="476" t="s">
        <v>721</v>
      </c>
      <c r="OB42" s="476">
        <v>2E-3</v>
      </c>
      <c r="OC42" s="476">
        <v>1.4999999999999999E-2</v>
      </c>
      <c r="OD42" s="476">
        <v>3.5000000000000003E-2</v>
      </c>
      <c r="OE42" s="476">
        <v>0.64200000000000002</v>
      </c>
      <c r="OF42" s="476">
        <v>2E-3</v>
      </c>
      <c r="OG42" s="476" t="s">
        <v>721</v>
      </c>
      <c r="OH42" s="476">
        <v>3.0000000000000001E-3</v>
      </c>
      <c r="OI42" s="476" t="s">
        <v>721</v>
      </c>
      <c r="OJ42" s="476">
        <v>4.9000000000000002E-2</v>
      </c>
      <c r="OK42" s="476" t="s">
        <v>721</v>
      </c>
      <c r="OL42" s="476">
        <v>3.0000000000000001E-3</v>
      </c>
      <c r="OM42" s="476" t="s">
        <v>721</v>
      </c>
      <c r="ON42" s="476">
        <v>1.4999999999999999E-2</v>
      </c>
      <c r="OO42" s="476">
        <v>1.2999999999999999E-2</v>
      </c>
      <c r="OP42" s="476" t="s">
        <v>721</v>
      </c>
      <c r="OQ42" s="476" t="s">
        <v>721</v>
      </c>
      <c r="OR42" s="476" t="s">
        <v>721</v>
      </c>
      <c r="OS42" s="476" t="s">
        <v>721</v>
      </c>
      <c r="OT42" s="476" t="s">
        <v>721</v>
      </c>
      <c r="OU42" s="476">
        <v>2E-3</v>
      </c>
      <c r="OV42" s="476" t="s">
        <v>721</v>
      </c>
      <c r="OW42" s="476">
        <v>6.0000000000000001E-3</v>
      </c>
      <c r="OX42" s="476" t="s">
        <v>721</v>
      </c>
      <c r="OY42" s="476" t="s">
        <v>721</v>
      </c>
      <c r="OZ42" s="476">
        <v>1.4E-2</v>
      </c>
      <c r="PA42" s="476">
        <v>2.1000000000000001E-2</v>
      </c>
      <c r="PB42" s="476">
        <v>2E-3</v>
      </c>
      <c r="PC42" s="476">
        <v>3.2000000000000001E-2</v>
      </c>
      <c r="PD42" s="476" t="s">
        <v>721</v>
      </c>
      <c r="PE42" s="476" t="s">
        <v>721</v>
      </c>
      <c r="PF42" s="476">
        <v>6.3E-2</v>
      </c>
      <c r="PG42" s="476">
        <v>5.0000000000000001E-3</v>
      </c>
      <c r="PH42" s="476" t="s">
        <v>721</v>
      </c>
      <c r="PI42" s="476" t="s">
        <v>721</v>
      </c>
      <c r="PJ42" s="476">
        <v>6.0000000000000001E-3</v>
      </c>
      <c r="PK42" s="476">
        <v>1.4E-2</v>
      </c>
      <c r="PL42" s="476">
        <v>0.86599999999999999</v>
      </c>
      <c r="PM42" s="476">
        <v>1.6E-2</v>
      </c>
      <c r="PN42" s="476" t="s">
        <v>721</v>
      </c>
      <c r="PO42" s="476" t="s">
        <v>721</v>
      </c>
      <c r="PP42" s="476">
        <v>3.0000000000000001E-3</v>
      </c>
      <c r="PQ42" s="476">
        <v>8.9999999999999993E-3</v>
      </c>
      <c r="PR42" s="476" t="s">
        <v>721</v>
      </c>
      <c r="PS42" s="476" t="s">
        <v>721</v>
      </c>
      <c r="PT42" s="476" t="s">
        <v>721</v>
      </c>
      <c r="PU42" s="476">
        <v>3.0000000000000001E-3</v>
      </c>
      <c r="PV42" s="476">
        <v>2E-3</v>
      </c>
      <c r="PW42" s="476" t="s">
        <v>721</v>
      </c>
      <c r="PX42" s="476" t="s">
        <v>721</v>
      </c>
      <c r="PY42" s="476" t="s">
        <v>721</v>
      </c>
      <c r="PZ42" s="476" t="s">
        <v>721</v>
      </c>
      <c r="QA42" s="476" t="s">
        <v>721</v>
      </c>
      <c r="QB42" s="476" t="s">
        <v>721</v>
      </c>
      <c r="QC42" s="476" t="s">
        <v>721</v>
      </c>
      <c r="QD42" s="476" t="s">
        <v>721</v>
      </c>
      <c r="QE42" s="476" t="s">
        <v>721</v>
      </c>
      <c r="QF42" s="476" t="s">
        <v>721</v>
      </c>
      <c r="QG42" s="476">
        <v>4.0000000000000001E-3</v>
      </c>
      <c r="QH42" s="476">
        <v>6.0000000000000001E-3</v>
      </c>
      <c r="QI42" s="476" t="s">
        <v>721</v>
      </c>
      <c r="QJ42" s="476" t="s">
        <v>721</v>
      </c>
      <c r="QK42" s="476" t="s">
        <v>721</v>
      </c>
      <c r="QL42" s="476">
        <v>0.11899999999999999</v>
      </c>
      <c r="QM42" s="476">
        <v>0.13500000000000001</v>
      </c>
      <c r="QN42" s="476">
        <v>9.9000000000000005E-2</v>
      </c>
      <c r="QO42" s="476" t="s">
        <v>721</v>
      </c>
      <c r="QP42" s="476" t="s">
        <v>721</v>
      </c>
      <c r="QQ42" s="476" t="s">
        <v>721</v>
      </c>
      <c r="QR42" s="476">
        <v>0.48799999999999999</v>
      </c>
      <c r="QS42" s="476" t="s">
        <v>721</v>
      </c>
      <c r="QT42" s="476" t="s">
        <v>721</v>
      </c>
      <c r="QU42" s="476" t="s">
        <v>721</v>
      </c>
      <c r="QV42" s="476" t="s">
        <v>721</v>
      </c>
      <c r="QW42" s="476" t="s">
        <v>721</v>
      </c>
      <c r="QX42" s="476" t="s">
        <v>721</v>
      </c>
      <c r="QY42" s="476">
        <v>3.1E-2</v>
      </c>
      <c r="QZ42" s="476" t="s">
        <v>721</v>
      </c>
      <c r="RA42" s="476" t="s">
        <v>721</v>
      </c>
      <c r="RB42" s="476" t="s">
        <v>721</v>
      </c>
      <c r="RC42" s="476" t="s">
        <v>721</v>
      </c>
      <c r="RD42" s="476">
        <v>4.2000000000000003E-2</v>
      </c>
      <c r="RE42" s="476">
        <v>9.0999999999999998E-2</v>
      </c>
      <c r="RF42" s="476">
        <v>0.20200000000000001</v>
      </c>
      <c r="RG42" s="476">
        <v>0.10100000000000001</v>
      </c>
      <c r="RH42" s="476" t="s">
        <v>721</v>
      </c>
      <c r="RI42" s="476" t="s">
        <v>721</v>
      </c>
      <c r="RJ42" s="476" t="s">
        <v>721</v>
      </c>
      <c r="RK42" s="476">
        <v>0.439</v>
      </c>
      <c r="RL42" s="476" t="s">
        <v>721</v>
      </c>
      <c r="RM42" s="476" t="s">
        <v>721</v>
      </c>
      <c r="RN42" s="476" t="s">
        <v>721</v>
      </c>
      <c r="RO42" s="476" t="s">
        <v>721</v>
      </c>
      <c r="RP42" s="476" t="s">
        <v>721</v>
      </c>
      <c r="RQ42" s="476" t="s">
        <v>721</v>
      </c>
      <c r="RR42" s="476" t="s">
        <v>721</v>
      </c>
      <c r="RS42" s="476" t="s">
        <v>721</v>
      </c>
      <c r="RT42" s="476" t="s">
        <v>721</v>
      </c>
      <c r="RU42" s="476" t="s">
        <v>721</v>
      </c>
      <c r="RV42" s="476" t="s">
        <v>721</v>
      </c>
      <c r="RW42" s="476" t="s">
        <v>721</v>
      </c>
      <c r="RX42" s="476">
        <v>0.184</v>
      </c>
      <c r="RY42" s="476">
        <v>0.26300000000000001</v>
      </c>
      <c r="RZ42" s="476">
        <v>0.17699999999999999</v>
      </c>
      <c r="SA42" s="476">
        <v>0.04</v>
      </c>
      <c r="SB42" s="476">
        <v>4.0000000000000001E-3</v>
      </c>
      <c r="SC42" s="476">
        <v>5.3999999999999999E-2</v>
      </c>
      <c r="SD42" s="476">
        <v>5.8000000000000003E-2</v>
      </c>
      <c r="SE42" s="476">
        <v>0</v>
      </c>
      <c r="SF42" s="476">
        <v>1.7000000000000001E-2</v>
      </c>
      <c r="SG42" s="476">
        <v>5.3999999999999999E-2</v>
      </c>
      <c r="SH42" s="476">
        <v>1E-3</v>
      </c>
      <c r="SI42" s="476">
        <v>2E-3</v>
      </c>
      <c r="SJ42" s="476">
        <v>2E-3</v>
      </c>
      <c r="SK42" s="476">
        <v>6.6000000000000003E-2</v>
      </c>
      <c r="SL42" s="476">
        <v>0</v>
      </c>
      <c r="SM42" s="476">
        <v>0</v>
      </c>
      <c r="SN42" s="476">
        <v>1.7000000000000001E-2</v>
      </c>
      <c r="SO42" s="476">
        <v>2.4E-2</v>
      </c>
      <c r="SP42" s="476">
        <v>3.5999999999999997E-2</v>
      </c>
      <c r="SQ42" s="476">
        <v>0.23200000000000001</v>
      </c>
      <c r="SR42" s="476">
        <v>0.30399999999999999</v>
      </c>
      <c r="SS42" s="476">
        <v>0.13200000000000001</v>
      </c>
      <c r="ST42" s="476">
        <v>2.4E-2</v>
      </c>
      <c r="SU42" s="476" t="s">
        <v>721</v>
      </c>
      <c r="SV42" s="476">
        <v>6.0999999999999999E-2</v>
      </c>
      <c r="SW42" s="476">
        <v>5.8000000000000003E-2</v>
      </c>
      <c r="SX42" s="476" t="s">
        <v>721</v>
      </c>
      <c r="SY42" s="476">
        <v>1.4999999999999999E-2</v>
      </c>
      <c r="SZ42" s="476">
        <v>3.9E-2</v>
      </c>
      <c r="TA42" s="476" t="s">
        <v>721</v>
      </c>
      <c r="TB42" s="476" t="s">
        <v>721</v>
      </c>
      <c r="TC42" s="476" t="s">
        <v>721</v>
      </c>
      <c r="TD42" s="476">
        <v>4.5999999999999999E-2</v>
      </c>
      <c r="TE42" s="476" t="s">
        <v>721</v>
      </c>
      <c r="TF42" s="476" t="s">
        <v>721</v>
      </c>
      <c r="TG42" s="476" t="s">
        <v>721</v>
      </c>
      <c r="TH42" s="476">
        <v>2.4E-2</v>
      </c>
      <c r="TI42" s="476">
        <v>4.7E-2</v>
      </c>
      <c r="TJ42" s="476">
        <v>0.16700000000000001</v>
      </c>
      <c r="TK42" s="476">
        <v>0.27800000000000002</v>
      </c>
      <c r="TL42" s="476">
        <v>0.13700000000000001</v>
      </c>
      <c r="TM42" s="476">
        <v>5.3999999999999999E-2</v>
      </c>
      <c r="TN42" s="476" t="s">
        <v>721</v>
      </c>
      <c r="TO42" s="476">
        <v>7.0000000000000007E-2</v>
      </c>
      <c r="TP42" s="476">
        <v>5.8000000000000003E-2</v>
      </c>
      <c r="TQ42" s="476" t="s">
        <v>721</v>
      </c>
      <c r="TR42" s="476">
        <v>1.4E-2</v>
      </c>
      <c r="TS42" s="476">
        <v>4.9000000000000002E-2</v>
      </c>
      <c r="TT42" s="476" t="s">
        <v>721</v>
      </c>
      <c r="TU42" s="476" t="s">
        <v>721</v>
      </c>
      <c r="TV42" s="476" t="s">
        <v>721</v>
      </c>
      <c r="TW42" s="476">
        <v>8.8999999999999996E-2</v>
      </c>
      <c r="TX42" s="476" t="s">
        <v>721</v>
      </c>
      <c r="TY42" s="476" t="s">
        <v>721</v>
      </c>
      <c r="TZ42" s="476">
        <v>1.4E-2</v>
      </c>
      <c r="UA42" s="476">
        <v>2.1999999999999999E-2</v>
      </c>
      <c r="UB42" s="476">
        <v>3.9E-2</v>
      </c>
      <c r="UC42" s="476">
        <v>0.17799999999999999</v>
      </c>
      <c r="UD42" s="476">
        <v>0.245</v>
      </c>
      <c r="UE42" s="476">
        <v>0.185</v>
      </c>
      <c r="UF42" s="476">
        <v>0.04</v>
      </c>
      <c r="UG42" s="476">
        <v>5.0000000000000001E-3</v>
      </c>
      <c r="UH42" s="476">
        <v>5.0999999999999997E-2</v>
      </c>
      <c r="UI42" s="476">
        <v>6.2E-2</v>
      </c>
      <c r="UJ42" s="476" t="s">
        <v>721</v>
      </c>
      <c r="UK42" s="476">
        <v>2.1000000000000001E-2</v>
      </c>
      <c r="UL42" s="476">
        <v>5.8000000000000003E-2</v>
      </c>
      <c r="UM42" s="476" t="s">
        <v>721</v>
      </c>
      <c r="UN42" s="476">
        <v>2E-3</v>
      </c>
      <c r="UO42" s="476">
        <v>2E-3</v>
      </c>
      <c r="UP42" s="476">
        <v>6.6000000000000003E-2</v>
      </c>
      <c r="UQ42" s="476" t="s">
        <v>721</v>
      </c>
      <c r="UR42" s="476" t="s">
        <v>721</v>
      </c>
      <c r="US42" s="476">
        <v>1.9E-2</v>
      </c>
      <c r="UT42" s="476">
        <v>2.3E-2</v>
      </c>
      <c r="UU42" s="476">
        <v>0.04</v>
      </c>
      <c r="UV42" s="476">
        <v>0.161</v>
      </c>
      <c r="UW42" s="476">
        <v>0.26600000000000001</v>
      </c>
      <c r="UX42" s="476">
        <v>0.17</v>
      </c>
      <c r="UY42" s="476">
        <v>5.1999999999999998E-2</v>
      </c>
      <c r="UZ42" s="476" t="s">
        <v>721</v>
      </c>
      <c r="VA42" s="476">
        <v>5.8000000000000003E-2</v>
      </c>
      <c r="VB42" s="476">
        <v>5.2999999999999999E-2</v>
      </c>
      <c r="VC42" s="476" t="s">
        <v>721</v>
      </c>
      <c r="VD42" s="476">
        <v>1.4E-2</v>
      </c>
      <c r="VE42" s="476">
        <v>5.7000000000000002E-2</v>
      </c>
      <c r="VF42" s="476" t="s">
        <v>721</v>
      </c>
      <c r="VG42" s="476" t="s">
        <v>721</v>
      </c>
      <c r="VH42" s="476" t="s">
        <v>721</v>
      </c>
      <c r="VI42" s="476">
        <v>0.08</v>
      </c>
      <c r="VJ42" s="476" t="s">
        <v>721</v>
      </c>
      <c r="VK42" s="476" t="s">
        <v>721</v>
      </c>
      <c r="VL42" s="476">
        <v>1.9E-2</v>
      </c>
      <c r="VM42" s="476">
        <v>2.9000000000000001E-2</v>
      </c>
      <c r="VN42" s="476">
        <v>3.5000000000000003E-2</v>
      </c>
      <c r="VO42" s="28"/>
      <c r="VP42" s="28"/>
      <c r="VQ42" s="28"/>
      <c r="VR42" s="28"/>
      <c r="VS42" s="28"/>
      <c r="VT42" s="28"/>
      <c r="VU42" s="28"/>
      <c r="VV42" s="28"/>
      <c r="VW42" s="28"/>
      <c r="VX42" s="28"/>
      <c r="VY42" s="28"/>
      <c r="VZ42" s="28"/>
      <c r="WA42" s="28"/>
      <c r="WB42" s="28"/>
      <c r="WC42" s="28"/>
      <c r="WD42" s="28"/>
      <c r="WE42" s="28"/>
      <c r="WF42" s="28"/>
      <c r="WG42" s="28"/>
      <c r="WH42" s="28"/>
      <c r="WI42" s="28"/>
      <c r="WJ42" s="28"/>
      <c r="WK42" s="28"/>
      <c r="WL42" s="28"/>
      <c r="WM42" s="28"/>
      <c r="WN42" s="28"/>
      <c r="WO42" s="28"/>
      <c r="WP42" s="28"/>
      <c r="WQ42" s="28"/>
      <c r="WR42" s="28"/>
      <c r="WS42" s="28"/>
      <c r="WT42" s="28"/>
      <c r="WU42" s="28"/>
      <c r="WV42" s="28"/>
      <c r="WW42" s="28"/>
    </row>
    <row r="43" spans="1:621" s="151" customFormat="1" ht="15.75" customHeight="1" x14ac:dyDescent="0.35">
      <c r="A43" s="477" t="s">
        <v>49</v>
      </c>
      <c r="B43" s="492" t="s">
        <v>17</v>
      </c>
      <c r="C43" s="493">
        <v>18.14</v>
      </c>
      <c r="D43" s="494">
        <v>2659</v>
      </c>
      <c r="E43" s="473">
        <v>319927.09999999998</v>
      </c>
      <c r="F43" s="473">
        <v>120.3</v>
      </c>
      <c r="G43" s="474">
        <v>2527</v>
      </c>
      <c r="H43" s="474">
        <v>2336</v>
      </c>
      <c r="I43" s="474">
        <v>1637</v>
      </c>
      <c r="J43" s="474">
        <v>1204</v>
      </c>
      <c r="K43" s="474">
        <v>726</v>
      </c>
      <c r="L43" s="473">
        <v>136987</v>
      </c>
      <c r="M43" s="474">
        <v>1900</v>
      </c>
      <c r="N43" s="473">
        <v>182940.1</v>
      </c>
      <c r="O43" s="494">
        <v>491</v>
      </c>
      <c r="P43" s="495">
        <v>87489.1</v>
      </c>
      <c r="Q43" s="494">
        <v>331</v>
      </c>
      <c r="R43" s="495">
        <v>13304.7</v>
      </c>
      <c r="S43" s="494">
        <v>611</v>
      </c>
      <c r="T43" s="495">
        <v>53187</v>
      </c>
      <c r="U43" s="494">
        <v>29</v>
      </c>
      <c r="V43" s="495">
        <v>3270</v>
      </c>
      <c r="W43" s="494">
        <v>2019</v>
      </c>
      <c r="X43" s="495">
        <v>263470.09999999998</v>
      </c>
      <c r="Y43" s="494">
        <v>2354</v>
      </c>
      <c r="Z43" s="494">
        <v>1456</v>
      </c>
      <c r="AA43" s="494">
        <v>1620</v>
      </c>
      <c r="AB43" s="494">
        <v>1273</v>
      </c>
      <c r="AC43" s="494">
        <v>150</v>
      </c>
      <c r="AD43" s="494">
        <v>768</v>
      </c>
      <c r="AE43" s="494">
        <v>1179</v>
      </c>
      <c r="AF43" s="495">
        <v>72882.7</v>
      </c>
      <c r="AG43" s="494">
        <v>1334</v>
      </c>
      <c r="AH43" s="495">
        <v>238998.1</v>
      </c>
      <c r="AI43" s="494">
        <v>70</v>
      </c>
      <c r="AJ43" s="495">
        <v>3529.4</v>
      </c>
      <c r="AK43" s="494">
        <v>43</v>
      </c>
      <c r="AL43" s="495">
        <v>4516.8999999999996</v>
      </c>
      <c r="AM43" s="496">
        <v>1517</v>
      </c>
      <c r="AN43" s="496">
        <v>1142</v>
      </c>
      <c r="AO43" s="496">
        <v>1560</v>
      </c>
      <c r="AP43" s="496">
        <v>627</v>
      </c>
      <c r="AQ43" s="496">
        <v>47</v>
      </c>
      <c r="AR43" s="496">
        <v>16</v>
      </c>
      <c r="AS43" s="496">
        <v>11</v>
      </c>
      <c r="AT43" s="496">
        <v>42</v>
      </c>
      <c r="AU43" s="496">
        <v>228</v>
      </c>
      <c r="AV43" s="496" t="s">
        <v>721</v>
      </c>
      <c r="AW43" s="496" t="s">
        <v>721</v>
      </c>
      <c r="AX43" s="496" t="s">
        <v>721</v>
      </c>
      <c r="AY43" s="496" t="s">
        <v>721</v>
      </c>
      <c r="AZ43" s="496" t="s">
        <v>721</v>
      </c>
      <c r="BA43" s="496" t="s">
        <v>721</v>
      </c>
      <c r="BB43" s="496">
        <v>11</v>
      </c>
      <c r="BC43" s="496" t="s">
        <v>721</v>
      </c>
      <c r="BD43" s="496" t="s">
        <v>721</v>
      </c>
      <c r="BE43" s="496" t="s">
        <v>721</v>
      </c>
      <c r="BF43" s="496" t="s">
        <v>721</v>
      </c>
      <c r="BG43" s="496">
        <v>97</v>
      </c>
      <c r="BH43" s="496" t="s">
        <v>721</v>
      </c>
      <c r="BI43" s="496">
        <v>322</v>
      </c>
      <c r="BJ43" s="496" t="s">
        <v>721</v>
      </c>
      <c r="BK43" s="496" t="s">
        <v>721</v>
      </c>
      <c r="BL43" s="496" t="s">
        <v>721</v>
      </c>
      <c r="BM43" s="496" t="s">
        <v>721</v>
      </c>
      <c r="BN43" s="496" t="s">
        <v>721</v>
      </c>
      <c r="BO43" s="496">
        <v>2270</v>
      </c>
      <c r="BP43" s="496" t="s">
        <v>721</v>
      </c>
      <c r="BQ43" s="496" t="s">
        <v>721</v>
      </c>
      <c r="BR43" s="496" t="s">
        <v>721</v>
      </c>
      <c r="BS43" s="496" t="s">
        <v>721</v>
      </c>
      <c r="BT43" s="496" t="s">
        <v>721</v>
      </c>
      <c r="BU43" s="496" t="s">
        <v>721</v>
      </c>
      <c r="BV43" s="496" t="s">
        <v>721</v>
      </c>
      <c r="BW43" s="496" t="s">
        <v>721</v>
      </c>
      <c r="BX43" s="496" t="s">
        <v>721</v>
      </c>
      <c r="BY43" s="496" t="s">
        <v>721</v>
      </c>
      <c r="BZ43" s="496" t="s">
        <v>721</v>
      </c>
      <c r="CA43" s="496" t="s">
        <v>721</v>
      </c>
      <c r="CB43" s="496" t="s">
        <v>721</v>
      </c>
      <c r="CC43" s="496" t="s">
        <v>721</v>
      </c>
      <c r="CD43" s="496">
        <v>13</v>
      </c>
      <c r="CE43" s="496" t="s">
        <v>721</v>
      </c>
      <c r="CF43" s="496" t="s">
        <v>721</v>
      </c>
      <c r="CG43" s="496" t="s">
        <v>721</v>
      </c>
      <c r="CH43" s="496" t="s">
        <v>721</v>
      </c>
      <c r="CI43" s="496" t="s">
        <v>721</v>
      </c>
      <c r="CJ43" s="496" t="s">
        <v>721</v>
      </c>
      <c r="CK43" s="496" t="s">
        <v>721</v>
      </c>
      <c r="CL43" s="496" t="s">
        <v>721</v>
      </c>
      <c r="CM43" s="496" t="s">
        <v>721</v>
      </c>
      <c r="CN43" s="496" t="s">
        <v>721</v>
      </c>
      <c r="CO43" s="496" t="s">
        <v>721</v>
      </c>
      <c r="CP43" s="496">
        <v>204</v>
      </c>
      <c r="CQ43" s="496" t="s">
        <v>721</v>
      </c>
      <c r="CR43" s="496" t="s">
        <v>721</v>
      </c>
      <c r="CS43" s="496" t="s">
        <v>721</v>
      </c>
      <c r="CT43" s="496" t="s">
        <v>721</v>
      </c>
      <c r="CU43" s="496" t="s">
        <v>721</v>
      </c>
      <c r="CV43" s="496">
        <v>2126</v>
      </c>
      <c r="CW43" s="496">
        <v>13</v>
      </c>
      <c r="CX43" s="496" t="s">
        <v>721</v>
      </c>
      <c r="CY43" s="496" t="s">
        <v>721</v>
      </c>
      <c r="CZ43" s="496" t="s">
        <v>721</v>
      </c>
      <c r="DA43" s="496" t="s">
        <v>721</v>
      </c>
      <c r="DB43" s="496" t="s">
        <v>721</v>
      </c>
      <c r="DC43" s="496" t="s">
        <v>721</v>
      </c>
      <c r="DD43" s="496" t="s">
        <v>721</v>
      </c>
      <c r="DE43" s="496" t="s">
        <v>721</v>
      </c>
      <c r="DF43" s="496" t="s">
        <v>721</v>
      </c>
      <c r="DG43" s="496" t="s">
        <v>721</v>
      </c>
      <c r="DH43" s="496" t="s">
        <v>721</v>
      </c>
      <c r="DI43" s="496" t="s">
        <v>721</v>
      </c>
      <c r="DJ43" s="496" t="s">
        <v>721</v>
      </c>
      <c r="DK43" s="496" t="s">
        <v>721</v>
      </c>
      <c r="DL43" s="496" t="s">
        <v>721</v>
      </c>
      <c r="DM43" s="496" t="s">
        <v>721</v>
      </c>
      <c r="DN43" s="496" t="s">
        <v>721</v>
      </c>
      <c r="DO43" s="496" t="s">
        <v>721</v>
      </c>
      <c r="DP43" s="496" t="s">
        <v>721</v>
      </c>
      <c r="DQ43" s="496" t="s">
        <v>721</v>
      </c>
      <c r="DR43" s="496" t="s">
        <v>721</v>
      </c>
      <c r="DS43" s="483" t="s">
        <v>721</v>
      </c>
      <c r="DT43" s="483" t="s">
        <v>721</v>
      </c>
      <c r="DU43" s="483" t="s">
        <v>721</v>
      </c>
      <c r="DV43" s="496">
        <v>397</v>
      </c>
      <c r="DW43" s="497">
        <v>76133.899999999994</v>
      </c>
      <c r="DX43" s="496">
        <v>513</v>
      </c>
      <c r="DY43" s="497">
        <v>82821.399999999994</v>
      </c>
      <c r="DZ43" s="496">
        <v>583</v>
      </c>
      <c r="EA43" s="497">
        <v>57948.9</v>
      </c>
      <c r="EB43" s="496">
        <v>493</v>
      </c>
      <c r="EC43" s="497">
        <v>39684.800000000003</v>
      </c>
      <c r="ED43" s="496">
        <v>401</v>
      </c>
      <c r="EE43" s="497">
        <v>34603.300000000003</v>
      </c>
      <c r="EF43" s="496">
        <v>272</v>
      </c>
      <c r="EG43" s="497">
        <v>28734.799999999999</v>
      </c>
      <c r="EH43" s="485">
        <v>2036</v>
      </c>
      <c r="EI43" s="486">
        <v>7531.3</v>
      </c>
      <c r="EJ43" s="485">
        <v>2037</v>
      </c>
      <c r="EK43" s="486">
        <v>42411.3</v>
      </c>
      <c r="EL43" s="485">
        <v>2014</v>
      </c>
      <c r="EM43" s="486">
        <v>19576.900000000001</v>
      </c>
      <c r="EN43" s="485">
        <v>2128</v>
      </c>
      <c r="EO43" s="486">
        <v>10701</v>
      </c>
      <c r="EP43" s="485">
        <v>2038</v>
      </c>
      <c r="EQ43" s="486">
        <v>6651</v>
      </c>
      <c r="ER43" s="485">
        <v>2008</v>
      </c>
      <c r="ES43" s="486">
        <v>3979.2</v>
      </c>
      <c r="ET43" s="485">
        <v>2</v>
      </c>
      <c r="EU43" s="485">
        <v>1553</v>
      </c>
      <c r="EV43" s="486">
        <v>22726.2</v>
      </c>
      <c r="EW43" s="485">
        <v>279</v>
      </c>
      <c r="EX43" s="486">
        <v>1900.4</v>
      </c>
      <c r="EY43" s="485">
        <v>633</v>
      </c>
      <c r="EZ43" s="486">
        <v>10620.3</v>
      </c>
      <c r="FA43" s="485">
        <v>292</v>
      </c>
      <c r="FB43" s="486">
        <v>2582.6</v>
      </c>
      <c r="FC43" s="485">
        <v>2030</v>
      </c>
      <c r="FD43" s="486">
        <v>23737.1</v>
      </c>
      <c r="FE43" s="485">
        <v>2020</v>
      </c>
      <c r="FF43" s="486">
        <v>15108.4</v>
      </c>
      <c r="FG43" s="485">
        <v>1341</v>
      </c>
      <c r="FH43" s="486">
        <v>15629.3</v>
      </c>
      <c r="FI43" s="485">
        <v>1193</v>
      </c>
      <c r="FJ43" s="486">
        <v>7382.5</v>
      </c>
      <c r="FK43" s="485">
        <v>1650</v>
      </c>
      <c r="FL43" s="486">
        <v>4798.3999999999996</v>
      </c>
      <c r="FM43" s="485">
        <v>144</v>
      </c>
      <c r="FN43" s="486">
        <v>292.39999999999998</v>
      </c>
      <c r="FO43" s="485">
        <v>2053</v>
      </c>
      <c r="FP43" s="486">
        <v>10988</v>
      </c>
      <c r="FQ43" s="485">
        <v>2141</v>
      </c>
      <c r="FR43" s="486">
        <v>12312.6</v>
      </c>
      <c r="FS43" s="485">
        <v>30</v>
      </c>
      <c r="FT43" s="486">
        <v>279.2</v>
      </c>
      <c r="FU43" s="485">
        <v>1</v>
      </c>
      <c r="FV43" s="486">
        <v>12</v>
      </c>
      <c r="FW43" s="485">
        <v>0</v>
      </c>
      <c r="FX43" s="486">
        <v>0</v>
      </c>
      <c r="FY43" s="485">
        <v>0</v>
      </c>
      <c r="FZ43" s="486">
        <v>0</v>
      </c>
      <c r="GA43" s="485">
        <v>0</v>
      </c>
      <c r="GB43" s="485">
        <v>0</v>
      </c>
      <c r="GC43" s="487">
        <v>0</v>
      </c>
      <c r="GD43" s="488">
        <v>16</v>
      </c>
      <c r="GE43" s="488">
        <v>71</v>
      </c>
      <c r="GF43" s="488">
        <v>1684</v>
      </c>
      <c r="GG43" s="488">
        <v>0</v>
      </c>
      <c r="GH43" s="488">
        <v>2</v>
      </c>
      <c r="GI43" s="488">
        <v>4</v>
      </c>
      <c r="GJ43" s="488">
        <v>0</v>
      </c>
      <c r="GK43" s="488">
        <v>373</v>
      </c>
      <c r="GL43" s="488">
        <v>1392</v>
      </c>
      <c r="GM43" s="488">
        <v>1771</v>
      </c>
      <c r="GN43" s="488">
        <v>9</v>
      </c>
      <c r="GO43" s="488">
        <v>102</v>
      </c>
      <c r="GP43" s="488">
        <v>6</v>
      </c>
      <c r="GQ43" s="488">
        <v>38</v>
      </c>
      <c r="GR43" s="488">
        <v>0</v>
      </c>
      <c r="GS43" s="488">
        <v>44</v>
      </c>
      <c r="GT43" s="489">
        <v>1759</v>
      </c>
      <c r="GU43" s="488">
        <v>2</v>
      </c>
      <c r="GV43" s="490">
        <v>0</v>
      </c>
      <c r="GW43" s="490">
        <v>3</v>
      </c>
      <c r="GX43" s="490">
        <v>5</v>
      </c>
      <c r="GY43" s="491">
        <v>13</v>
      </c>
      <c r="GZ43" s="491">
        <v>5</v>
      </c>
      <c r="HA43" s="491">
        <v>18</v>
      </c>
      <c r="HB43" s="475">
        <v>0</v>
      </c>
      <c r="HC43" s="475">
        <v>1</v>
      </c>
      <c r="HD43" s="475">
        <v>0</v>
      </c>
      <c r="HE43" s="475">
        <v>0</v>
      </c>
      <c r="HF43" s="475">
        <v>0</v>
      </c>
      <c r="HG43" s="475">
        <v>1</v>
      </c>
      <c r="HH43" s="475">
        <v>1</v>
      </c>
      <c r="HI43" s="475">
        <v>0</v>
      </c>
      <c r="HJ43" s="475">
        <v>0</v>
      </c>
      <c r="HK43" s="475">
        <v>0</v>
      </c>
      <c r="HL43" s="475">
        <v>1</v>
      </c>
      <c r="HM43" s="475">
        <v>0</v>
      </c>
      <c r="HN43" s="475">
        <v>0</v>
      </c>
      <c r="HO43" s="475">
        <v>0</v>
      </c>
      <c r="HP43" s="475">
        <v>0</v>
      </c>
      <c r="HQ43" s="475">
        <v>0</v>
      </c>
      <c r="HR43" s="475">
        <v>8</v>
      </c>
      <c r="HS43" s="475">
        <v>0</v>
      </c>
      <c r="HT43" s="475">
        <v>0</v>
      </c>
      <c r="HU43" s="475">
        <v>0</v>
      </c>
      <c r="HV43" s="475">
        <v>0</v>
      </c>
      <c r="HW43" s="475">
        <v>0</v>
      </c>
      <c r="HX43" s="475">
        <v>0</v>
      </c>
      <c r="HY43" s="475">
        <v>0</v>
      </c>
      <c r="HZ43" s="475">
        <v>66</v>
      </c>
      <c r="IA43" s="475">
        <v>18</v>
      </c>
      <c r="IB43" s="475" t="s">
        <v>721</v>
      </c>
      <c r="IC43" s="475" t="s">
        <v>721</v>
      </c>
      <c r="ID43" s="475" t="s">
        <v>721</v>
      </c>
      <c r="IE43" s="475" t="s">
        <v>721</v>
      </c>
      <c r="IF43" s="475">
        <v>14</v>
      </c>
      <c r="IG43" s="475" t="s">
        <v>721</v>
      </c>
      <c r="IH43" s="475" t="s">
        <v>721</v>
      </c>
      <c r="II43" s="475" t="s">
        <v>721</v>
      </c>
      <c r="IJ43" s="475" t="s">
        <v>721</v>
      </c>
      <c r="IK43" s="475" t="s">
        <v>721</v>
      </c>
      <c r="IL43" s="475" t="s">
        <v>721</v>
      </c>
      <c r="IM43" s="475" t="s">
        <v>721</v>
      </c>
      <c r="IN43" s="475" t="s">
        <v>721</v>
      </c>
      <c r="IO43" s="475" t="s">
        <v>721</v>
      </c>
      <c r="IP43" s="475" t="s">
        <v>721</v>
      </c>
      <c r="IQ43" s="475" t="s">
        <v>721</v>
      </c>
      <c r="IR43" s="475" t="s">
        <v>721</v>
      </c>
      <c r="IS43" s="475">
        <v>25</v>
      </c>
      <c r="IT43" s="475">
        <v>11</v>
      </c>
      <c r="IU43" s="475" t="s">
        <v>721</v>
      </c>
      <c r="IV43" s="475" t="s">
        <v>721</v>
      </c>
      <c r="IW43" s="475" t="s">
        <v>721</v>
      </c>
      <c r="IX43" s="475" t="s">
        <v>721</v>
      </c>
      <c r="IY43" s="475" t="s">
        <v>721</v>
      </c>
      <c r="IZ43" s="475" t="s">
        <v>721</v>
      </c>
      <c r="JA43" s="475" t="s">
        <v>721</v>
      </c>
      <c r="JB43" s="475" t="s">
        <v>721</v>
      </c>
      <c r="JC43" s="475" t="s">
        <v>721</v>
      </c>
      <c r="JD43" s="475" t="s">
        <v>721</v>
      </c>
      <c r="JE43" s="475" t="s">
        <v>721</v>
      </c>
      <c r="JF43" s="475" t="s">
        <v>721</v>
      </c>
      <c r="JG43" s="475" t="s">
        <v>721</v>
      </c>
      <c r="JH43" s="475" t="s">
        <v>721</v>
      </c>
      <c r="JI43" s="475" t="s">
        <v>721</v>
      </c>
      <c r="JJ43" s="475" t="s">
        <v>721</v>
      </c>
      <c r="JK43" s="475" t="s">
        <v>721</v>
      </c>
      <c r="JL43" s="755">
        <v>195703.6</v>
      </c>
      <c r="JM43" s="755">
        <v>77685.7</v>
      </c>
      <c r="JN43" s="755">
        <v>5542.3</v>
      </c>
      <c r="JO43" s="755">
        <v>1566.3</v>
      </c>
      <c r="JP43" s="755">
        <v>1030.7</v>
      </c>
      <c r="JQ43" s="755">
        <v>5776.5</v>
      </c>
      <c r="JR43" s="755">
        <v>20620</v>
      </c>
      <c r="JS43" s="755" t="s">
        <v>721</v>
      </c>
      <c r="JT43" s="755">
        <v>789.9</v>
      </c>
      <c r="JU43" s="755">
        <v>178.7</v>
      </c>
      <c r="JV43" s="755" t="s">
        <v>721</v>
      </c>
      <c r="JW43" s="755">
        <v>316.7</v>
      </c>
      <c r="JX43" s="755" t="s">
        <v>721</v>
      </c>
      <c r="JY43" s="755">
        <v>948.1</v>
      </c>
      <c r="JZ43" s="755" t="s">
        <v>721</v>
      </c>
      <c r="KA43" s="755" t="s">
        <v>721</v>
      </c>
      <c r="KB43" s="755" t="s">
        <v>721</v>
      </c>
      <c r="KC43" s="755">
        <v>802.5</v>
      </c>
      <c r="KD43" s="755">
        <v>8966.1</v>
      </c>
      <c r="KE43" s="475">
        <v>333</v>
      </c>
      <c r="KF43" s="475">
        <v>105</v>
      </c>
      <c r="KG43" s="475" t="s">
        <v>721</v>
      </c>
      <c r="KH43" s="475" t="s">
        <v>721</v>
      </c>
      <c r="KI43" s="475" t="s">
        <v>721</v>
      </c>
      <c r="KJ43" s="475" t="s">
        <v>721</v>
      </c>
      <c r="KK43" s="475">
        <v>25</v>
      </c>
      <c r="KL43" s="475" t="s">
        <v>721</v>
      </c>
      <c r="KM43" s="475" t="s">
        <v>721</v>
      </c>
      <c r="KN43" s="475" t="s">
        <v>721</v>
      </c>
      <c r="KO43" s="475" t="s">
        <v>721</v>
      </c>
      <c r="KP43" s="475" t="s">
        <v>721</v>
      </c>
      <c r="KQ43" s="475" t="s">
        <v>721</v>
      </c>
      <c r="KR43" s="475" t="s">
        <v>721</v>
      </c>
      <c r="KS43" s="475" t="s">
        <v>721</v>
      </c>
      <c r="KT43" s="475" t="s">
        <v>721</v>
      </c>
      <c r="KU43" s="475" t="s">
        <v>721</v>
      </c>
      <c r="KV43" s="475" t="s">
        <v>721</v>
      </c>
      <c r="KW43" s="475">
        <v>12</v>
      </c>
      <c r="KX43" s="475">
        <v>179</v>
      </c>
      <c r="KY43" s="475">
        <v>105</v>
      </c>
      <c r="KZ43" s="475" t="s">
        <v>721</v>
      </c>
      <c r="LA43" s="475" t="s">
        <v>721</v>
      </c>
      <c r="LB43" s="475" t="s">
        <v>721</v>
      </c>
      <c r="LC43" s="475" t="s">
        <v>721</v>
      </c>
      <c r="LD43" s="475">
        <v>16</v>
      </c>
      <c r="LE43" s="475" t="s">
        <v>721</v>
      </c>
      <c r="LF43" s="475" t="s">
        <v>721</v>
      </c>
      <c r="LG43" s="475" t="s">
        <v>721</v>
      </c>
      <c r="LH43" s="475" t="s">
        <v>721</v>
      </c>
      <c r="LI43" s="475" t="s">
        <v>721</v>
      </c>
      <c r="LJ43" s="475" t="s">
        <v>721</v>
      </c>
      <c r="LK43" s="475" t="s">
        <v>721</v>
      </c>
      <c r="LL43" s="475" t="s">
        <v>721</v>
      </c>
      <c r="LM43" s="475" t="s">
        <v>721</v>
      </c>
      <c r="LN43" s="475" t="s">
        <v>721</v>
      </c>
      <c r="LO43" s="475" t="s">
        <v>721</v>
      </c>
      <c r="LP43" s="475">
        <v>11</v>
      </c>
      <c r="LQ43" s="475">
        <v>1111</v>
      </c>
      <c r="LR43" s="475">
        <v>421</v>
      </c>
      <c r="LS43" s="475">
        <v>34</v>
      </c>
      <c r="LT43" s="475" t="s">
        <v>721</v>
      </c>
      <c r="LU43" s="475" t="s">
        <v>721</v>
      </c>
      <c r="LV43" s="475">
        <v>26</v>
      </c>
      <c r="LW43" s="475">
        <v>196</v>
      </c>
      <c r="LX43" s="475" t="s">
        <v>721</v>
      </c>
      <c r="LY43" s="475" t="s">
        <v>721</v>
      </c>
      <c r="LZ43" s="475" t="s">
        <v>721</v>
      </c>
      <c r="MA43" s="475" t="s">
        <v>721</v>
      </c>
      <c r="MB43" s="475" t="s">
        <v>721</v>
      </c>
      <c r="MC43" s="475" t="s">
        <v>721</v>
      </c>
      <c r="MD43" s="475" t="s">
        <v>721</v>
      </c>
      <c r="ME43" s="475" t="s">
        <v>721</v>
      </c>
      <c r="MF43" s="475" t="s">
        <v>721</v>
      </c>
      <c r="MG43" s="475" t="s">
        <v>721</v>
      </c>
      <c r="MH43" s="475" t="s">
        <v>721</v>
      </c>
      <c r="MI43" s="475">
        <v>74</v>
      </c>
      <c r="MJ43" s="475">
        <v>426</v>
      </c>
      <c r="MK43" s="475">
        <v>203</v>
      </c>
      <c r="ML43" s="475">
        <v>12</v>
      </c>
      <c r="MM43" s="475" t="s">
        <v>721</v>
      </c>
      <c r="MN43" s="475" t="s">
        <v>721</v>
      </c>
      <c r="MO43" s="475">
        <v>16</v>
      </c>
      <c r="MP43" s="475">
        <v>31</v>
      </c>
      <c r="MQ43" s="475" t="s">
        <v>721</v>
      </c>
      <c r="MR43" s="475" t="s">
        <v>721</v>
      </c>
      <c r="MS43" s="475" t="s">
        <v>721</v>
      </c>
      <c r="MT43" s="475" t="s">
        <v>721</v>
      </c>
      <c r="MU43" s="475" t="s">
        <v>721</v>
      </c>
      <c r="MV43" s="475" t="s">
        <v>721</v>
      </c>
      <c r="MW43" s="475" t="s">
        <v>721</v>
      </c>
      <c r="MX43" s="475" t="s">
        <v>721</v>
      </c>
      <c r="MY43" s="475" t="s">
        <v>721</v>
      </c>
      <c r="MZ43" s="475" t="s">
        <v>721</v>
      </c>
      <c r="NA43" s="475" t="s">
        <v>721</v>
      </c>
      <c r="NB43" s="475">
        <v>19</v>
      </c>
      <c r="NC43" s="476">
        <v>0.57099999999999995</v>
      </c>
      <c r="ND43" s="476">
        <v>0.42899999999999999</v>
      </c>
      <c r="NE43" s="476">
        <v>0.58699999999999997</v>
      </c>
      <c r="NF43" s="476">
        <v>0.23599999999999999</v>
      </c>
      <c r="NG43" s="476">
        <v>1.7999999999999999E-2</v>
      </c>
      <c r="NH43" s="476">
        <v>6.0000000000000001E-3</v>
      </c>
      <c r="NI43" s="476">
        <v>4.0000000000000001E-3</v>
      </c>
      <c r="NJ43" s="476">
        <v>1.6E-2</v>
      </c>
      <c r="NK43" s="476">
        <v>8.5999999999999993E-2</v>
      </c>
      <c r="NL43" s="476" t="s">
        <v>721</v>
      </c>
      <c r="NM43" s="476" t="s">
        <v>721</v>
      </c>
      <c r="NN43" s="476" t="s">
        <v>721</v>
      </c>
      <c r="NO43" s="476" t="s">
        <v>721</v>
      </c>
      <c r="NP43" s="476" t="s">
        <v>721</v>
      </c>
      <c r="NQ43" s="476" t="s">
        <v>721</v>
      </c>
      <c r="NR43" s="476">
        <v>4.0000000000000001E-3</v>
      </c>
      <c r="NS43" s="476" t="s">
        <v>721</v>
      </c>
      <c r="NT43" s="476" t="s">
        <v>721</v>
      </c>
      <c r="NU43" s="476" t="s">
        <v>721</v>
      </c>
      <c r="NV43" s="476" t="s">
        <v>721</v>
      </c>
      <c r="NW43" s="476">
        <v>3.5999999999999997E-2</v>
      </c>
      <c r="NX43" s="476" t="s">
        <v>721</v>
      </c>
      <c r="NY43" s="476">
        <v>0.121</v>
      </c>
      <c r="NZ43" s="476" t="s">
        <v>721</v>
      </c>
      <c r="OA43" s="476" t="s">
        <v>721</v>
      </c>
      <c r="OB43" s="476" t="s">
        <v>721</v>
      </c>
      <c r="OC43" s="476" t="s">
        <v>721</v>
      </c>
      <c r="OD43" s="476" t="s">
        <v>721</v>
      </c>
      <c r="OE43" s="476">
        <v>0.85399999999999998</v>
      </c>
      <c r="OF43" s="476" t="s">
        <v>721</v>
      </c>
      <c r="OG43" s="476" t="s">
        <v>721</v>
      </c>
      <c r="OH43" s="476" t="s">
        <v>721</v>
      </c>
      <c r="OI43" s="476" t="s">
        <v>721</v>
      </c>
      <c r="OJ43" s="476" t="s">
        <v>721</v>
      </c>
      <c r="OK43" s="476" t="s">
        <v>721</v>
      </c>
      <c r="OL43" s="476" t="s">
        <v>721</v>
      </c>
      <c r="OM43" s="476" t="s">
        <v>721</v>
      </c>
      <c r="ON43" s="476" t="s">
        <v>721</v>
      </c>
      <c r="OO43" s="476" t="s">
        <v>721</v>
      </c>
      <c r="OP43" s="476" t="s">
        <v>721</v>
      </c>
      <c r="OQ43" s="476" t="s">
        <v>721</v>
      </c>
      <c r="OR43" s="476" t="s">
        <v>721</v>
      </c>
      <c r="OS43" s="476" t="s">
        <v>721</v>
      </c>
      <c r="OT43" s="476">
        <v>5.0000000000000001E-3</v>
      </c>
      <c r="OU43" s="476" t="s">
        <v>721</v>
      </c>
      <c r="OV43" s="476" t="s">
        <v>721</v>
      </c>
      <c r="OW43" s="476" t="s">
        <v>721</v>
      </c>
      <c r="OX43" s="476" t="s">
        <v>721</v>
      </c>
      <c r="OY43" s="476" t="s">
        <v>721</v>
      </c>
      <c r="OZ43" s="476" t="s">
        <v>721</v>
      </c>
      <c r="PA43" s="476" t="s">
        <v>721</v>
      </c>
      <c r="PB43" s="476" t="s">
        <v>721</v>
      </c>
      <c r="PC43" s="476" t="s">
        <v>721</v>
      </c>
      <c r="PD43" s="476" t="s">
        <v>721</v>
      </c>
      <c r="PE43" s="476" t="s">
        <v>721</v>
      </c>
      <c r="PF43" s="476">
        <v>8.6999999999999994E-2</v>
      </c>
      <c r="PG43" s="476" t="s">
        <v>721</v>
      </c>
      <c r="PH43" s="476" t="s">
        <v>721</v>
      </c>
      <c r="PI43" s="476" t="s">
        <v>721</v>
      </c>
      <c r="PJ43" s="476" t="s">
        <v>721</v>
      </c>
      <c r="PK43" s="476" t="s">
        <v>721</v>
      </c>
      <c r="PL43" s="476">
        <v>0.90300000000000002</v>
      </c>
      <c r="PM43" s="476">
        <v>6.0000000000000001E-3</v>
      </c>
      <c r="PN43" s="476" t="s">
        <v>721</v>
      </c>
      <c r="PO43" s="476" t="s">
        <v>721</v>
      </c>
      <c r="PP43" s="476" t="s">
        <v>721</v>
      </c>
      <c r="PQ43" s="476" t="s">
        <v>721</v>
      </c>
      <c r="PR43" s="476" t="s">
        <v>721</v>
      </c>
      <c r="PS43" s="476" t="s">
        <v>721</v>
      </c>
      <c r="PT43" s="476" t="s">
        <v>721</v>
      </c>
      <c r="PU43" s="476" t="s">
        <v>721</v>
      </c>
      <c r="PV43" s="476" t="s">
        <v>721</v>
      </c>
      <c r="PW43" s="476" t="s">
        <v>721</v>
      </c>
      <c r="PX43" s="476" t="s">
        <v>721</v>
      </c>
      <c r="PY43" s="476" t="s">
        <v>721</v>
      </c>
      <c r="PZ43" s="476" t="s">
        <v>721</v>
      </c>
      <c r="QA43" s="476" t="s">
        <v>721</v>
      </c>
      <c r="QB43" s="476" t="s">
        <v>721</v>
      </c>
      <c r="QC43" s="476" t="s">
        <v>721</v>
      </c>
      <c r="QD43" s="476" t="s">
        <v>721</v>
      </c>
      <c r="QE43" s="476" t="s">
        <v>721</v>
      </c>
      <c r="QF43" s="476" t="s">
        <v>721</v>
      </c>
      <c r="QG43" s="476" t="s">
        <v>721</v>
      </c>
      <c r="QH43" s="476" t="s">
        <v>721</v>
      </c>
      <c r="QI43" s="476" t="s">
        <v>721</v>
      </c>
      <c r="QJ43" s="476" t="s">
        <v>721</v>
      </c>
      <c r="QK43" s="476" t="s">
        <v>721</v>
      </c>
      <c r="QL43" s="476">
        <v>0.64700000000000002</v>
      </c>
      <c r="QM43" s="476">
        <v>0.17599999999999999</v>
      </c>
      <c r="QN43" s="476" t="s">
        <v>721</v>
      </c>
      <c r="QO43" s="476" t="s">
        <v>721</v>
      </c>
      <c r="QP43" s="476" t="s">
        <v>721</v>
      </c>
      <c r="QQ43" s="476" t="s">
        <v>721</v>
      </c>
      <c r="QR43" s="476">
        <v>0.13700000000000001</v>
      </c>
      <c r="QS43" s="476" t="s">
        <v>721</v>
      </c>
      <c r="QT43" s="476" t="s">
        <v>721</v>
      </c>
      <c r="QU43" s="476" t="s">
        <v>721</v>
      </c>
      <c r="QV43" s="476" t="s">
        <v>721</v>
      </c>
      <c r="QW43" s="476" t="s">
        <v>721</v>
      </c>
      <c r="QX43" s="476" t="s">
        <v>721</v>
      </c>
      <c r="QY43" s="476" t="s">
        <v>721</v>
      </c>
      <c r="QZ43" s="476" t="s">
        <v>721</v>
      </c>
      <c r="RA43" s="476" t="s">
        <v>721</v>
      </c>
      <c r="RB43" s="476" t="s">
        <v>721</v>
      </c>
      <c r="RC43" s="476" t="s">
        <v>721</v>
      </c>
      <c r="RD43" s="476" t="s">
        <v>721</v>
      </c>
      <c r="RE43" s="476">
        <v>0.56799999999999995</v>
      </c>
      <c r="RF43" s="476">
        <v>0.25</v>
      </c>
      <c r="RG43" s="476" t="s">
        <v>721</v>
      </c>
      <c r="RH43" s="476" t="s">
        <v>721</v>
      </c>
      <c r="RI43" s="476" t="s">
        <v>721</v>
      </c>
      <c r="RJ43" s="476" t="s">
        <v>721</v>
      </c>
      <c r="RK43" s="476" t="s">
        <v>721</v>
      </c>
      <c r="RL43" s="476" t="s">
        <v>721</v>
      </c>
      <c r="RM43" s="476" t="s">
        <v>721</v>
      </c>
      <c r="RN43" s="476" t="s">
        <v>721</v>
      </c>
      <c r="RO43" s="476" t="s">
        <v>721</v>
      </c>
      <c r="RP43" s="476" t="s">
        <v>721</v>
      </c>
      <c r="RQ43" s="476" t="s">
        <v>721</v>
      </c>
      <c r="RR43" s="476" t="s">
        <v>721</v>
      </c>
      <c r="RS43" s="476" t="s">
        <v>721</v>
      </c>
      <c r="RT43" s="476" t="s">
        <v>721</v>
      </c>
      <c r="RU43" s="476" t="s">
        <v>721</v>
      </c>
      <c r="RV43" s="476" t="s">
        <v>721</v>
      </c>
      <c r="RW43" s="476" t="s">
        <v>721</v>
      </c>
      <c r="RX43" s="476">
        <v>0.61199999999999999</v>
      </c>
      <c r="RY43" s="476">
        <v>0.24299999999999999</v>
      </c>
      <c r="RZ43" s="476">
        <v>1.7000000000000001E-2</v>
      </c>
      <c r="SA43" s="476">
        <v>5.0000000000000001E-3</v>
      </c>
      <c r="SB43" s="476">
        <v>3.0000000000000001E-3</v>
      </c>
      <c r="SC43" s="476">
        <v>1.7999999999999999E-2</v>
      </c>
      <c r="SD43" s="476">
        <v>6.4000000000000001E-2</v>
      </c>
      <c r="SE43" s="476" t="s">
        <v>721</v>
      </c>
      <c r="SF43" s="476">
        <v>2E-3</v>
      </c>
      <c r="SG43" s="476">
        <v>1E-3</v>
      </c>
      <c r="SH43" s="476" t="s">
        <v>721</v>
      </c>
      <c r="SI43" s="476">
        <v>1E-3</v>
      </c>
      <c r="SJ43" s="476" t="s">
        <v>721</v>
      </c>
      <c r="SK43" s="476">
        <v>3.0000000000000001E-3</v>
      </c>
      <c r="SL43" s="476" t="s">
        <v>721</v>
      </c>
      <c r="SM43" s="476" t="s">
        <v>721</v>
      </c>
      <c r="SN43" s="476" t="s">
        <v>721</v>
      </c>
      <c r="SO43" s="476">
        <v>3.0000000000000001E-3</v>
      </c>
      <c r="SP43" s="476">
        <v>2.8000000000000001E-2</v>
      </c>
      <c r="SQ43" s="476">
        <v>0.67800000000000005</v>
      </c>
      <c r="SR43" s="476">
        <v>0.214</v>
      </c>
      <c r="SS43" s="476" t="s">
        <v>721</v>
      </c>
      <c r="ST43" s="476" t="s">
        <v>721</v>
      </c>
      <c r="SU43" s="476" t="s">
        <v>721</v>
      </c>
      <c r="SV43" s="476" t="s">
        <v>721</v>
      </c>
      <c r="SW43" s="476">
        <v>5.0999999999999997E-2</v>
      </c>
      <c r="SX43" s="476" t="s">
        <v>721</v>
      </c>
      <c r="SY43" s="476" t="s">
        <v>721</v>
      </c>
      <c r="SZ43" s="476" t="s">
        <v>721</v>
      </c>
      <c r="TA43" s="476" t="s">
        <v>721</v>
      </c>
      <c r="TB43" s="476" t="s">
        <v>721</v>
      </c>
      <c r="TC43" s="476" t="s">
        <v>721</v>
      </c>
      <c r="TD43" s="476" t="s">
        <v>721</v>
      </c>
      <c r="TE43" s="476" t="s">
        <v>721</v>
      </c>
      <c r="TF43" s="476" t="s">
        <v>721</v>
      </c>
      <c r="TG43" s="476" t="s">
        <v>721</v>
      </c>
      <c r="TH43" s="476" t="s">
        <v>721</v>
      </c>
      <c r="TI43" s="476">
        <v>2.4E-2</v>
      </c>
      <c r="TJ43" s="476">
        <v>0.54100000000000004</v>
      </c>
      <c r="TK43" s="476">
        <v>0.317</v>
      </c>
      <c r="TL43" s="476" t="s">
        <v>721</v>
      </c>
      <c r="TM43" s="476" t="s">
        <v>721</v>
      </c>
      <c r="TN43" s="476" t="s">
        <v>721</v>
      </c>
      <c r="TO43" s="476" t="s">
        <v>721</v>
      </c>
      <c r="TP43" s="476">
        <v>4.8000000000000001E-2</v>
      </c>
      <c r="TQ43" s="476" t="s">
        <v>721</v>
      </c>
      <c r="TR43" s="476" t="s">
        <v>721</v>
      </c>
      <c r="TS43" s="476" t="s">
        <v>721</v>
      </c>
      <c r="TT43" s="476" t="s">
        <v>721</v>
      </c>
      <c r="TU43" s="476" t="s">
        <v>721</v>
      </c>
      <c r="TV43" s="476" t="s">
        <v>721</v>
      </c>
      <c r="TW43" s="476" t="s">
        <v>721</v>
      </c>
      <c r="TX43" s="476" t="s">
        <v>721</v>
      </c>
      <c r="TY43" s="476" t="s">
        <v>721</v>
      </c>
      <c r="TZ43" s="476" t="s">
        <v>721</v>
      </c>
      <c r="UA43" s="476" t="s">
        <v>721</v>
      </c>
      <c r="UB43" s="476">
        <v>3.3000000000000002E-2</v>
      </c>
      <c r="UC43" s="476">
        <v>0.58499999999999996</v>
      </c>
      <c r="UD43" s="476">
        <v>0.222</v>
      </c>
      <c r="UE43" s="476">
        <v>1.7999999999999999E-2</v>
      </c>
      <c r="UF43" s="476" t="s">
        <v>721</v>
      </c>
      <c r="UG43" s="476" t="s">
        <v>721</v>
      </c>
      <c r="UH43" s="476">
        <v>1.4E-2</v>
      </c>
      <c r="UI43" s="476">
        <v>0.10299999999999999</v>
      </c>
      <c r="UJ43" s="476" t="s">
        <v>721</v>
      </c>
      <c r="UK43" s="476" t="s">
        <v>721</v>
      </c>
      <c r="UL43" s="476" t="s">
        <v>721</v>
      </c>
      <c r="UM43" s="476" t="s">
        <v>721</v>
      </c>
      <c r="UN43" s="476" t="s">
        <v>721</v>
      </c>
      <c r="UO43" s="476" t="s">
        <v>721</v>
      </c>
      <c r="UP43" s="476" t="s">
        <v>721</v>
      </c>
      <c r="UQ43" s="476" t="s">
        <v>721</v>
      </c>
      <c r="UR43" s="476" t="s">
        <v>721</v>
      </c>
      <c r="US43" s="476" t="s">
        <v>721</v>
      </c>
      <c r="UT43" s="476" t="s">
        <v>721</v>
      </c>
      <c r="UU43" s="476">
        <v>3.9E-2</v>
      </c>
      <c r="UV43" s="476">
        <v>0.58699999999999997</v>
      </c>
      <c r="UW43" s="476">
        <v>0.28000000000000003</v>
      </c>
      <c r="UX43" s="476">
        <v>1.7000000000000001E-2</v>
      </c>
      <c r="UY43" s="476" t="s">
        <v>721</v>
      </c>
      <c r="UZ43" s="476" t="s">
        <v>721</v>
      </c>
      <c r="VA43" s="476">
        <v>2.1999999999999999E-2</v>
      </c>
      <c r="VB43" s="476">
        <v>4.2999999999999997E-2</v>
      </c>
      <c r="VC43" s="476" t="s">
        <v>721</v>
      </c>
      <c r="VD43" s="476" t="s">
        <v>721</v>
      </c>
      <c r="VE43" s="476" t="s">
        <v>721</v>
      </c>
      <c r="VF43" s="476" t="s">
        <v>721</v>
      </c>
      <c r="VG43" s="476" t="s">
        <v>721</v>
      </c>
      <c r="VH43" s="476" t="s">
        <v>721</v>
      </c>
      <c r="VI43" s="476" t="s">
        <v>721</v>
      </c>
      <c r="VJ43" s="476" t="s">
        <v>721</v>
      </c>
      <c r="VK43" s="476" t="s">
        <v>721</v>
      </c>
      <c r="VL43" s="476" t="s">
        <v>721</v>
      </c>
      <c r="VM43" s="476" t="s">
        <v>721</v>
      </c>
      <c r="VN43" s="476">
        <v>2.5999999999999999E-2</v>
      </c>
      <c r="VO43" s="28"/>
      <c r="VP43" s="28"/>
      <c r="VQ43" s="28"/>
      <c r="VR43" s="28"/>
      <c r="VS43" s="28"/>
      <c r="VT43" s="28"/>
      <c r="VU43" s="28"/>
      <c r="VV43" s="28"/>
      <c r="VW43" s="28"/>
      <c r="VX43" s="28"/>
      <c r="VY43" s="28"/>
      <c r="VZ43" s="28"/>
      <c r="WA43" s="28"/>
      <c r="WB43" s="28"/>
      <c r="WC43" s="28"/>
      <c r="WD43" s="28"/>
      <c r="WE43" s="28"/>
      <c r="WF43" s="28"/>
      <c r="WG43" s="28"/>
      <c r="WH43" s="28"/>
      <c r="WI43" s="28"/>
      <c r="WJ43" s="28"/>
      <c r="WK43" s="28"/>
      <c r="WL43" s="28"/>
      <c r="WM43" s="28"/>
      <c r="WN43" s="28"/>
      <c r="WO43" s="28"/>
      <c r="WP43" s="28"/>
      <c r="WQ43" s="28"/>
      <c r="WR43" s="28"/>
      <c r="WS43" s="28"/>
      <c r="WT43" s="28"/>
      <c r="WU43" s="28"/>
      <c r="WV43" s="28"/>
      <c r="WW43" s="28"/>
    </row>
    <row r="44" spans="1:621" s="151" customFormat="1" ht="15.75" customHeight="1" x14ac:dyDescent="0.35">
      <c r="A44" s="477" t="s">
        <v>7</v>
      </c>
      <c r="B44" s="492" t="s">
        <v>17</v>
      </c>
      <c r="C44" s="493">
        <v>18.2</v>
      </c>
      <c r="D44" s="494">
        <v>7165</v>
      </c>
      <c r="E44" s="473">
        <v>895008.6</v>
      </c>
      <c r="F44" s="473">
        <v>124.9</v>
      </c>
      <c r="G44" s="474">
        <v>7144</v>
      </c>
      <c r="H44" s="474">
        <v>7281</v>
      </c>
      <c r="I44" s="474">
        <v>4508</v>
      </c>
      <c r="J44" s="474">
        <v>3730</v>
      </c>
      <c r="K44" s="474">
        <v>3174</v>
      </c>
      <c r="L44" s="473">
        <v>545723.4</v>
      </c>
      <c r="M44" s="474">
        <v>3899</v>
      </c>
      <c r="N44" s="473">
        <v>349285.2</v>
      </c>
      <c r="O44" s="494">
        <v>816</v>
      </c>
      <c r="P44" s="495">
        <v>135693.79999999999</v>
      </c>
      <c r="Q44" s="494">
        <v>1244</v>
      </c>
      <c r="R44" s="495">
        <v>36855.9</v>
      </c>
      <c r="S44" s="494">
        <v>3568</v>
      </c>
      <c r="T44" s="495">
        <v>403729.7</v>
      </c>
      <c r="U44" s="494">
        <v>82</v>
      </c>
      <c r="V44" s="495">
        <v>10360.4</v>
      </c>
      <c r="W44" s="494">
        <v>3515</v>
      </c>
      <c r="X44" s="495">
        <v>480918.5</v>
      </c>
      <c r="Y44" s="494">
        <v>7283</v>
      </c>
      <c r="Z44" s="494">
        <v>4226</v>
      </c>
      <c r="AA44" s="494">
        <v>5573</v>
      </c>
      <c r="AB44" s="494">
        <v>3850</v>
      </c>
      <c r="AC44" s="494">
        <v>364</v>
      </c>
      <c r="AD44" s="494">
        <v>1226</v>
      </c>
      <c r="AE44" s="494">
        <v>2719</v>
      </c>
      <c r="AF44" s="495">
        <v>193205.2</v>
      </c>
      <c r="AG44" s="494">
        <v>3978</v>
      </c>
      <c r="AH44" s="495">
        <v>664824.69999999995</v>
      </c>
      <c r="AI44" s="494">
        <v>108</v>
      </c>
      <c r="AJ44" s="495">
        <v>5154.5</v>
      </c>
      <c r="AK44" s="494">
        <v>268</v>
      </c>
      <c r="AL44" s="495">
        <v>31824.2</v>
      </c>
      <c r="AM44" s="496">
        <v>4396</v>
      </c>
      <c r="AN44" s="496">
        <v>2769</v>
      </c>
      <c r="AO44" s="496">
        <v>1369</v>
      </c>
      <c r="AP44" s="496">
        <v>1569</v>
      </c>
      <c r="AQ44" s="496">
        <v>434</v>
      </c>
      <c r="AR44" s="496">
        <v>358</v>
      </c>
      <c r="AS44" s="496">
        <v>12</v>
      </c>
      <c r="AT44" s="496">
        <v>1044</v>
      </c>
      <c r="AU44" s="496">
        <v>571</v>
      </c>
      <c r="AV44" s="496" t="s">
        <v>721</v>
      </c>
      <c r="AW44" s="496">
        <v>1173</v>
      </c>
      <c r="AX44" s="496">
        <v>15</v>
      </c>
      <c r="AY44" s="496">
        <v>23</v>
      </c>
      <c r="AZ44" s="496">
        <v>54</v>
      </c>
      <c r="BA44" s="496">
        <v>21</v>
      </c>
      <c r="BB44" s="496">
        <v>161</v>
      </c>
      <c r="BC44" s="496" t="s">
        <v>721</v>
      </c>
      <c r="BD44" s="496" t="s">
        <v>721</v>
      </c>
      <c r="BE44" s="496" t="s">
        <v>721</v>
      </c>
      <c r="BF44" s="496">
        <v>88</v>
      </c>
      <c r="BG44" s="496">
        <v>267</v>
      </c>
      <c r="BH44" s="496" t="s">
        <v>721</v>
      </c>
      <c r="BI44" s="496">
        <v>1153</v>
      </c>
      <c r="BJ44" s="496">
        <v>726</v>
      </c>
      <c r="BK44" s="496" t="s">
        <v>721</v>
      </c>
      <c r="BL44" s="496">
        <v>39</v>
      </c>
      <c r="BM44" s="496">
        <v>541</v>
      </c>
      <c r="BN44" s="496">
        <v>231</v>
      </c>
      <c r="BO44" s="496">
        <v>3388</v>
      </c>
      <c r="BP44" s="496">
        <v>22</v>
      </c>
      <c r="BQ44" s="496" t="s">
        <v>721</v>
      </c>
      <c r="BR44" s="496">
        <v>370</v>
      </c>
      <c r="BS44" s="496">
        <v>28</v>
      </c>
      <c r="BT44" s="496">
        <v>11</v>
      </c>
      <c r="BU44" s="496">
        <v>16</v>
      </c>
      <c r="BV44" s="496">
        <v>12</v>
      </c>
      <c r="BW44" s="496" t="s">
        <v>721</v>
      </c>
      <c r="BX44" s="496" t="s">
        <v>721</v>
      </c>
      <c r="BY44" s="496" t="s">
        <v>721</v>
      </c>
      <c r="BZ44" s="496" t="s">
        <v>721</v>
      </c>
      <c r="CA44" s="496" t="s">
        <v>721</v>
      </c>
      <c r="CB44" s="496" t="s">
        <v>721</v>
      </c>
      <c r="CC44" s="496" t="s">
        <v>721</v>
      </c>
      <c r="CD44" s="496">
        <v>303</v>
      </c>
      <c r="CE44" s="496" t="s">
        <v>721</v>
      </c>
      <c r="CF44" s="496" t="s">
        <v>721</v>
      </c>
      <c r="CG44" s="496">
        <v>120</v>
      </c>
      <c r="CH44" s="496" t="s">
        <v>721</v>
      </c>
      <c r="CI44" s="496" t="s">
        <v>721</v>
      </c>
      <c r="CJ44" s="496">
        <v>68</v>
      </c>
      <c r="CK44" s="496">
        <v>76</v>
      </c>
      <c r="CL44" s="496">
        <v>15</v>
      </c>
      <c r="CM44" s="496" t="s">
        <v>721</v>
      </c>
      <c r="CN44" s="496" t="s">
        <v>721</v>
      </c>
      <c r="CO44" s="496" t="s">
        <v>721</v>
      </c>
      <c r="CP44" s="496">
        <v>991</v>
      </c>
      <c r="CQ44" s="496">
        <v>679</v>
      </c>
      <c r="CR44" s="496" t="s">
        <v>721</v>
      </c>
      <c r="CS44" s="496">
        <v>17</v>
      </c>
      <c r="CT44" s="496">
        <v>214</v>
      </c>
      <c r="CU44" s="496">
        <v>70</v>
      </c>
      <c r="CV44" s="496">
        <v>4664</v>
      </c>
      <c r="CW44" s="496">
        <v>61</v>
      </c>
      <c r="CX44" s="496" t="s">
        <v>721</v>
      </c>
      <c r="CY44" s="496">
        <v>256</v>
      </c>
      <c r="CZ44" s="496" t="s">
        <v>721</v>
      </c>
      <c r="DA44" s="496" t="s">
        <v>721</v>
      </c>
      <c r="DB44" s="496" t="s">
        <v>721</v>
      </c>
      <c r="DC44" s="496" t="s">
        <v>721</v>
      </c>
      <c r="DD44" s="496" t="s">
        <v>721</v>
      </c>
      <c r="DE44" s="496" t="s">
        <v>721</v>
      </c>
      <c r="DF44" s="496" t="s">
        <v>721</v>
      </c>
      <c r="DG44" s="496" t="s">
        <v>721</v>
      </c>
      <c r="DH44" s="496" t="s">
        <v>721</v>
      </c>
      <c r="DI44" s="496" t="s">
        <v>721</v>
      </c>
      <c r="DJ44" s="496" t="s">
        <v>721</v>
      </c>
      <c r="DK44" s="496">
        <v>186</v>
      </c>
      <c r="DL44" s="496" t="s">
        <v>721</v>
      </c>
      <c r="DM44" s="496" t="s">
        <v>721</v>
      </c>
      <c r="DN44" s="496">
        <v>44</v>
      </c>
      <c r="DO44" s="496" t="s">
        <v>721</v>
      </c>
      <c r="DP44" s="496" t="s">
        <v>721</v>
      </c>
      <c r="DQ44" s="496">
        <v>18</v>
      </c>
      <c r="DR44" s="496">
        <v>34</v>
      </c>
      <c r="DS44" s="483" t="s">
        <v>721</v>
      </c>
      <c r="DT44" s="483" t="s">
        <v>721</v>
      </c>
      <c r="DU44" s="483" t="s">
        <v>721</v>
      </c>
      <c r="DV44" s="496">
        <v>569</v>
      </c>
      <c r="DW44" s="497">
        <v>99943.5</v>
      </c>
      <c r="DX44" s="496">
        <v>892</v>
      </c>
      <c r="DY44" s="497">
        <v>146451.79999999999</v>
      </c>
      <c r="DZ44" s="496">
        <v>1029</v>
      </c>
      <c r="EA44" s="497">
        <v>115048.5</v>
      </c>
      <c r="EB44" s="496">
        <v>1187</v>
      </c>
      <c r="EC44" s="497">
        <v>117872.6</v>
      </c>
      <c r="ED44" s="496">
        <v>1695</v>
      </c>
      <c r="EE44" s="497">
        <v>178644.6</v>
      </c>
      <c r="EF44" s="496">
        <v>1793</v>
      </c>
      <c r="EG44" s="497">
        <v>237047.6</v>
      </c>
      <c r="EH44" s="485">
        <v>5895</v>
      </c>
      <c r="EI44" s="486">
        <v>15847.3</v>
      </c>
      <c r="EJ44" s="485">
        <v>5971</v>
      </c>
      <c r="EK44" s="486">
        <v>137734.9</v>
      </c>
      <c r="EL44" s="485">
        <v>5909</v>
      </c>
      <c r="EM44" s="486">
        <v>65491.5</v>
      </c>
      <c r="EN44" s="485">
        <v>6038</v>
      </c>
      <c r="EO44" s="486">
        <v>26053.5</v>
      </c>
      <c r="EP44" s="485">
        <v>5931</v>
      </c>
      <c r="EQ44" s="486">
        <v>15520.4</v>
      </c>
      <c r="ER44" s="485">
        <v>5903</v>
      </c>
      <c r="ES44" s="486">
        <v>12583.3</v>
      </c>
      <c r="ET44" s="485">
        <v>0</v>
      </c>
      <c r="EU44" s="485">
        <v>5026</v>
      </c>
      <c r="EV44" s="486">
        <v>91802.2</v>
      </c>
      <c r="EW44" s="485">
        <v>365</v>
      </c>
      <c r="EX44" s="486">
        <v>1376</v>
      </c>
      <c r="EY44" s="485">
        <v>2442</v>
      </c>
      <c r="EZ44" s="486">
        <v>39963.699999999997</v>
      </c>
      <c r="FA44" s="485">
        <v>1364</v>
      </c>
      <c r="FB44" s="486">
        <v>13672.9</v>
      </c>
      <c r="FC44" s="485">
        <v>6299</v>
      </c>
      <c r="FD44" s="486">
        <v>83445.100000000006</v>
      </c>
      <c r="FE44" s="485">
        <v>6172</v>
      </c>
      <c r="FF44" s="486">
        <v>53137.5</v>
      </c>
      <c r="FG44" s="485">
        <v>4280</v>
      </c>
      <c r="FH44" s="486">
        <v>50905.7</v>
      </c>
      <c r="FI44" s="485">
        <v>4921</v>
      </c>
      <c r="FJ44" s="486">
        <v>33562</v>
      </c>
      <c r="FK44" s="485">
        <v>5360</v>
      </c>
      <c r="FL44" s="486">
        <v>19377</v>
      </c>
      <c r="FM44" s="485">
        <v>284</v>
      </c>
      <c r="FN44" s="486">
        <v>693.3</v>
      </c>
      <c r="FO44" s="485">
        <v>5978</v>
      </c>
      <c r="FP44" s="486">
        <v>46678.6</v>
      </c>
      <c r="FQ44" s="485">
        <v>5727</v>
      </c>
      <c r="FR44" s="486">
        <v>14502.2</v>
      </c>
      <c r="FS44" s="485">
        <v>78</v>
      </c>
      <c r="FT44" s="486">
        <v>476.3</v>
      </c>
      <c r="FU44" s="485">
        <v>0</v>
      </c>
      <c r="FV44" s="486">
        <v>0</v>
      </c>
      <c r="FW44" s="485">
        <v>0</v>
      </c>
      <c r="FX44" s="486">
        <v>0</v>
      </c>
      <c r="FY44" s="485">
        <v>0</v>
      </c>
      <c r="FZ44" s="486">
        <v>0</v>
      </c>
      <c r="GA44" s="485">
        <v>0</v>
      </c>
      <c r="GB44" s="485">
        <v>0</v>
      </c>
      <c r="GC44" s="487">
        <v>0</v>
      </c>
      <c r="GD44" s="488">
        <v>1</v>
      </c>
      <c r="GE44" s="488">
        <v>263</v>
      </c>
      <c r="GF44" s="488">
        <v>3937</v>
      </c>
      <c r="GG44" s="488">
        <v>4</v>
      </c>
      <c r="GH44" s="488">
        <v>2</v>
      </c>
      <c r="GI44" s="488">
        <v>7</v>
      </c>
      <c r="GJ44" s="488">
        <v>0</v>
      </c>
      <c r="GK44" s="488">
        <v>1657</v>
      </c>
      <c r="GL44" s="488">
        <v>2531</v>
      </c>
      <c r="GM44" s="488">
        <v>4201</v>
      </c>
      <c r="GN44" s="488">
        <v>1542</v>
      </c>
      <c r="GO44" s="488">
        <v>215</v>
      </c>
      <c r="GP44" s="488">
        <v>16</v>
      </c>
      <c r="GQ44" s="488">
        <v>68</v>
      </c>
      <c r="GR44" s="488">
        <v>7</v>
      </c>
      <c r="GS44" s="488">
        <v>91</v>
      </c>
      <c r="GT44" s="489">
        <v>5253</v>
      </c>
      <c r="GU44" s="488">
        <v>11</v>
      </c>
      <c r="GV44" s="490">
        <v>0</v>
      </c>
      <c r="GW44" s="490">
        <v>3</v>
      </c>
      <c r="GX44" s="490">
        <v>14</v>
      </c>
      <c r="GY44" s="491">
        <v>4</v>
      </c>
      <c r="GZ44" s="491">
        <v>9</v>
      </c>
      <c r="HA44" s="491">
        <v>13</v>
      </c>
      <c r="HB44" s="475">
        <v>0</v>
      </c>
      <c r="HC44" s="475">
        <v>6</v>
      </c>
      <c r="HD44" s="475">
        <v>0</v>
      </c>
      <c r="HE44" s="475">
        <v>1</v>
      </c>
      <c r="HF44" s="475">
        <v>1</v>
      </c>
      <c r="HG44" s="475">
        <v>3</v>
      </c>
      <c r="HH44" s="475">
        <v>1</v>
      </c>
      <c r="HI44" s="475">
        <v>0</v>
      </c>
      <c r="HJ44" s="475">
        <v>0</v>
      </c>
      <c r="HK44" s="475">
        <v>0</v>
      </c>
      <c r="HL44" s="475">
        <v>1</v>
      </c>
      <c r="HM44" s="475">
        <v>0</v>
      </c>
      <c r="HN44" s="475">
        <v>0</v>
      </c>
      <c r="HO44" s="475">
        <v>1</v>
      </c>
      <c r="HP44" s="475">
        <v>0</v>
      </c>
      <c r="HQ44" s="475">
        <v>5</v>
      </c>
      <c r="HR44" s="475">
        <v>33</v>
      </c>
      <c r="HS44" s="475">
        <v>0</v>
      </c>
      <c r="HT44" s="475">
        <v>0</v>
      </c>
      <c r="HU44" s="475">
        <v>0</v>
      </c>
      <c r="HV44" s="475">
        <v>0</v>
      </c>
      <c r="HW44" s="475">
        <v>0</v>
      </c>
      <c r="HX44" s="475">
        <v>0</v>
      </c>
      <c r="HY44" s="475">
        <v>0</v>
      </c>
      <c r="HZ44" s="475">
        <v>23</v>
      </c>
      <c r="IA44" s="475">
        <v>56</v>
      </c>
      <c r="IB44" s="475">
        <v>16</v>
      </c>
      <c r="IC44" s="475" t="s">
        <v>721</v>
      </c>
      <c r="ID44" s="475" t="s">
        <v>721</v>
      </c>
      <c r="IE44" s="475">
        <v>18</v>
      </c>
      <c r="IF44" s="475">
        <v>57</v>
      </c>
      <c r="IG44" s="475" t="s">
        <v>721</v>
      </c>
      <c r="IH44" s="475">
        <v>27</v>
      </c>
      <c r="II44" s="475" t="s">
        <v>721</v>
      </c>
      <c r="IJ44" s="475" t="s">
        <v>721</v>
      </c>
      <c r="IK44" s="475" t="s">
        <v>721</v>
      </c>
      <c r="IL44" s="475" t="s">
        <v>721</v>
      </c>
      <c r="IM44" s="475" t="s">
        <v>721</v>
      </c>
      <c r="IN44" s="475" t="s">
        <v>721</v>
      </c>
      <c r="IO44" s="475" t="s">
        <v>721</v>
      </c>
      <c r="IP44" s="475" t="s">
        <v>721</v>
      </c>
      <c r="IQ44" s="475" t="s">
        <v>721</v>
      </c>
      <c r="IR44" s="475" t="s">
        <v>721</v>
      </c>
      <c r="IS44" s="475">
        <v>12</v>
      </c>
      <c r="IT44" s="475">
        <v>27</v>
      </c>
      <c r="IU44" s="475" t="s">
        <v>721</v>
      </c>
      <c r="IV44" s="475" t="s">
        <v>721</v>
      </c>
      <c r="IW44" s="475" t="s">
        <v>721</v>
      </c>
      <c r="IX44" s="475" t="s">
        <v>721</v>
      </c>
      <c r="IY44" s="475">
        <v>29</v>
      </c>
      <c r="IZ44" s="475" t="s">
        <v>721</v>
      </c>
      <c r="JA44" s="475" t="s">
        <v>721</v>
      </c>
      <c r="JB44" s="475" t="s">
        <v>721</v>
      </c>
      <c r="JC44" s="475" t="s">
        <v>721</v>
      </c>
      <c r="JD44" s="475" t="s">
        <v>721</v>
      </c>
      <c r="JE44" s="475" t="s">
        <v>721</v>
      </c>
      <c r="JF44" s="475" t="s">
        <v>721</v>
      </c>
      <c r="JG44" s="475" t="s">
        <v>721</v>
      </c>
      <c r="JH44" s="475" t="s">
        <v>721</v>
      </c>
      <c r="JI44" s="475" t="s">
        <v>721</v>
      </c>
      <c r="JJ44" s="475" t="s">
        <v>721</v>
      </c>
      <c r="JK44" s="475" t="s">
        <v>721</v>
      </c>
      <c r="JL44" s="755">
        <v>184052.1</v>
      </c>
      <c r="JM44" s="755">
        <v>201828.6</v>
      </c>
      <c r="JN44" s="755">
        <v>50541.7</v>
      </c>
      <c r="JO44" s="755">
        <v>45598.400000000001</v>
      </c>
      <c r="JP44" s="755">
        <v>1190.7</v>
      </c>
      <c r="JQ44" s="755">
        <v>137996.4</v>
      </c>
      <c r="JR44" s="755">
        <v>64073</v>
      </c>
      <c r="JS44" s="755">
        <v>265.89999999999998</v>
      </c>
      <c r="JT44" s="755">
        <v>126922.5</v>
      </c>
      <c r="JU44" s="755">
        <v>1442.1</v>
      </c>
      <c r="JV44" s="755">
        <v>2841.3</v>
      </c>
      <c r="JW44" s="755">
        <v>6056.1</v>
      </c>
      <c r="JX44" s="755">
        <v>2951.6</v>
      </c>
      <c r="JY44" s="755">
        <v>21832.2</v>
      </c>
      <c r="JZ44" s="755" t="s">
        <v>721</v>
      </c>
      <c r="KA44" s="755" t="s">
        <v>721</v>
      </c>
      <c r="KB44" s="755">
        <v>609.9</v>
      </c>
      <c r="KC44" s="755">
        <v>11359.4</v>
      </c>
      <c r="KD44" s="755">
        <v>35446.699999999997</v>
      </c>
      <c r="KE44" s="475">
        <v>197</v>
      </c>
      <c r="KF44" s="475">
        <v>186</v>
      </c>
      <c r="KG44" s="475">
        <v>28</v>
      </c>
      <c r="KH44" s="475">
        <v>30</v>
      </c>
      <c r="KI44" s="475" t="s">
        <v>721</v>
      </c>
      <c r="KJ44" s="475">
        <v>152</v>
      </c>
      <c r="KK44" s="475">
        <v>60</v>
      </c>
      <c r="KL44" s="475" t="s">
        <v>721</v>
      </c>
      <c r="KM44" s="475">
        <v>72</v>
      </c>
      <c r="KN44" s="475" t="s">
        <v>721</v>
      </c>
      <c r="KO44" s="475" t="s">
        <v>721</v>
      </c>
      <c r="KP44" s="475" t="s">
        <v>721</v>
      </c>
      <c r="KQ44" s="475" t="s">
        <v>721</v>
      </c>
      <c r="KR44" s="475">
        <v>21</v>
      </c>
      <c r="KS44" s="475" t="s">
        <v>721</v>
      </c>
      <c r="KT44" s="475" t="s">
        <v>721</v>
      </c>
      <c r="KU44" s="475" t="s">
        <v>721</v>
      </c>
      <c r="KV44" s="475">
        <v>13</v>
      </c>
      <c r="KW44" s="475">
        <v>40</v>
      </c>
      <c r="KX44" s="475">
        <v>245</v>
      </c>
      <c r="KY44" s="475">
        <v>300</v>
      </c>
      <c r="KZ44" s="475">
        <v>47</v>
      </c>
      <c r="LA44" s="475">
        <v>78</v>
      </c>
      <c r="LB44" s="475" t="s">
        <v>721</v>
      </c>
      <c r="LC44" s="475">
        <v>219</v>
      </c>
      <c r="LD44" s="475">
        <v>75</v>
      </c>
      <c r="LE44" s="475" t="s">
        <v>721</v>
      </c>
      <c r="LF44" s="475">
        <v>167</v>
      </c>
      <c r="LG44" s="475" t="s">
        <v>721</v>
      </c>
      <c r="LH44" s="475" t="s">
        <v>721</v>
      </c>
      <c r="LI44" s="475" t="s">
        <v>721</v>
      </c>
      <c r="LJ44" s="475" t="s">
        <v>721</v>
      </c>
      <c r="LK44" s="475">
        <v>33</v>
      </c>
      <c r="LL44" s="475" t="s">
        <v>721</v>
      </c>
      <c r="LM44" s="475" t="s">
        <v>721</v>
      </c>
      <c r="LN44" s="475" t="s">
        <v>721</v>
      </c>
      <c r="LO44" s="475">
        <v>15</v>
      </c>
      <c r="LP44" s="475">
        <v>44</v>
      </c>
      <c r="LQ44" s="475">
        <v>710</v>
      </c>
      <c r="LR44" s="475">
        <v>823</v>
      </c>
      <c r="LS44" s="475">
        <v>253</v>
      </c>
      <c r="LT44" s="475">
        <v>167</v>
      </c>
      <c r="LU44" s="475" t="s">
        <v>721</v>
      </c>
      <c r="LV44" s="475">
        <v>524</v>
      </c>
      <c r="LW44" s="475">
        <v>350</v>
      </c>
      <c r="LX44" s="475" t="s">
        <v>721</v>
      </c>
      <c r="LY44" s="475">
        <v>713</v>
      </c>
      <c r="LZ44" s="475" t="s">
        <v>721</v>
      </c>
      <c r="MA44" s="475">
        <v>15</v>
      </c>
      <c r="MB44" s="475">
        <v>37</v>
      </c>
      <c r="MC44" s="475">
        <v>11</v>
      </c>
      <c r="MD44" s="475">
        <v>75</v>
      </c>
      <c r="ME44" s="475" t="s">
        <v>721</v>
      </c>
      <c r="MF44" s="475" t="s">
        <v>721</v>
      </c>
      <c r="MG44" s="475" t="s">
        <v>721</v>
      </c>
      <c r="MH44" s="475">
        <v>54</v>
      </c>
      <c r="MI44" s="475">
        <v>148</v>
      </c>
      <c r="MJ44" s="475">
        <v>632</v>
      </c>
      <c r="MK44" s="475">
        <v>732</v>
      </c>
      <c r="ML44" s="475">
        <v>175</v>
      </c>
      <c r="MM44" s="475">
        <v>188</v>
      </c>
      <c r="MN44" s="475" t="s">
        <v>721</v>
      </c>
      <c r="MO44" s="475">
        <v>512</v>
      </c>
      <c r="MP44" s="475">
        <v>209</v>
      </c>
      <c r="MQ44" s="475" t="s">
        <v>721</v>
      </c>
      <c r="MR44" s="475">
        <v>442</v>
      </c>
      <c r="MS44" s="475" t="s">
        <v>721</v>
      </c>
      <c r="MT44" s="475" t="s">
        <v>721</v>
      </c>
      <c r="MU44" s="475">
        <v>17</v>
      </c>
      <c r="MV44" s="475" t="s">
        <v>721</v>
      </c>
      <c r="MW44" s="475">
        <v>86</v>
      </c>
      <c r="MX44" s="475" t="s">
        <v>721</v>
      </c>
      <c r="MY44" s="475" t="s">
        <v>721</v>
      </c>
      <c r="MZ44" s="475" t="s">
        <v>721</v>
      </c>
      <c r="NA44" s="475">
        <v>34</v>
      </c>
      <c r="NB44" s="475">
        <v>118</v>
      </c>
      <c r="NC44" s="476">
        <v>0.61399999999999999</v>
      </c>
      <c r="ND44" s="476">
        <v>0.38600000000000001</v>
      </c>
      <c r="NE44" s="476">
        <v>0.191</v>
      </c>
      <c r="NF44" s="476">
        <v>0.219</v>
      </c>
      <c r="NG44" s="476">
        <v>6.0999999999999999E-2</v>
      </c>
      <c r="NH44" s="476">
        <v>0.05</v>
      </c>
      <c r="NI44" s="476">
        <v>2E-3</v>
      </c>
      <c r="NJ44" s="476">
        <v>0.14599999999999999</v>
      </c>
      <c r="NK44" s="476">
        <v>0.08</v>
      </c>
      <c r="NL44" s="476" t="s">
        <v>721</v>
      </c>
      <c r="NM44" s="476">
        <v>0.16400000000000001</v>
      </c>
      <c r="NN44" s="476">
        <v>2E-3</v>
      </c>
      <c r="NO44" s="476">
        <v>3.0000000000000001E-3</v>
      </c>
      <c r="NP44" s="476">
        <v>8.0000000000000002E-3</v>
      </c>
      <c r="NQ44" s="476">
        <v>3.0000000000000001E-3</v>
      </c>
      <c r="NR44" s="476">
        <v>2.1999999999999999E-2</v>
      </c>
      <c r="NS44" s="476" t="s">
        <v>721</v>
      </c>
      <c r="NT44" s="476" t="s">
        <v>721</v>
      </c>
      <c r="NU44" s="476" t="s">
        <v>721</v>
      </c>
      <c r="NV44" s="476">
        <v>1.2E-2</v>
      </c>
      <c r="NW44" s="476">
        <v>3.6999999999999998E-2</v>
      </c>
      <c r="NX44" s="476" t="s">
        <v>721</v>
      </c>
      <c r="NY44" s="476">
        <v>0.161</v>
      </c>
      <c r="NZ44" s="476">
        <v>0.10100000000000001</v>
      </c>
      <c r="OA44" s="476" t="s">
        <v>721</v>
      </c>
      <c r="OB44" s="476">
        <v>5.0000000000000001E-3</v>
      </c>
      <c r="OC44" s="476">
        <v>7.5999999999999998E-2</v>
      </c>
      <c r="OD44" s="476">
        <v>3.2000000000000001E-2</v>
      </c>
      <c r="OE44" s="476">
        <v>0.47299999999999998</v>
      </c>
      <c r="OF44" s="476">
        <v>3.0000000000000001E-3</v>
      </c>
      <c r="OG44" s="476" t="s">
        <v>721</v>
      </c>
      <c r="OH44" s="476">
        <v>5.1999999999999998E-2</v>
      </c>
      <c r="OI44" s="476">
        <v>4.0000000000000001E-3</v>
      </c>
      <c r="OJ44" s="476">
        <v>2E-3</v>
      </c>
      <c r="OK44" s="476">
        <v>2E-3</v>
      </c>
      <c r="OL44" s="476">
        <v>2E-3</v>
      </c>
      <c r="OM44" s="476" t="s">
        <v>721</v>
      </c>
      <c r="ON44" s="476" t="s">
        <v>721</v>
      </c>
      <c r="OO44" s="476" t="s">
        <v>721</v>
      </c>
      <c r="OP44" s="476" t="s">
        <v>721</v>
      </c>
      <c r="OQ44" s="476" t="s">
        <v>721</v>
      </c>
      <c r="OR44" s="476" t="s">
        <v>721</v>
      </c>
      <c r="OS44" s="476" t="s">
        <v>721</v>
      </c>
      <c r="OT44" s="476">
        <v>4.2000000000000003E-2</v>
      </c>
      <c r="OU44" s="476" t="s">
        <v>721</v>
      </c>
      <c r="OV44" s="476" t="s">
        <v>721</v>
      </c>
      <c r="OW44" s="476">
        <v>1.7000000000000001E-2</v>
      </c>
      <c r="OX44" s="476" t="s">
        <v>721</v>
      </c>
      <c r="OY44" s="476" t="s">
        <v>721</v>
      </c>
      <c r="OZ44" s="476">
        <v>8.9999999999999993E-3</v>
      </c>
      <c r="PA44" s="476">
        <v>1.0999999999999999E-2</v>
      </c>
      <c r="PB44" s="476">
        <v>2E-3</v>
      </c>
      <c r="PC44" s="476" t="s">
        <v>721</v>
      </c>
      <c r="PD44" s="476" t="s">
        <v>721</v>
      </c>
      <c r="PE44" s="476" t="s">
        <v>721</v>
      </c>
      <c r="PF44" s="476">
        <v>0.13600000000000001</v>
      </c>
      <c r="PG44" s="476">
        <v>9.2999999999999999E-2</v>
      </c>
      <c r="PH44" s="476" t="s">
        <v>721</v>
      </c>
      <c r="PI44" s="476">
        <v>2E-3</v>
      </c>
      <c r="PJ44" s="476">
        <v>2.9000000000000001E-2</v>
      </c>
      <c r="PK44" s="476">
        <v>0.01</v>
      </c>
      <c r="PL44" s="476">
        <v>0.64</v>
      </c>
      <c r="PM44" s="476">
        <v>8.0000000000000002E-3</v>
      </c>
      <c r="PN44" s="476" t="s">
        <v>721</v>
      </c>
      <c r="PO44" s="476">
        <v>3.5000000000000003E-2</v>
      </c>
      <c r="PP44" s="476" t="s">
        <v>721</v>
      </c>
      <c r="PQ44" s="476" t="s">
        <v>721</v>
      </c>
      <c r="PR44" s="476" t="s">
        <v>721</v>
      </c>
      <c r="PS44" s="476" t="s">
        <v>721</v>
      </c>
      <c r="PT44" s="476" t="s">
        <v>721</v>
      </c>
      <c r="PU44" s="476" t="s">
        <v>721</v>
      </c>
      <c r="PV44" s="476" t="s">
        <v>721</v>
      </c>
      <c r="PW44" s="476" t="s">
        <v>721</v>
      </c>
      <c r="PX44" s="476" t="s">
        <v>721</v>
      </c>
      <c r="PY44" s="476" t="s">
        <v>721</v>
      </c>
      <c r="PZ44" s="476" t="s">
        <v>721</v>
      </c>
      <c r="QA44" s="476">
        <v>2.5999999999999999E-2</v>
      </c>
      <c r="QB44" s="476" t="s">
        <v>721</v>
      </c>
      <c r="QC44" s="476" t="s">
        <v>721</v>
      </c>
      <c r="QD44" s="476">
        <v>6.0000000000000001E-3</v>
      </c>
      <c r="QE44" s="476" t="s">
        <v>721</v>
      </c>
      <c r="QF44" s="476" t="s">
        <v>721</v>
      </c>
      <c r="QG44" s="476">
        <v>2E-3</v>
      </c>
      <c r="QH44" s="476">
        <v>5.0000000000000001E-3</v>
      </c>
      <c r="QI44" s="476" t="s">
        <v>721</v>
      </c>
      <c r="QJ44" s="476" t="s">
        <v>721</v>
      </c>
      <c r="QK44" s="476" t="s">
        <v>721</v>
      </c>
      <c r="QL44" s="476">
        <v>0.107</v>
      </c>
      <c r="QM44" s="476">
        <v>0.26</v>
      </c>
      <c r="QN44" s="476">
        <v>7.3999999999999996E-2</v>
      </c>
      <c r="QO44" s="476" t="s">
        <v>721</v>
      </c>
      <c r="QP44" s="476" t="s">
        <v>721</v>
      </c>
      <c r="QQ44" s="476">
        <v>8.4000000000000005E-2</v>
      </c>
      <c r="QR44" s="476">
        <v>0.26500000000000001</v>
      </c>
      <c r="QS44" s="476" t="s">
        <v>721</v>
      </c>
      <c r="QT44" s="476">
        <v>0.126</v>
      </c>
      <c r="QU44" s="476" t="s">
        <v>721</v>
      </c>
      <c r="QV44" s="476" t="s">
        <v>721</v>
      </c>
      <c r="QW44" s="476" t="s">
        <v>721</v>
      </c>
      <c r="QX44" s="476" t="s">
        <v>721</v>
      </c>
      <c r="QY44" s="476" t="s">
        <v>721</v>
      </c>
      <c r="QZ44" s="476" t="s">
        <v>721</v>
      </c>
      <c r="RA44" s="476" t="s">
        <v>721</v>
      </c>
      <c r="RB44" s="476" t="s">
        <v>721</v>
      </c>
      <c r="RC44" s="476" t="s">
        <v>721</v>
      </c>
      <c r="RD44" s="476" t="s">
        <v>721</v>
      </c>
      <c r="RE44" s="476">
        <v>0.13200000000000001</v>
      </c>
      <c r="RF44" s="476">
        <v>0.29699999999999999</v>
      </c>
      <c r="RG44" s="476" t="s">
        <v>721</v>
      </c>
      <c r="RH44" s="476" t="s">
        <v>721</v>
      </c>
      <c r="RI44" s="476" t="s">
        <v>721</v>
      </c>
      <c r="RJ44" s="476" t="s">
        <v>721</v>
      </c>
      <c r="RK44" s="476">
        <v>0.31900000000000001</v>
      </c>
      <c r="RL44" s="476" t="s">
        <v>721</v>
      </c>
      <c r="RM44" s="476" t="s">
        <v>721</v>
      </c>
      <c r="RN44" s="476" t="s">
        <v>721</v>
      </c>
      <c r="RO44" s="476" t="s">
        <v>721</v>
      </c>
      <c r="RP44" s="476" t="s">
        <v>721</v>
      </c>
      <c r="RQ44" s="476" t="s">
        <v>721</v>
      </c>
      <c r="RR44" s="476" t="s">
        <v>721</v>
      </c>
      <c r="RS44" s="476" t="s">
        <v>721</v>
      </c>
      <c r="RT44" s="476" t="s">
        <v>721</v>
      </c>
      <c r="RU44" s="476" t="s">
        <v>721</v>
      </c>
      <c r="RV44" s="476" t="s">
        <v>721</v>
      </c>
      <c r="RW44" s="476" t="s">
        <v>721</v>
      </c>
      <c r="RX44" s="476">
        <v>0.20599999999999999</v>
      </c>
      <c r="RY44" s="476">
        <v>0.22600000000000001</v>
      </c>
      <c r="RZ44" s="476">
        <v>5.6000000000000001E-2</v>
      </c>
      <c r="SA44" s="476">
        <v>5.0999999999999997E-2</v>
      </c>
      <c r="SB44" s="476">
        <v>1E-3</v>
      </c>
      <c r="SC44" s="476">
        <v>0.154</v>
      </c>
      <c r="SD44" s="476">
        <v>7.1999999999999995E-2</v>
      </c>
      <c r="SE44" s="476">
        <v>0</v>
      </c>
      <c r="SF44" s="476">
        <v>0.14199999999999999</v>
      </c>
      <c r="SG44" s="476">
        <v>2E-3</v>
      </c>
      <c r="SH44" s="476">
        <v>3.0000000000000001E-3</v>
      </c>
      <c r="SI44" s="476">
        <v>7.0000000000000001E-3</v>
      </c>
      <c r="SJ44" s="476">
        <v>3.0000000000000001E-3</v>
      </c>
      <c r="SK44" s="476">
        <v>2.4E-2</v>
      </c>
      <c r="SL44" s="476" t="s">
        <v>721</v>
      </c>
      <c r="SM44" s="476" t="s">
        <v>721</v>
      </c>
      <c r="SN44" s="476">
        <v>1E-3</v>
      </c>
      <c r="SO44" s="476">
        <v>1.2999999999999999E-2</v>
      </c>
      <c r="SP44" s="476">
        <v>0.04</v>
      </c>
      <c r="SQ44" s="476">
        <v>0.24099999999999999</v>
      </c>
      <c r="SR44" s="476">
        <v>0.22800000000000001</v>
      </c>
      <c r="SS44" s="476">
        <v>3.4000000000000002E-2</v>
      </c>
      <c r="ST44" s="476">
        <v>3.6999999999999998E-2</v>
      </c>
      <c r="SU44" s="476" t="s">
        <v>721</v>
      </c>
      <c r="SV44" s="476">
        <v>0.186</v>
      </c>
      <c r="SW44" s="476">
        <v>7.3999999999999996E-2</v>
      </c>
      <c r="SX44" s="476" t="s">
        <v>721</v>
      </c>
      <c r="SY44" s="476">
        <v>8.7999999999999995E-2</v>
      </c>
      <c r="SZ44" s="476" t="s">
        <v>721</v>
      </c>
      <c r="TA44" s="476" t="s">
        <v>721</v>
      </c>
      <c r="TB44" s="476" t="s">
        <v>721</v>
      </c>
      <c r="TC44" s="476" t="s">
        <v>721</v>
      </c>
      <c r="TD44" s="476">
        <v>2.5999999999999999E-2</v>
      </c>
      <c r="TE44" s="476" t="s">
        <v>721</v>
      </c>
      <c r="TF44" s="476" t="s">
        <v>721</v>
      </c>
      <c r="TG44" s="476" t="s">
        <v>721</v>
      </c>
      <c r="TH44" s="476">
        <v>1.6E-2</v>
      </c>
      <c r="TI44" s="476">
        <v>4.9000000000000002E-2</v>
      </c>
      <c r="TJ44" s="476">
        <v>0.19700000000000001</v>
      </c>
      <c r="TK44" s="476">
        <v>0.24099999999999999</v>
      </c>
      <c r="TL44" s="476">
        <v>3.7999999999999999E-2</v>
      </c>
      <c r="TM44" s="476">
        <v>6.3E-2</v>
      </c>
      <c r="TN44" s="476" t="s">
        <v>721</v>
      </c>
      <c r="TO44" s="476">
        <v>0.17599999999999999</v>
      </c>
      <c r="TP44" s="476">
        <v>0.06</v>
      </c>
      <c r="TQ44" s="476" t="s">
        <v>721</v>
      </c>
      <c r="TR44" s="476">
        <v>0.13400000000000001</v>
      </c>
      <c r="TS44" s="476" t="s">
        <v>721</v>
      </c>
      <c r="TT44" s="476" t="s">
        <v>721</v>
      </c>
      <c r="TU44" s="476" t="s">
        <v>721</v>
      </c>
      <c r="TV44" s="476" t="s">
        <v>721</v>
      </c>
      <c r="TW44" s="476">
        <v>2.7E-2</v>
      </c>
      <c r="TX44" s="476" t="s">
        <v>721</v>
      </c>
      <c r="TY44" s="476" t="s">
        <v>721</v>
      </c>
      <c r="TZ44" s="476" t="s">
        <v>721</v>
      </c>
      <c r="UA44" s="476">
        <v>1.2E-2</v>
      </c>
      <c r="UB44" s="476">
        <v>3.5000000000000003E-2</v>
      </c>
      <c r="UC44" s="476">
        <v>0.182</v>
      </c>
      <c r="UD44" s="476">
        <v>0.21099999999999999</v>
      </c>
      <c r="UE44" s="476">
        <v>6.5000000000000002E-2</v>
      </c>
      <c r="UF44" s="476">
        <v>4.2999999999999997E-2</v>
      </c>
      <c r="UG44" s="476" t="s">
        <v>721</v>
      </c>
      <c r="UH44" s="476">
        <v>0.13400000000000001</v>
      </c>
      <c r="UI44" s="476">
        <v>0.09</v>
      </c>
      <c r="UJ44" s="476" t="s">
        <v>721</v>
      </c>
      <c r="UK44" s="476">
        <v>0.183</v>
      </c>
      <c r="UL44" s="476" t="s">
        <v>721</v>
      </c>
      <c r="UM44" s="476">
        <v>4.0000000000000001E-3</v>
      </c>
      <c r="UN44" s="476">
        <v>8.9999999999999993E-3</v>
      </c>
      <c r="UO44" s="476">
        <v>3.0000000000000001E-3</v>
      </c>
      <c r="UP44" s="476">
        <v>1.9E-2</v>
      </c>
      <c r="UQ44" s="476" t="s">
        <v>721</v>
      </c>
      <c r="UR44" s="476" t="s">
        <v>721</v>
      </c>
      <c r="US44" s="476" t="s">
        <v>721</v>
      </c>
      <c r="UT44" s="476">
        <v>1.4E-2</v>
      </c>
      <c r="UU44" s="476">
        <v>3.7999999999999999E-2</v>
      </c>
      <c r="UV44" s="476">
        <v>0.19900000000000001</v>
      </c>
      <c r="UW44" s="476">
        <v>0.23100000000000001</v>
      </c>
      <c r="UX44" s="476">
        <v>5.5E-2</v>
      </c>
      <c r="UY44" s="476">
        <v>5.8999999999999997E-2</v>
      </c>
      <c r="UZ44" s="476" t="s">
        <v>721</v>
      </c>
      <c r="VA44" s="476">
        <v>0.161</v>
      </c>
      <c r="VB44" s="476">
        <v>6.6000000000000003E-2</v>
      </c>
      <c r="VC44" s="476" t="s">
        <v>721</v>
      </c>
      <c r="VD44" s="476">
        <v>0.13900000000000001</v>
      </c>
      <c r="VE44" s="476" t="s">
        <v>721</v>
      </c>
      <c r="VF44" s="476" t="s">
        <v>721</v>
      </c>
      <c r="VG44" s="476">
        <v>5.0000000000000001E-3</v>
      </c>
      <c r="VH44" s="476" t="s">
        <v>721</v>
      </c>
      <c r="VI44" s="476">
        <v>2.7E-2</v>
      </c>
      <c r="VJ44" s="476" t="s">
        <v>721</v>
      </c>
      <c r="VK44" s="476" t="s">
        <v>721</v>
      </c>
      <c r="VL44" s="476" t="s">
        <v>721</v>
      </c>
      <c r="VM44" s="476">
        <v>1.0999999999999999E-2</v>
      </c>
      <c r="VN44" s="476">
        <v>3.6999999999999998E-2</v>
      </c>
      <c r="VO44" s="28"/>
      <c r="VP44" s="28"/>
      <c r="VQ44" s="28"/>
      <c r="VR44" s="28"/>
      <c r="VS44" s="28"/>
      <c r="VT44" s="28"/>
      <c r="VU44" s="28"/>
      <c r="VV44" s="28"/>
      <c r="VW44" s="28"/>
      <c r="VX44" s="28"/>
      <c r="VY44" s="28"/>
      <c r="VZ44" s="28"/>
      <c r="WA44" s="28"/>
      <c r="WB44" s="28"/>
      <c r="WC44" s="28"/>
      <c r="WD44" s="28"/>
      <c r="WE44" s="28"/>
      <c r="WF44" s="28"/>
      <c r="WG44" s="28"/>
      <c r="WH44" s="28"/>
      <c r="WI44" s="28"/>
      <c r="WJ44" s="28"/>
      <c r="WK44" s="28"/>
      <c r="WL44" s="28"/>
      <c r="WM44" s="28"/>
      <c r="WN44" s="28"/>
      <c r="WO44" s="28"/>
      <c r="WP44" s="28"/>
      <c r="WQ44" s="28"/>
      <c r="WR44" s="28"/>
      <c r="WS44" s="28"/>
      <c r="WT44" s="28"/>
      <c r="WU44" s="28"/>
      <c r="WV44" s="28"/>
      <c r="WW44" s="28"/>
    </row>
    <row r="45" spans="1:621" s="151" customFormat="1" ht="15.75" customHeight="1" x14ac:dyDescent="0.35">
      <c r="A45" s="477" t="s">
        <v>50</v>
      </c>
      <c r="B45" s="492" t="s">
        <v>17</v>
      </c>
      <c r="C45" s="493">
        <v>17.22</v>
      </c>
      <c r="D45" s="494">
        <v>4468</v>
      </c>
      <c r="E45" s="473">
        <v>512861</v>
      </c>
      <c r="F45" s="473">
        <v>114.8</v>
      </c>
      <c r="G45" s="474">
        <v>4245</v>
      </c>
      <c r="H45" s="474">
        <v>3918</v>
      </c>
      <c r="I45" s="474">
        <v>3265</v>
      </c>
      <c r="J45" s="474">
        <v>2387</v>
      </c>
      <c r="K45" s="474">
        <v>1520</v>
      </c>
      <c r="L45" s="473">
        <v>262118.2</v>
      </c>
      <c r="M45" s="474">
        <v>2887</v>
      </c>
      <c r="N45" s="473">
        <v>250742.8</v>
      </c>
      <c r="O45" s="494">
        <v>498</v>
      </c>
      <c r="P45" s="495">
        <v>85840.7</v>
      </c>
      <c r="Q45" s="494">
        <v>637</v>
      </c>
      <c r="R45" s="495">
        <v>16817.5</v>
      </c>
      <c r="S45" s="480">
        <v>1412</v>
      </c>
      <c r="T45" s="481">
        <v>141854.1</v>
      </c>
      <c r="U45" s="480">
        <v>67</v>
      </c>
      <c r="V45" s="481">
        <v>8768.5</v>
      </c>
      <c r="W45" s="480">
        <v>2989</v>
      </c>
      <c r="X45" s="481">
        <v>362238.4</v>
      </c>
      <c r="Y45" s="494">
        <v>3939</v>
      </c>
      <c r="Z45" s="494">
        <v>2158</v>
      </c>
      <c r="AA45" s="494">
        <v>2538</v>
      </c>
      <c r="AB45" s="494">
        <v>1781</v>
      </c>
      <c r="AC45" s="494">
        <v>241</v>
      </c>
      <c r="AD45" s="494">
        <v>867</v>
      </c>
      <c r="AE45" s="480">
        <v>2148</v>
      </c>
      <c r="AF45" s="481">
        <v>147465.9</v>
      </c>
      <c r="AG45" s="480">
        <v>2007</v>
      </c>
      <c r="AH45" s="481">
        <v>347297.1</v>
      </c>
      <c r="AI45" s="480">
        <v>154</v>
      </c>
      <c r="AJ45" s="481">
        <v>7441.2</v>
      </c>
      <c r="AK45" s="480">
        <v>98</v>
      </c>
      <c r="AL45" s="481">
        <v>10656.8</v>
      </c>
      <c r="AM45" s="496">
        <v>2615</v>
      </c>
      <c r="AN45" s="496">
        <v>1853</v>
      </c>
      <c r="AO45" s="496">
        <v>1829</v>
      </c>
      <c r="AP45" s="496">
        <v>1954</v>
      </c>
      <c r="AQ45" s="496">
        <v>139</v>
      </c>
      <c r="AR45" s="496">
        <v>60</v>
      </c>
      <c r="AS45" s="496">
        <v>20</v>
      </c>
      <c r="AT45" s="496">
        <v>85</v>
      </c>
      <c r="AU45" s="496">
        <v>65</v>
      </c>
      <c r="AV45" s="496" t="s">
        <v>721</v>
      </c>
      <c r="AW45" s="496" t="s">
        <v>721</v>
      </c>
      <c r="AX45" s="496" t="s">
        <v>721</v>
      </c>
      <c r="AY45" s="496" t="s">
        <v>721</v>
      </c>
      <c r="AZ45" s="496" t="s">
        <v>721</v>
      </c>
      <c r="BA45" s="496" t="s">
        <v>721</v>
      </c>
      <c r="BB45" s="496" t="s">
        <v>721</v>
      </c>
      <c r="BC45" s="496" t="s">
        <v>721</v>
      </c>
      <c r="BD45" s="496" t="s">
        <v>721</v>
      </c>
      <c r="BE45" s="496" t="s">
        <v>721</v>
      </c>
      <c r="BF45" s="496" t="s">
        <v>721</v>
      </c>
      <c r="BG45" s="496">
        <v>283</v>
      </c>
      <c r="BH45" s="496" t="s">
        <v>721</v>
      </c>
      <c r="BI45" s="496">
        <v>1214</v>
      </c>
      <c r="BJ45" s="496" t="s">
        <v>721</v>
      </c>
      <c r="BK45" s="496" t="s">
        <v>721</v>
      </c>
      <c r="BL45" s="496" t="s">
        <v>721</v>
      </c>
      <c r="BM45" s="496">
        <v>11</v>
      </c>
      <c r="BN45" s="496" t="s">
        <v>721</v>
      </c>
      <c r="BO45" s="496">
        <v>3146</v>
      </c>
      <c r="BP45" s="496" t="s">
        <v>721</v>
      </c>
      <c r="BQ45" s="496" t="s">
        <v>721</v>
      </c>
      <c r="BR45" s="496" t="s">
        <v>721</v>
      </c>
      <c r="BS45" s="496" t="s">
        <v>721</v>
      </c>
      <c r="BT45" s="496" t="s">
        <v>721</v>
      </c>
      <c r="BU45" s="496" t="s">
        <v>721</v>
      </c>
      <c r="BV45" s="496" t="s">
        <v>721</v>
      </c>
      <c r="BW45" s="496" t="s">
        <v>721</v>
      </c>
      <c r="BX45" s="496" t="s">
        <v>721</v>
      </c>
      <c r="BY45" s="496" t="s">
        <v>721</v>
      </c>
      <c r="BZ45" s="496" t="s">
        <v>721</v>
      </c>
      <c r="CA45" s="496" t="s">
        <v>721</v>
      </c>
      <c r="CB45" s="496" t="s">
        <v>721</v>
      </c>
      <c r="CC45" s="496" t="s">
        <v>721</v>
      </c>
      <c r="CD45" s="496">
        <v>23</v>
      </c>
      <c r="CE45" s="496" t="s">
        <v>721</v>
      </c>
      <c r="CF45" s="496" t="s">
        <v>721</v>
      </c>
      <c r="CG45" s="496" t="s">
        <v>721</v>
      </c>
      <c r="CH45" s="496" t="s">
        <v>721</v>
      </c>
      <c r="CI45" s="496" t="s">
        <v>721</v>
      </c>
      <c r="CJ45" s="496" t="s">
        <v>721</v>
      </c>
      <c r="CK45" s="496" t="s">
        <v>721</v>
      </c>
      <c r="CL45" s="496" t="s">
        <v>721</v>
      </c>
      <c r="CM45" s="496" t="s">
        <v>721</v>
      </c>
      <c r="CN45" s="496" t="s">
        <v>721</v>
      </c>
      <c r="CO45" s="496" t="s">
        <v>721</v>
      </c>
      <c r="CP45" s="496">
        <v>825</v>
      </c>
      <c r="CQ45" s="496" t="s">
        <v>721</v>
      </c>
      <c r="CR45" s="496" t="s">
        <v>721</v>
      </c>
      <c r="CS45" s="496" t="s">
        <v>721</v>
      </c>
      <c r="CT45" s="496">
        <v>11</v>
      </c>
      <c r="CU45" s="496" t="s">
        <v>721</v>
      </c>
      <c r="CV45" s="496">
        <v>3024</v>
      </c>
      <c r="CW45" s="496">
        <v>38</v>
      </c>
      <c r="CX45" s="496" t="s">
        <v>721</v>
      </c>
      <c r="CY45" s="496" t="s">
        <v>721</v>
      </c>
      <c r="CZ45" s="496" t="s">
        <v>721</v>
      </c>
      <c r="DA45" s="496" t="s">
        <v>721</v>
      </c>
      <c r="DB45" s="496" t="s">
        <v>721</v>
      </c>
      <c r="DC45" s="496" t="s">
        <v>721</v>
      </c>
      <c r="DD45" s="496" t="s">
        <v>721</v>
      </c>
      <c r="DE45" s="496" t="s">
        <v>721</v>
      </c>
      <c r="DF45" s="496" t="s">
        <v>721</v>
      </c>
      <c r="DG45" s="496" t="s">
        <v>721</v>
      </c>
      <c r="DH45" s="496" t="s">
        <v>721</v>
      </c>
      <c r="DI45" s="496" t="s">
        <v>721</v>
      </c>
      <c r="DJ45" s="496" t="s">
        <v>721</v>
      </c>
      <c r="DK45" s="496" t="s">
        <v>721</v>
      </c>
      <c r="DL45" s="496" t="s">
        <v>721</v>
      </c>
      <c r="DM45" s="496" t="s">
        <v>721</v>
      </c>
      <c r="DN45" s="496" t="s">
        <v>721</v>
      </c>
      <c r="DO45" s="496" t="s">
        <v>721</v>
      </c>
      <c r="DP45" s="496" t="s">
        <v>721</v>
      </c>
      <c r="DQ45" s="496" t="s">
        <v>721</v>
      </c>
      <c r="DR45" s="496" t="s">
        <v>721</v>
      </c>
      <c r="DS45" s="483" t="s">
        <v>721</v>
      </c>
      <c r="DT45" s="483" t="s">
        <v>721</v>
      </c>
      <c r="DU45" s="483" t="s">
        <v>721</v>
      </c>
      <c r="DV45" s="496">
        <v>451</v>
      </c>
      <c r="DW45" s="497">
        <v>75870</v>
      </c>
      <c r="DX45" s="496">
        <v>711</v>
      </c>
      <c r="DY45" s="497">
        <v>105331.8</v>
      </c>
      <c r="DZ45" s="496">
        <v>1031</v>
      </c>
      <c r="EA45" s="497">
        <v>104238</v>
      </c>
      <c r="EB45" s="496">
        <v>870</v>
      </c>
      <c r="EC45" s="497">
        <v>78367.8</v>
      </c>
      <c r="ED45" s="496">
        <v>808</v>
      </c>
      <c r="EE45" s="497">
        <v>78124.3</v>
      </c>
      <c r="EF45" s="496">
        <v>597</v>
      </c>
      <c r="EG45" s="497">
        <v>70929.100000000006</v>
      </c>
      <c r="EH45" s="485">
        <v>3610</v>
      </c>
      <c r="EI45" s="486">
        <v>12217.2</v>
      </c>
      <c r="EJ45" s="485">
        <v>3508</v>
      </c>
      <c r="EK45" s="486">
        <v>84314.8</v>
      </c>
      <c r="EL45" s="485">
        <v>3515</v>
      </c>
      <c r="EM45" s="486">
        <v>40567.1</v>
      </c>
      <c r="EN45" s="485">
        <v>3727</v>
      </c>
      <c r="EO45" s="486">
        <v>20629.400000000001</v>
      </c>
      <c r="EP45" s="485">
        <v>3570</v>
      </c>
      <c r="EQ45" s="486">
        <v>12053.6</v>
      </c>
      <c r="ER45" s="485">
        <v>3536</v>
      </c>
      <c r="ES45" s="486">
        <v>7724.9</v>
      </c>
      <c r="ET45" s="485">
        <v>3</v>
      </c>
      <c r="EU45" s="485">
        <v>2697</v>
      </c>
      <c r="EV45" s="486">
        <v>45933.599999999999</v>
      </c>
      <c r="EW45" s="485">
        <v>334</v>
      </c>
      <c r="EX45" s="486">
        <v>1923.1</v>
      </c>
      <c r="EY45" s="485">
        <v>1324</v>
      </c>
      <c r="EZ45" s="486">
        <v>18247.3</v>
      </c>
      <c r="FA45" s="485">
        <v>576</v>
      </c>
      <c r="FB45" s="486">
        <v>6347.1</v>
      </c>
      <c r="FC45" s="485">
        <v>3584</v>
      </c>
      <c r="FD45" s="486">
        <v>47446.3</v>
      </c>
      <c r="FE45" s="485">
        <v>3561</v>
      </c>
      <c r="FF45" s="486">
        <v>29864.2</v>
      </c>
      <c r="FG45" s="485">
        <v>1598</v>
      </c>
      <c r="FH45" s="486">
        <v>16238.4</v>
      </c>
      <c r="FI45" s="485">
        <v>2670</v>
      </c>
      <c r="FJ45" s="486">
        <v>17706.8</v>
      </c>
      <c r="FK45" s="485">
        <v>2941</v>
      </c>
      <c r="FL45" s="486">
        <v>9839.9</v>
      </c>
      <c r="FM45" s="485">
        <v>171</v>
      </c>
      <c r="FN45" s="486">
        <v>481.2</v>
      </c>
      <c r="FO45" s="485">
        <v>3266</v>
      </c>
      <c r="FP45" s="486">
        <v>24252.6</v>
      </c>
      <c r="FQ45" s="485">
        <v>3395</v>
      </c>
      <c r="FR45" s="486">
        <v>14241.7</v>
      </c>
      <c r="FS45" s="485">
        <v>58</v>
      </c>
      <c r="FT45" s="486">
        <v>373.6</v>
      </c>
      <c r="FU45" s="485">
        <v>0</v>
      </c>
      <c r="FV45" s="486">
        <v>0</v>
      </c>
      <c r="FW45" s="485">
        <v>0</v>
      </c>
      <c r="FX45" s="486">
        <v>0</v>
      </c>
      <c r="FY45" s="485">
        <v>0</v>
      </c>
      <c r="FZ45" s="486">
        <v>0</v>
      </c>
      <c r="GA45" s="485">
        <v>0</v>
      </c>
      <c r="GB45" s="485">
        <v>0</v>
      </c>
      <c r="GC45" s="487">
        <v>0</v>
      </c>
      <c r="GD45" s="488">
        <v>8</v>
      </c>
      <c r="GE45" s="488">
        <v>19</v>
      </c>
      <c r="GF45" s="488">
        <v>213</v>
      </c>
      <c r="GG45" s="488">
        <v>3</v>
      </c>
      <c r="GH45" s="488">
        <v>2</v>
      </c>
      <c r="GI45" s="488">
        <v>0</v>
      </c>
      <c r="GJ45" s="488">
        <v>0</v>
      </c>
      <c r="GK45" s="488">
        <v>109</v>
      </c>
      <c r="GL45" s="488">
        <v>126</v>
      </c>
      <c r="GM45" s="488">
        <v>240</v>
      </c>
      <c r="GN45" s="488">
        <v>268</v>
      </c>
      <c r="GO45" s="488">
        <v>180</v>
      </c>
      <c r="GP45" s="488">
        <v>16</v>
      </c>
      <c r="GQ45" s="488">
        <v>58</v>
      </c>
      <c r="GR45" s="488">
        <v>8</v>
      </c>
      <c r="GS45" s="488">
        <v>82</v>
      </c>
      <c r="GT45" s="489">
        <v>2848</v>
      </c>
      <c r="GU45" s="488">
        <v>6</v>
      </c>
      <c r="GV45" s="490">
        <v>0</v>
      </c>
      <c r="GW45" s="490">
        <v>4</v>
      </c>
      <c r="GX45" s="490">
        <v>10</v>
      </c>
      <c r="GY45" s="491">
        <v>10</v>
      </c>
      <c r="GZ45" s="491">
        <v>5</v>
      </c>
      <c r="HA45" s="491">
        <v>15</v>
      </c>
      <c r="HB45" s="475">
        <v>1</v>
      </c>
      <c r="HC45" s="475">
        <v>2</v>
      </c>
      <c r="HD45" s="475">
        <v>0</v>
      </c>
      <c r="HE45" s="475">
        <v>0</v>
      </c>
      <c r="HF45" s="475">
        <v>0</v>
      </c>
      <c r="HG45" s="475">
        <v>0</v>
      </c>
      <c r="HH45" s="475">
        <v>16</v>
      </c>
      <c r="HI45" s="475">
        <v>0</v>
      </c>
      <c r="HJ45" s="475">
        <v>0</v>
      </c>
      <c r="HK45" s="475">
        <v>0</v>
      </c>
      <c r="HL45" s="475">
        <v>1</v>
      </c>
      <c r="HM45" s="475">
        <v>1</v>
      </c>
      <c r="HN45" s="475">
        <v>0</v>
      </c>
      <c r="HO45" s="475">
        <v>2</v>
      </c>
      <c r="HP45" s="475">
        <v>0</v>
      </c>
      <c r="HQ45" s="475">
        <v>0</v>
      </c>
      <c r="HR45" s="475">
        <v>20</v>
      </c>
      <c r="HS45" s="475">
        <v>0</v>
      </c>
      <c r="HT45" s="475">
        <v>0</v>
      </c>
      <c r="HU45" s="475">
        <v>0</v>
      </c>
      <c r="HV45" s="475">
        <v>0</v>
      </c>
      <c r="HW45" s="475">
        <v>0</v>
      </c>
      <c r="HX45" s="475">
        <v>0</v>
      </c>
      <c r="HY45" s="475">
        <v>0</v>
      </c>
      <c r="HZ45" s="475">
        <v>90</v>
      </c>
      <c r="IA45" s="475">
        <v>69</v>
      </c>
      <c r="IB45" s="475" t="s">
        <v>721</v>
      </c>
      <c r="IC45" s="475" t="s">
        <v>721</v>
      </c>
      <c r="ID45" s="475" t="s">
        <v>721</v>
      </c>
      <c r="IE45" s="475" t="s">
        <v>721</v>
      </c>
      <c r="IF45" s="475" t="s">
        <v>721</v>
      </c>
      <c r="IG45" s="475" t="s">
        <v>721</v>
      </c>
      <c r="IH45" s="475" t="s">
        <v>721</v>
      </c>
      <c r="II45" s="475" t="s">
        <v>721</v>
      </c>
      <c r="IJ45" s="475" t="s">
        <v>721</v>
      </c>
      <c r="IK45" s="475" t="s">
        <v>721</v>
      </c>
      <c r="IL45" s="475" t="s">
        <v>721</v>
      </c>
      <c r="IM45" s="475" t="s">
        <v>721</v>
      </c>
      <c r="IN45" s="475" t="s">
        <v>721</v>
      </c>
      <c r="IO45" s="475" t="s">
        <v>721</v>
      </c>
      <c r="IP45" s="475" t="s">
        <v>721</v>
      </c>
      <c r="IQ45" s="475" t="s">
        <v>721</v>
      </c>
      <c r="IR45" s="475" t="s">
        <v>721</v>
      </c>
      <c r="IS45" s="475">
        <v>41</v>
      </c>
      <c r="IT45" s="475">
        <v>34</v>
      </c>
      <c r="IU45" s="475" t="s">
        <v>721</v>
      </c>
      <c r="IV45" s="475" t="s">
        <v>721</v>
      </c>
      <c r="IW45" s="475" t="s">
        <v>721</v>
      </c>
      <c r="IX45" s="475" t="s">
        <v>721</v>
      </c>
      <c r="IY45" s="475" t="s">
        <v>721</v>
      </c>
      <c r="IZ45" s="475" t="s">
        <v>721</v>
      </c>
      <c r="JA45" s="475" t="s">
        <v>721</v>
      </c>
      <c r="JB45" s="475" t="s">
        <v>721</v>
      </c>
      <c r="JC45" s="475" t="s">
        <v>721</v>
      </c>
      <c r="JD45" s="475" t="s">
        <v>721</v>
      </c>
      <c r="JE45" s="475" t="s">
        <v>721</v>
      </c>
      <c r="JF45" s="475" t="s">
        <v>721</v>
      </c>
      <c r="JG45" s="475" t="s">
        <v>721</v>
      </c>
      <c r="JH45" s="475" t="s">
        <v>721</v>
      </c>
      <c r="JI45" s="475" t="s">
        <v>721</v>
      </c>
      <c r="JJ45" s="475" t="s">
        <v>721</v>
      </c>
      <c r="JK45" s="475" t="s">
        <v>721</v>
      </c>
      <c r="JL45" s="755">
        <v>206465.7</v>
      </c>
      <c r="JM45" s="755">
        <v>230788.6</v>
      </c>
      <c r="JN45" s="755">
        <v>15183.8</v>
      </c>
      <c r="JO45" s="755">
        <v>7323.3</v>
      </c>
      <c r="JP45" s="755">
        <v>1635</v>
      </c>
      <c r="JQ45" s="755">
        <v>11459.2</v>
      </c>
      <c r="JR45" s="755">
        <v>6276.9</v>
      </c>
      <c r="JS45" s="755">
        <v>624.5</v>
      </c>
      <c r="JT45" s="755">
        <v>1869.5</v>
      </c>
      <c r="JU45" s="755">
        <v>92.9</v>
      </c>
      <c r="JV45" s="755">
        <v>79.7</v>
      </c>
      <c r="JW45" s="755">
        <v>942.5</v>
      </c>
      <c r="JX45" s="755" t="s">
        <v>721</v>
      </c>
      <c r="JY45" s="755">
        <v>285.39999999999998</v>
      </c>
      <c r="JZ45" s="755" t="s">
        <v>721</v>
      </c>
      <c r="KA45" s="755" t="s">
        <v>721</v>
      </c>
      <c r="KB45" s="755" t="s">
        <v>721</v>
      </c>
      <c r="KC45" s="755">
        <v>735</v>
      </c>
      <c r="KD45" s="755">
        <v>29099</v>
      </c>
      <c r="KE45" s="475">
        <v>222</v>
      </c>
      <c r="KF45" s="475">
        <v>210</v>
      </c>
      <c r="KG45" s="475" t="s">
        <v>721</v>
      </c>
      <c r="KH45" s="475" t="s">
        <v>721</v>
      </c>
      <c r="KI45" s="475" t="s">
        <v>721</v>
      </c>
      <c r="KJ45" s="475" t="s">
        <v>721</v>
      </c>
      <c r="KK45" s="475" t="s">
        <v>721</v>
      </c>
      <c r="KL45" s="475" t="s">
        <v>721</v>
      </c>
      <c r="KM45" s="475" t="s">
        <v>721</v>
      </c>
      <c r="KN45" s="475" t="s">
        <v>721</v>
      </c>
      <c r="KO45" s="475" t="s">
        <v>721</v>
      </c>
      <c r="KP45" s="475" t="s">
        <v>721</v>
      </c>
      <c r="KQ45" s="475" t="s">
        <v>721</v>
      </c>
      <c r="KR45" s="475" t="s">
        <v>721</v>
      </c>
      <c r="KS45" s="475" t="s">
        <v>721</v>
      </c>
      <c r="KT45" s="475" t="s">
        <v>721</v>
      </c>
      <c r="KU45" s="475" t="s">
        <v>721</v>
      </c>
      <c r="KV45" s="475" t="s">
        <v>721</v>
      </c>
      <c r="KW45" s="475">
        <v>31</v>
      </c>
      <c r="KX45" s="475">
        <v>204</v>
      </c>
      <c r="KY45" s="475">
        <v>345</v>
      </c>
      <c r="KZ45" s="475">
        <v>23</v>
      </c>
      <c r="LA45" s="475" t="s">
        <v>721</v>
      </c>
      <c r="LB45" s="475" t="s">
        <v>721</v>
      </c>
      <c r="LC45" s="475">
        <v>20</v>
      </c>
      <c r="LD45" s="475" t="s">
        <v>721</v>
      </c>
      <c r="LE45" s="475" t="s">
        <v>721</v>
      </c>
      <c r="LF45" s="475" t="s">
        <v>721</v>
      </c>
      <c r="LG45" s="475" t="s">
        <v>721</v>
      </c>
      <c r="LH45" s="475" t="s">
        <v>721</v>
      </c>
      <c r="LI45" s="475" t="s">
        <v>721</v>
      </c>
      <c r="LJ45" s="475" t="s">
        <v>721</v>
      </c>
      <c r="LK45" s="475" t="s">
        <v>721</v>
      </c>
      <c r="LL45" s="475" t="s">
        <v>721</v>
      </c>
      <c r="LM45" s="475" t="s">
        <v>721</v>
      </c>
      <c r="LN45" s="475" t="s">
        <v>721</v>
      </c>
      <c r="LO45" s="475" t="s">
        <v>721</v>
      </c>
      <c r="LP45" s="475">
        <v>22</v>
      </c>
      <c r="LQ45" s="475">
        <v>1263</v>
      </c>
      <c r="LR45" s="475">
        <v>1170</v>
      </c>
      <c r="LS45" s="475">
        <v>94</v>
      </c>
      <c r="LT45" s="475">
        <v>39</v>
      </c>
      <c r="LU45" s="475">
        <v>16</v>
      </c>
      <c r="LV45" s="475">
        <v>39</v>
      </c>
      <c r="LW45" s="475">
        <v>48</v>
      </c>
      <c r="LX45" s="475" t="s">
        <v>721</v>
      </c>
      <c r="LY45" s="475" t="s">
        <v>721</v>
      </c>
      <c r="LZ45" s="475" t="s">
        <v>721</v>
      </c>
      <c r="MA45" s="475" t="s">
        <v>721</v>
      </c>
      <c r="MB45" s="475" t="s">
        <v>721</v>
      </c>
      <c r="MC45" s="475" t="s">
        <v>721</v>
      </c>
      <c r="MD45" s="475" t="s">
        <v>721</v>
      </c>
      <c r="ME45" s="475" t="s">
        <v>721</v>
      </c>
      <c r="MF45" s="475" t="s">
        <v>721</v>
      </c>
      <c r="MG45" s="475" t="s">
        <v>721</v>
      </c>
      <c r="MH45" s="475" t="s">
        <v>721</v>
      </c>
      <c r="MI45" s="475">
        <v>202</v>
      </c>
      <c r="MJ45" s="475">
        <v>534</v>
      </c>
      <c r="MK45" s="475">
        <v>762</v>
      </c>
      <c r="ML45" s="475">
        <v>44</v>
      </c>
      <c r="MM45" s="475">
        <v>21</v>
      </c>
      <c r="MN45" s="475" t="s">
        <v>721</v>
      </c>
      <c r="MO45" s="475">
        <v>46</v>
      </c>
      <c r="MP45" s="475">
        <v>15</v>
      </c>
      <c r="MQ45" s="475" t="s">
        <v>721</v>
      </c>
      <c r="MR45" s="475" t="s">
        <v>721</v>
      </c>
      <c r="MS45" s="475" t="s">
        <v>721</v>
      </c>
      <c r="MT45" s="475" t="s">
        <v>721</v>
      </c>
      <c r="MU45" s="475" t="s">
        <v>721</v>
      </c>
      <c r="MV45" s="475" t="s">
        <v>721</v>
      </c>
      <c r="MW45" s="475" t="s">
        <v>721</v>
      </c>
      <c r="MX45" s="475" t="s">
        <v>721</v>
      </c>
      <c r="MY45" s="475" t="s">
        <v>721</v>
      </c>
      <c r="MZ45" s="475" t="s">
        <v>721</v>
      </c>
      <c r="NA45" s="475" t="s">
        <v>721</v>
      </c>
      <c r="NB45" s="475">
        <v>78</v>
      </c>
      <c r="NC45" s="476">
        <v>0.58499999999999996</v>
      </c>
      <c r="ND45" s="476">
        <v>0.41499999999999998</v>
      </c>
      <c r="NE45" s="476">
        <v>0.40899999999999997</v>
      </c>
      <c r="NF45" s="476">
        <v>0.437</v>
      </c>
      <c r="NG45" s="476">
        <v>3.1E-2</v>
      </c>
      <c r="NH45" s="476">
        <v>1.4E-2</v>
      </c>
      <c r="NI45" s="476">
        <v>4.0000000000000001E-3</v>
      </c>
      <c r="NJ45" s="476">
        <v>1.9E-2</v>
      </c>
      <c r="NK45" s="476">
        <v>1.4999999999999999E-2</v>
      </c>
      <c r="NL45" s="476" t="s">
        <v>721</v>
      </c>
      <c r="NM45" s="476" t="s">
        <v>721</v>
      </c>
      <c r="NN45" s="476" t="s">
        <v>721</v>
      </c>
      <c r="NO45" s="476" t="s">
        <v>721</v>
      </c>
      <c r="NP45" s="476" t="s">
        <v>721</v>
      </c>
      <c r="NQ45" s="476" t="s">
        <v>721</v>
      </c>
      <c r="NR45" s="476" t="s">
        <v>721</v>
      </c>
      <c r="NS45" s="476" t="s">
        <v>721</v>
      </c>
      <c r="NT45" s="476" t="s">
        <v>721</v>
      </c>
      <c r="NU45" s="476" t="s">
        <v>721</v>
      </c>
      <c r="NV45" s="476" t="s">
        <v>721</v>
      </c>
      <c r="NW45" s="476">
        <v>6.3E-2</v>
      </c>
      <c r="NX45" s="476" t="s">
        <v>721</v>
      </c>
      <c r="NY45" s="476">
        <v>0.27200000000000002</v>
      </c>
      <c r="NZ45" s="476" t="s">
        <v>721</v>
      </c>
      <c r="OA45" s="476" t="s">
        <v>721</v>
      </c>
      <c r="OB45" s="476" t="s">
        <v>721</v>
      </c>
      <c r="OC45" s="476">
        <v>2E-3</v>
      </c>
      <c r="OD45" s="476" t="s">
        <v>721</v>
      </c>
      <c r="OE45" s="476">
        <v>0.70399999999999996</v>
      </c>
      <c r="OF45" s="476" t="s">
        <v>721</v>
      </c>
      <c r="OG45" s="476" t="s">
        <v>721</v>
      </c>
      <c r="OH45" s="476" t="s">
        <v>721</v>
      </c>
      <c r="OI45" s="476" t="s">
        <v>721</v>
      </c>
      <c r="OJ45" s="476" t="s">
        <v>721</v>
      </c>
      <c r="OK45" s="476" t="s">
        <v>721</v>
      </c>
      <c r="OL45" s="476" t="s">
        <v>721</v>
      </c>
      <c r="OM45" s="476" t="s">
        <v>721</v>
      </c>
      <c r="ON45" s="476" t="s">
        <v>721</v>
      </c>
      <c r="OO45" s="476" t="s">
        <v>721</v>
      </c>
      <c r="OP45" s="476" t="s">
        <v>721</v>
      </c>
      <c r="OQ45" s="476" t="s">
        <v>721</v>
      </c>
      <c r="OR45" s="476" t="s">
        <v>721</v>
      </c>
      <c r="OS45" s="476" t="s">
        <v>721</v>
      </c>
      <c r="OT45" s="476">
        <v>5.0000000000000001E-3</v>
      </c>
      <c r="OU45" s="476" t="s">
        <v>721</v>
      </c>
      <c r="OV45" s="476" t="s">
        <v>721</v>
      </c>
      <c r="OW45" s="476" t="s">
        <v>721</v>
      </c>
      <c r="OX45" s="476" t="s">
        <v>721</v>
      </c>
      <c r="OY45" s="476" t="s">
        <v>721</v>
      </c>
      <c r="OZ45" s="476" t="s">
        <v>721</v>
      </c>
      <c r="PA45" s="476" t="s">
        <v>721</v>
      </c>
      <c r="PB45" s="476" t="s">
        <v>721</v>
      </c>
      <c r="PC45" s="476" t="s">
        <v>721</v>
      </c>
      <c r="PD45" s="476" t="s">
        <v>721</v>
      </c>
      <c r="PE45" s="476" t="s">
        <v>721</v>
      </c>
      <c r="PF45" s="476">
        <v>0.20899999999999999</v>
      </c>
      <c r="PG45" s="476" t="s">
        <v>721</v>
      </c>
      <c r="PH45" s="476" t="s">
        <v>721</v>
      </c>
      <c r="PI45" s="476" t="s">
        <v>721</v>
      </c>
      <c r="PJ45" s="476">
        <v>3.0000000000000001E-3</v>
      </c>
      <c r="PK45" s="476" t="s">
        <v>721</v>
      </c>
      <c r="PL45" s="476">
        <v>0.76800000000000002</v>
      </c>
      <c r="PM45" s="476">
        <v>0.01</v>
      </c>
      <c r="PN45" s="476" t="s">
        <v>721</v>
      </c>
      <c r="PO45" s="476" t="s">
        <v>721</v>
      </c>
      <c r="PP45" s="476" t="s">
        <v>721</v>
      </c>
      <c r="PQ45" s="476" t="s">
        <v>721</v>
      </c>
      <c r="PR45" s="476" t="s">
        <v>721</v>
      </c>
      <c r="PS45" s="476" t="s">
        <v>721</v>
      </c>
      <c r="PT45" s="476" t="s">
        <v>721</v>
      </c>
      <c r="PU45" s="476" t="s">
        <v>721</v>
      </c>
      <c r="PV45" s="476" t="s">
        <v>721</v>
      </c>
      <c r="PW45" s="476" t="s">
        <v>721</v>
      </c>
      <c r="PX45" s="476" t="s">
        <v>721</v>
      </c>
      <c r="PY45" s="476" t="s">
        <v>721</v>
      </c>
      <c r="PZ45" s="476" t="s">
        <v>721</v>
      </c>
      <c r="QA45" s="476" t="s">
        <v>721</v>
      </c>
      <c r="QB45" s="476" t="s">
        <v>721</v>
      </c>
      <c r="QC45" s="476" t="s">
        <v>721</v>
      </c>
      <c r="QD45" s="476" t="s">
        <v>721</v>
      </c>
      <c r="QE45" s="476" t="s">
        <v>721</v>
      </c>
      <c r="QF45" s="476" t="s">
        <v>721</v>
      </c>
      <c r="QG45" s="476" t="s">
        <v>721</v>
      </c>
      <c r="QH45" s="476" t="s">
        <v>721</v>
      </c>
      <c r="QI45" s="476" t="s">
        <v>721</v>
      </c>
      <c r="QJ45" s="476" t="s">
        <v>721</v>
      </c>
      <c r="QK45" s="476" t="s">
        <v>721</v>
      </c>
      <c r="QL45" s="476">
        <v>0.5</v>
      </c>
      <c r="QM45" s="476">
        <v>0.38300000000000001</v>
      </c>
      <c r="QN45" s="476" t="s">
        <v>721</v>
      </c>
      <c r="QO45" s="476" t="s">
        <v>721</v>
      </c>
      <c r="QP45" s="476" t="s">
        <v>721</v>
      </c>
      <c r="QQ45" s="476" t="s">
        <v>721</v>
      </c>
      <c r="QR45" s="476" t="s">
        <v>721</v>
      </c>
      <c r="QS45" s="476" t="s">
        <v>721</v>
      </c>
      <c r="QT45" s="476" t="s">
        <v>721</v>
      </c>
      <c r="QU45" s="476" t="s">
        <v>721</v>
      </c>
      <c r="QV45" s="476" t="s">
        <v>721</v>
      </c>
      <c r="QW45" s="476" t="s">
        <v>721</v>
      </c>
      <c r="QX45" s="476" t="s">
        <v>721</v>
      </c>
      <c r="QY45" s="476" t="s">
        <v>721</v>
      </c>
      <c r="QZ45" s="476" t="s">
        <v>721</v>
      </c>
      <c r="RA45" s="476" t="s">
        <v>721</v>
      </c>
      <c r="RB45" s="476" t="s">
        <v>721</v>
      </c>
      <c r="RC45" s="476" t="s">
        <v>721</v>
      </c>
      <c r="RD45" s="476" t="s">
        <v>721</v>
      </c>
      <c r="RE45" s="476">
        <v>0.5</v>
      </c>
      <c r="RF45" s="476">
        <v>0.41499999999999998</v>
      </c>
      <c r="RG45" s="476" t="s">
        <v>721</v>
      </c>
      <c r="RH45" s="476" t="s">
        <v>721</v>
      </c>
      <c r="RI45" s="476" t="s">
        <v>721</v>
      </c>
      <c r="RJ45" s="476" t="s">
        <v>721</v>
      </c>
      <c r="RK45" s="476" t="s">
        <v>721</v>
      </c>
      <c r="RL45" s="476" t="s">
        <v>721</v>
      </c>
      <c r="RM45" s="476" t="s">
        <v>721</v>
      </c>
      <c r="RN45" s="476" t="s">
        <v>721</v>
      </c>
      <c r="RO45" s="476" t="s">
        <v>721</v>
      </c>
      <c r="RP45" s="476" t="s">
        <v>721</v>
      </c>
      <c r="RQ45" s="476" t="s">
        <v>721</v>
      </c>
      <c r="RR45" s="476" t="s">
        <v>721</v>
      </c>
      <c r="RS45" s="476" t="s">
        <v>721</v>
      </c>
      <c r="RT45" s="476" t="s">
        <v>721</v>
      </c>
      <c r="RU45" s="476" t="s">
        <v>721</v>
      </c>
      <c r="RV45" s="476" t="s">
        <v>721</v>
      </c>
      <c r="RW45" s="476" t="s">
        <v>721</v>
      </c>
      <c r="RX45" s="476">
        <v>0.40300000000000002</v>
      </c>
      <c r="RY45" s="476">
        <v>0.45</v>
      </c>
      <c r="RZ45" s="476">
        <v>0.03</v>
      </c>
      <c r="SA45" s="476">
        <v>1.4E-2</v>
      </c>
      <c r="SB45" s="476">
        <v>3.0000000000000001E-3</v>
      </c>
      <c r="SC45" s="476">
        <v>2.1999999999999999E-2</v>
      </c>
      <c r="SD45" s="476">
        <v>1.2E-2</v>
      </c>
      <c r="SE45" s="476">
        <v>1E-3</v>
      </c>
      <c r="SF45" s="476">
        <v>4.0000000000000001E-3</v>
      </c>
      <c r="SG45" s="476">
        <v>0</v>
      </c>
      <c r="SH45" s="476">
        <v>0</v>
      </c>
      <c r="SI45" s="476">
        <v>2E-3</v>
      </c>
      <c r="SJ45" s="476" t="s">
        <v>721</v>
      </c>
      <c r="SK45" s="476">
        <v>1E-3</v>
      </c>
      <c r="SL45" s="476" t="s">
        <v>721</v>
      </c>
      <c r="SM45" s="476" t="s">
        <v>721</v>
      </c>
      <c r="SN45" s="476" t="s">
        <v>721</v>
      </c>
      <c r="SO45" s="476">
        <v>1E-3</v>
      </c>
      <c r="SP45" s="476">
        <v>5.7000000000000002E-2</v>
      </c>
      <c r="SQ45" s="476">
        <v>0.44600000000000001</v>
      </c>
      <c r="SR45" s="476">
        <v>0.42199999999999999</v>
      </c>
      <c r="SS45" s="476" t="s">
        <v>721</v>
      </c>
      <c r="ST45" s="476" t="s">
        <v>721</v>
      </c>
      <c r="SU45" s="476" t="s">
        <v>721</v>
      </c>
      <c r="SV45" s="476" t="s">
        <v>721</v>
      </c>
      <c r="SW45" s="476" t="s">
        <v>721</v>
      </c>
      <c r="SX45" s="476" t="s">
        <v>721</v>
      </c>
      <c r="SY45" s="476" t="s">
        <v>721</v>
      </c>
      <c r="SZ45" s="476" t="s">
        <v>721</v>
      </c>
      <c r="TA45" s="476" t="s">
        <v>721</v>
      </c>
      <c r="TB45" s="476" t="s">
        <v>721</v>
      </c>
      <c r="TC45" s="476" t="s">
        <v>721</v>
      </c>
      <c r="TD45" s="476" t="s">
        <v>721</v>
      </c>
      <c r="TE45" s="476" t="s">
        <v>721</v>
      </c>
      <c r="TF45" s="476" t="s">
        <v>721</v>
      </c>
      <c r="TG45" s="476" t="s">
        <v>721</v>
      </c>
      <c r="TH45" s="476" t="s">
        <v>721</v>
      </c>
      <c r="TI45" s="476">
        <v>6.2E-2</v>
      </c>
      <c r="TJ45" s="476">
        <v>0.32</v>
      </c>
      <c r="TK45" s="476">
        <v>0.54200000000000004</v>
      </c>
      <c r="TL45" s="476">
        <v>3.5999999999999997E-2</v>
      </c>
      <c r="TM45" s="476" t="s">
        <v>721</v>
      </c>
      <c r="TN45" s="476" t="s">
        <v>721</v>
      </c>
      <c r="TO45" s="476">
        <v>3.1E-2</v>
      </c>
      <c r="TP45" s="476" t="s">
        <v>721</v>
      </c>
      <c r="TQ45" s="476" t="s">
        <v>721</v>
      </c>
      <c r="TR45" s="476" t="s">
        <v>721</v>
      </c>
      <c r="TS45" s="476" t="s">
        <v>721</v>
      </c>
      <c r="TT45" s="476" t="s">
        <v>721</v>
      </c>
      <c r="TU45" s="476" t="s">
        <v>721</v>
      </c>
      <c r="TV45" s="476" t="s">
        <v>721</v>
      </c>
      <c r="TW45" s="476" t="s">
        <v>721</v>
      </c>
      <c r="TX45" s="476" t="s">
        <v>721</v>
      </c>
      <c r="TY45" s="476" t="s">
        <v>721</v>
      </c>
      <c r="TZ45" s="476" t="s">
        <v>721</v>
      </c>
      <c r="UA45" s="476" t="s">
        <v>721</v>
      </c>
      <c r="UB45" s="476">
        <v>3.5000000000000003E-2</v>
      </c>
      <c r="UC45" s="476">
        <v>0.437</v>
      </c>
      <c r="UD45" s="476">
        <v>0.40500000000000003</v>
      </c>
      <c r="UE45" s="476">
        <v>3.3000000000000002E-2</v>
      </c>
      <c r="UF45" s="476">
        <v>1.4E-2</v>
      </c>
      <c r="UG45" s="476">
        <v>6.0000000000000001E-3</v>
      </c>
      <c r="UH45" s="476">
        <v>1.4E-2</v>
      </c>
      <c r="UI45" s="476">
        <v>1.7000000000000001E-2</v>
      </c>
      <c r="UJ45" s="476" t="s">
        <v>721</v>
      </c>
      <c r="UK45" s="476" t="s">
        <v>721</v>
      </c>
      <c r="UL45" s="476" t="s">
        <v>721</v>
      </c>
      <c r="UM45" s="476" t="s">
        <v>721</v>
      </c>
      <c r="UN45" s="476" t="s">
        <v>721</v>
      </c>
      <c r="UO45" s="476" t="s">
        <v>721</v>
      </c>
      <c r="UP45" s="476" t="s">
        <v>721</v>
      </c>
      <c r="UQ45" s="476" t="s">
        <v>721</v>
      </c>
      <c r="UR45" s="476" t="s">
        <v>721</v>
      </c>
      <c r="US45" s="476" t="s">
        <v>721</v>
      </c>
      <c r="UT45" s="476" t="s">
        <v>721</v>
      </c>
      <c r="UU45" s="476">
        <v>7.0000000000000007E-2</v>
      </c>
      <c r="UV45" s="476">
        <v>0.35099999999999998</v>
      </c>
      <c r="UW45" s="476">
        <v>0.501</v>
      </c>
      <c r="UX45" s="476">
        <v>2.9000000000000001E-2</v>
      </c>
      <c r="UY45" s="476">
        <v>1.4E-2</v>
      </c>
      <c r="UZ45" s="476" t="s">
        <v>721</v>
      </c>
      <c r="VA45" s="476">
        <v>0.03</v>
      </c>
      <c r="VB45" s="476">
        <v>0.01</v>
      </c>
      <c r="VC45" s="476" t="s">
        <v>721</v>
      </c>
      <c r="VD45" s="476" t="s">
        <v>721</v>
      </c>
      <c r="VE45" s="476" t="s">
        <v>721</v>
      </c>
      <c r="VF45" s="476" t="s">
        <v>721</v>
      </c>
      <c r="VG45" s="476" t="s">
        <v>721</v>
      </c>
      <c r="VH45" s="476" t="s">
        <v>721</v>
      </c>
      <c r="VI45" s="476" t="s">
        <v>721</v>
      </c>
      <c r="VJ45" s="476" t="s">
        <v>721</v>
      </c>
      <c r="VK45" s="476" t="s">
        <v>721</v>
      </c>
      <c r="VL45" s="476" t="s">
        <v>721</v>
      </c>
      <c r="VM45" s="476" t="s">
        <v>721</v>
      </c>
      <c r="VN45" s="476">
        <v>5.0999999999999997E-2</v>
      </c>
      <c r="VO45" s="28"/>
      <c r="VP45" s="28"/>
      <c r="VQ45" s="28"/>
      <c r="VR45" s="28"/>
      <c r="VS45" s="28"/>
      <c r="VT45" s="28"/>
      <c r="VU45" s="28"/>
      <c r="VV45" s="28"/>
      <c r="VW45" s="28"/>
      <c r="VX45" s="28"/>
      <c r="VY45" s="28"/>
      <c r="VZ45" s="28"/>
      <c r="WA45" s="28"/>
      <c r="WB45" s="28"/>
      <c r="WC45" s="28"/>
      <c r="WD45" s="28"/>
      <c r="WE45" s="28"/>
      <c r="WF45" s="28"/>
      <c r="WG45" s="28"/>
      <c r="WH45" s="28"/>
      <c r="WI45" s="28"/>
      <c r="WJ45" s="28"/>
      <c r="WK45" s="28"/>
      <c r="WL45" s="28"/>
      <c r="WM45" s="28"/>
      <c r="WN45" s="28"/>
      <c r="WO45" s="28"/>
      <c r="WP45" s="28"/>
      <c r="WQ45" s="28"/>
      <c r="WR45" s="28"/>
      <c r="WS45" s="28"/>
      <c r="WT45" s="28"/>
      <c r="WU45" s="28"/>
      <c r="WV45" s="28"/>
      <c r="WW45" s="28"/>
    </row>
    <row r="46" spans="1:621" s="151" customFormat="1" ht="15.75" customHeight="1" x14ac:dyDescent="0.35">
      <c r="A46" s="477" t="s">
        <v>8</v>
      </c>
      <c r="B46" s="492" t="s">
        <v>12</v>
      </c>
      <c r="C46" s="493">
        <v>19.04</v>
      </c>
      <c r="D46" s="494">
        <v>31943</v>
      </c>
      <c r="E46" s="473">
        <v>4013254</v>
      </c>
      <c r="F46" s="473">
        <v>125.6</v>
      </c>
      <c r="G46" s="474">
        <v>31914</v>
      </c>
      <c r="H46" s="474">
        <v>32650</v>
      </c>
      <c r="I46" s="474">
        <v>26021</v>
      </c>
      <c r="J46" s="474">
        <v>18594</v>
      </c>
      <c r="K46" s="474">
        <v>13089</v>
      </c>
      <c r="L46" s="473">
        <v>2262919.2999999998</v>
      </c>
      <c r="M46" s="474">
        <v>18657</v>
      </c>
      <c r="N46" s="473">
        <v>1750334.7</v>
      </c>
      <c r="O46" s="494">
        <v>4084</v>
      </c>
      <c r="P46" s="495">
        <v>707582.6</v>
      </c>
      <c r="Q46" s="494">
        <v>3841</v>
      </c>
      <c r="R46" s="495">
        <v>105917.7</v>
      </c>
      <c r="S46" s="494">
        <v>15059</v>
      </c>
      <c r="T46" s="495">
        <v>1669887.8</v>
      </c>
      <c r="U46" s="494">
        <v>330</v>
      </c>
      <c r="V46" s="495">
        <v>45626.6</v>
      </c>
      <c r="W46" s="494">
        <v>16554</v>
      </c>
      <c r="X46" s="495">
        <v>2297739.6</v>
      </c>
      <c r="Y46" s="494">
        <v>32657</v>
      </c>
      <c r="Z46" s="494">
        <v>18067</v>
      </c>
      <c r="AA46" s="494">
        <v>23689</v>
      </c>
      <c r="AB46" s="494">
        <v>15546</v>
      </c>
      <c r="AC46" s="494">
        <v>1300</v>
      </c>
      <c r="AD46" s="494">
        <v>5500</v>
      </c>
      <c r="AE46" s="494">
        <v>13216</v>
      </c>
      <c r="AF46" s="495">
        <v>930451</v>
      </c>
      <c r="AG46" s="494">
        <v>16915</v>
      </c>
      <c r="AH46" s="495">
        <v>2935828.3</v>
      </c>
      <c r="AI46" s="494">
        <v>688</v>
      </c>
      <c r="AJ46" s="495">
        <v>33620.800000000003</v>
      </c>
      <c r="AK46" s="494">
        <v>927</v>
      </c>
      <c r="AL46" s="495">
        <v>113353.9</v>
      </c>
      <c r="AM46" s="496">
        <v>18711</v>
      </c>
      <c r="AN46" s="496">
        <v>13232</v>
      </c>
      <c r="AO46" s="496">
        <v>5548</v>
      </c>
      <c r="AP46" s="496">
        <v>6095</v>
      </c>
      <c r="AQ46" s="496">
        <v>1096</v>
      </c>
      <c r="AR46" s="496">
        <v>500</v>
      </c>
      <c r="AS46" s="496">
        <v>79</v>
      </c>
      <c r="AT46" s="496">
        <v>1287</v>
      </c>
      <c r="AU46" s="496">
        <v>779</v>
      </c>
      <c r="AV46" s="496">
        <v>12</v>
      </c>
      <c r="AW46" s="496">
        <v>3966</v>
      </c>
      <c r="AX46" s="496">
        <v>313</v>
      </c>
      <c r="AY46" s="496">
        <v>56</v>
      </c>
      <c r="AZ46" s="496">
        <v>546</v>
      </c>
      <c r="BA46" s="496">
        <v>22</v>
      </c>
      <c r="BB46" s="496">
        <v>1184</v>
      </c>
      <c r="BC46" s="496">
        <v>12</v>
      </c>
      <c r="BD46" s="496" t="s">
        <v>721</v>
      </c>
      <c r="BE46" s="496">
        <v>22</v>
      </c>
      <c r="BF46" s="496">
        <v>8937</v>
      </c>
      <c r="BG46" s="496">
        <v>1486</v>
      </c>
      <c r="BH46" s="496">
        <v>29</v>
      </c>
      <c r="BI46" s="496">
        <v>3127</v>
      </c>
      <c r="BJ46" s="496">
        <v>1016</v>
      </c>
      <c r="BK46" s="496">
        <v>23</v>
      </c>
      <c r="BL46" s="496">
        <v>490</v>
      </c>
      <c r="BM46" s="496">
        <v>665</v>
      </c>
      <c r="BN46" s="496">
        <v>1244</v>
      </c>
      <c r="BO46" s="496">
        <v>11325</v>
      </c>
      <c r="BP46" s="496" t="s">
        <v>721</v>
      </c>
      <c r="BQ46" s="496">
        <v>12</v>
      </c>
      <c r="BR46" s="496">
        <v>2439</v>
      </c>
      <c r="BS46" s="496">
        <v>98</v>
      </c>
      <c r="BT46" s="496">
        <v>302</v>
      </c>
      <c r="BU46" s="496">
        <v>35</v>
      </c>
      <c r="BV46" s="496">
        <v>70</v>
      </c>
      <c r="BW46" s="496" t="s">
        <v>721</v>
      </c>
      <c r="BX46" s="496" t="s">
        <v>721</v>
      </c>
      <c r="BY46" s="496">
        <v>16</v>
      </c>
      <c r="BZ46" s="496" t="s">
        <v>721</v>
      </c>
      <c r="CA46" s="496" t="s">
        <v>721</v>
      </c>
      <c r="CB46" s="496" t="s">
        <v>721</v>
      </c>
      <c r="CC46" s="496" t="s">
        <v>721</v>
      </c>
      <c r="CD46" s="496">
        <v>915</v>
      </c>
      <c r="CE46" s="496">
        <v>55</v>
      </c>
      <c r="CF46" s="496" t="s">
        <v>721</v>
      </c>
      <c r="CG46" s="496">
        <v>115</v>
      </c>
      <c r="CH46" s="496">
        <v>12</v>
      </c>
      <c r="CI46" s="496">
        <v>11</v>
      </c>
      <c r="CJ46" s="496">
        <v>1092</v>
      </c>
      <c r="CK46" s="496">
        <v>8710</v>
      </c>
      <c r="CL46" s="496">
        <v>52</v>
      </c>
      <c r="CM46" s="496">
        <v>65</v>
      </c>
      <c r="CN46" s="496" t="s">
        <v>721</v>
      </c>
      <c r="CO46" s="496" t="s">
        <v>721</v>
      </c>
      <c r="CP46" s="496">
        <v>1159</v>
      </c>
      <c r="CQ46" s="496">
        <v>399</v>
      </c>
      <c r="CR46" s="496" t="s">
        <v>721</v>
      </c>
      <c r="CS46" s="496">
        <v>115</v>
      </c>
      <c r="CT46" s="496">
        <v>51</v>
      </c>
      <c r="CU46" s="496">
        <v>79</v>
      </c>
      <c r="CV46" s="496">
        <v>23812</v>
      </c>
      <c r="CW46" s="496">
        <v>3263</v>
      </c>
      <c r="CX46" s="496" t="s">
        <v>721</v>
      </c>
      <c r="CY46" s="496">
        <v>688</v>
      </c>
      <c r="CZ46" s="496">
        <v>39</v>
      </c>
      <c r="DA46" s="496">
        <v>73</v>
      </c>
      <c r="DB46" s="496">
        <v>17</v>
      </c>
      <c r="DC46" s="496" t="s">
        <v>721</v>
      </c>
      <c r="DD46" s="496" t="s">
        <v>721</v>
      </c>
      <c r="DE46" s="496" t="s">
        <v>721</v>
      </c>
      <c r="DF46" s="496" t="s">
        <v>721</v>
      </c>
      <c r="DG46" s="496" t="s">
        <v>721</v>
      </c>
      <c r="DH46" s="496" t="s">
        <v>721</v>
      </c>
      <c r="DI46" s="496" t="s">
        <v>721</v>
      </c>
      <c r="DJ46" s="496" t="s">
        <v>721</v>
      </c>
      <c r="DK46" s="496">
        <v>201</v>
      </c>
      <c r="DL46" s="496" t="s">
        <v>721</v>
      </c>
      <c r="DM46" s="496" t="s">
        <v>721</v>
      </c>
      <c r="DN46" s="496">
        <v>13</v>
      </c>
      <c r="DO46" s="496" t="s">
        <v>721</v>
      </c>
      <c r="DP46" s="496" t="s">
        <v>721</v>
      </c>
      <c r="DQ46" s="496">
        <v>146</v>
      </c>
      <c r="DR46" s="496">
        <v>2546</v>
      </c>
      <c r="DS46" s="483" t="s">
        <v>721</v>
      </c>
      <c r="DT46" s="483" t="s">
        <v>721</v>
      </c>
      <c r="DU46" s="483" t="s">
        <v>721</v>
      </c>
      <c r="DV46" s="496">
        <v>2869</v>
      </c>
      <c r="DW46" s="497">
        <v>500475.2</v>
      </c>
      <c r="DX46" s="496">
        <v>3920</v>
      </c>
      <c r="DY46" s="497">
        <v>654223.80000000005</v>
      </c>
      <c r="DZ46" s="496">
        <v>4327</v>
      </c>
      <c r="EA46" s="497">
        <v>506168.5</v>
      </c>
      <c r="EB46" s="496">
        <v>5229</v>
      </c>
      <c r="EC46" s="497">
        <v>523269</v>
      </c>
      <c r="ED46" s="496">
        <v>8156</v>
      </c>
      <c r="EE46" s="497">
        <v>836157.3</v>
      </c>
      <c r="EF46" s="496">
        <v>7442</v>
      </c>
      <c r="EG46" s="497">
        <v>992960.2</v>
      </c>
      <c r="EH46" s="485">
        <v>26777</v>
      </c>
      <c r="EI46" s="486">
        <v>75754.100000000006</v>
      </c>
      <c r="EJ46" s="485">
        <v>26947</v>
      </c>
      <c r="EK46" s="486">
        <v>612478.69999999995</v>
      </c>
      <c r="EL46" s="485">
        <v>26732</v>
      </c>
      <c r="EM46" s="486">
        <v>264490.7</v>
      </c>
      <c r="EN46" s="485">
        <v>27389</v>
      </c>
      <c r="EO46" s="486">
        <v>119483</v>
      </c>
      <c r="EP46" s="485">
        <v>26827</v>
      </c>
      <c r="EQ46" s="486">
        <v>70613.399999999994</v>
      </c>
      <c r="ER46" s="485">
        <v>26702</v>
      </c>
      <c r="ES46" s="486">
        <v>50397.8</v>
      </c>
      <c r="ET46" s="485">
        <v>2</v>
      </c>
      <c r="EU46" s="485">
        <v>22099</v>
      </c>
      <c r="EV46" s="486">
        <v>379133.5</v>
      </c>
      <c r="EW46" s="485">
        <v>2181</v>
      </c>
      <c r="EX46" s="486">
        <v>15969.2</v>
      </c>
      <c r="EY46" s="485">
        <v>10269</v>
      </c>
      <c r="EZ46" s="486">
        <v>166469.9</v>
      </c>
      <c r="FA46" s="485">
        <v>3951</v>
      </c>
      <c r="FB46" s="486">
        <v>44850.9</v>
      </c>
      <c r="FC46" s="485">
        <v>27931</v>
      </c>
      <c r="FD46" s="486">
        <v>392730.4</v>
      </c>
      <c r="FE46" s="485">
        <v>26675</v>
      </c>
      <c r="FF46" s="486">
        <v>237647.9</v>
      </c>
      <c r="FG46" s="485">
        <v>20902</v>
      </c>
      <c r="FH46" s="486">
        <v>229749.2</v>
      </c>
      <c r="FI46" s="485">
        <v>20703</v>
      </c>
      <c r="FJ46" s="486">
        <v>149355.20000000001</v>
      </c>
      <c r="FK46" s="485">
        <v>24610</v>
      </c>
      <c r="FL46" s="486">
        <v>90341.6</v>
      </c>
      <c r="FM46" s="485">
        <v>1314</v>
      </c>
      <c r="FN46" s="486">
        <v>3881.4</v>
      </c>
      <c r="FO46" s="485">
        <v>25455</v>
      </c>
      <c r="FP46" s="486">
        <v>222819.1</v>
      </c>
      <c r="FQ46" s="485">
        <v>24752</v>
      </c>
      <c r="FR46" s="486">
        <v>72301.3</v>
      </c>
      <c r="FS46" s="485">
        <v>474</v>
      </c>
      <c r="FT46" s="486">
        <v>3425.2</v>
      </c>
      <c r="FU46" s="485">
        <v>0</v>
      </c>
      <c r="FV46" s="486">
        <v>0</v>
      </c>
      <c r="FW46" s="485">
        <v>0</v>
      </c>
      <c r="FX46" s="486">
        <v>0</v>
      </c>
      <c r="FY46" s="485">
        <v>0</v>
      </c>
      <c r="FZ46" s="486">
        <v>0</v>
      </c>
      <c r="GA46" s="485">
        <v>0</v>
      </c>
      <c r="GB46" s="485">
        <v>0</v>
      </c>
      <c r="GC46" s="487">
        <v>0</v>
      </c>
      <c r="GD46" s="488">
        <v>17</v>
      </c>
      <c r="GE46" s="488">
        <v>440</v>
      </c>
      <c r="GF46" s="488">
        <v>9853</v>
      </c>
      <c r="GG46" s="488">
        <v>11</v>
      </c>
      <c r="GH46" s="488">
        <v>6</v>
      </c>
      <c r="GI46" s="488">
        <v>10</v>
      </c>
      <c r="GJ46" s="488">
        <v>1</v>
      </c>
      <c r="GK46" s="488">
        <v>1878</v>
      </c>
      <c r="GL46" s="488">
        <v>8404</v>
      </c>
      <c r="GM46" s="488">
        <v>10310</v>
      </c>
      <c r="GN46" s="488">
        <v>8610</v>
      </c>
      <c r="GO46" s="488">
        <v>659</v>
      </c>
      <c r="GP46" s="488">
        <v>14</v>
      </c>
      <c r="GQ46" s="488">
        <v>55</v>
      </c>
      <c r="GR46" s="488">
        <v>60</v>
      </c>
      <c r="GS46" s="488">
        <v>129</v>
      </c>
      <c r="GT46" s="489">
        <v>23520</v>
      </c>
      <c r="GU46" s="488">
        <v>33</v>
      </c>
      <c r="GV46" s="490">
        <v>0</v>
      </c>
      <c r="GW46" s="490">
        <v>33</v>
      </c>
      <c r="GX46" s="490">
        <v>66</v>
      </c>
      <c r="GY46" s="491">
        <v>44</v>
      </c>
      <c r="GZ46" s="491">
        <v>65</v>
      </c>
      <c r="HA46" s="491">
        <v>109</v>
      </c>
      <c r="HB46" s="475">
        <v>3</v>
      </c>
      <c r="HC46" s="475">
        <v>8</v>
      </c>
      <c r="HD46" s="475">
        <v>0</v>
      </c>
      <c r="HE46" s="475">
        <v>1</v>
      </c>
      <c r="HF46" s="475">
        <v>1</v>
      </c>
      <c r="HG46" s="475">
        <v>2</v>
      </c>
      <c r="HH46" s="475">
        <v>2</v>
      </c>
      <c r="HI46" s="475">
        <v>0</v>
      </c>
      <c r="HJ46" s="475">
        <v>0</v>
      </c>
      <c r="HK46" s="475">
        <v>0</v>
      </c>
      <c r="HL46" s="475">
        <v>4</v>
      </c>
      <c r="HM46" s="475">
        <v>3</v>
      </c>
      <c r="HN46" s="475">
        <v>0</v>
      </c>
      <c r="HO46" s="475">
        <v>2</v>
      </c>
      <c r="HP46" s="475">
        <v>3</v>
      </c>
      <c r="HQ46" s="475">
        <v>4</v>
      </c>
      <c r="HR46" s="475">
        <v>112</v>
      </c>
      <c r="HS46" s="475">
        <v>0</v>
      </c>
      <c r="HT46" s="475">
        <v>0</v>
      </c>
      <c r="HU46" s="475">
        <v>0</v>
      </c>
      <c r="HV46" s="475">
        <v>0</v>
      </c>
      <c r="HW46" s="475">
        <v>0</v>
      </c>
      <c r="HX46" s="475">
        <v>0</v>
      </c>
      <c r="HY46" s="475">
        <v>0</v>
      </c>
      <c r="HZ46" s="475">
        <v>99</v>
      </c>
      <c r="IA46" s="475">
        <v>168</v>
      </c>
      <c r="IB46" s="475">
        <v>20</v>
      </c>
      <c r="IC46" s="475" t="s">
        <v>721</v>
      </c>
      <c r="ID46" s="475" t="s">
        <v>721</v>
      </c>
      <c r="IE46" s="475">
        <v>35</v>
      </c>
      <c r="IF46" s="475">
        <v>70</v>
      </c>
      <c r="IG46" s="475" t="s">
        <v>721</v>
      </c>
      <c r="IH46" s="475">
        <v>48</v>
      </c>
      <c r="II46" s="475" t="s">
        <v>721</v>
      </c>
      <c r="IJ46" s="475" t="s">
        <v>721</v>
      </c>
      <c r="IK46" s="475" t="s">
        <v>721</v>
      </c>
      <c r="IL46" s="475" t="s">
        <v>721</v>
      </c>
      <c r="IM46" s="475">
        <v>21</v>
      </c>
      <c r="IN46" s="475" t="s">
        <v>721</v>
      </c>
      <c r="IO46" s="475" t="s">
        <v>721</v>
      </c>
      <c r="IP46" s="475" t="s">
        <v>721</v>
      </c>
      <c r="IQ46" s="475">
        <v>133</v>
      </c>
      <c r="IR46" s="475">
        <v>36</v>
      </c>
      <c r="IS46" s="475">
        <v>39</v>
      </c>
      <c r="IT46" s="475">
        <v>34</v>
      </c>
      <c r="IU46" s="475" t="s">
        <v>721</v>
      </c>
      <c r="IV46" s="475" t="s">
        <v>721</v>
      </c>
      <c r="IW46" s="475" t="s">
        <v>721</v>
      </c>
      <c r="IX46" s="475" t="s">
        <v>721</v>
      </c>
      <c r="IY46" s="475">
        <v>21</v>
      </c>
      <c r="IZ46" s="475" t="s">
        <v>721</v>
      </c>
      <c r="JA46" s="475" t="s">
        <v>721</v>
      </c>
      <c r="JB46" s="475" t="s">
        <v>721</v>
      </c>
      <c r="JC46" s="475" t="s">
        <v>721</v>
      </c>
      <c r="JD46" s="475" t="s">
        <v>721</v>
      </c>
      <c r="JE46" s="475" t="s">
        <v>721</v>
      </c>
      <c r="JF46" s="475" t="s">
        <v>721</v>
      </c>
      <c r="JG46" s="475" t="s">
        <v>721</v>
      </c>
      <c r="JH46" s="475" t="s">
        <v>721</v>
      </c>
      <c r="JI46" s="475" t="s">
        <v>721</v>
      </c>
      <c r="JJ46" s="475" t="s">
        <v>721</v>
      </c>
      <c r="JK46" s="475">
        <v>11</v>
      </c>
      <c r="JL46" s="755">
        <v>801063.6</v>
      </c>
      <c r="JM46" s="755">
        <v>878600.3</v>
      </c>
      <c r="JN46" s="755">
        <v>149874.6</v>
      </c>
      <c r="JO46" s="755">
        <v>71287.8</v>
      </c>
      <c r="JP46" s="755">
        <v>10937.8</v>
      </c>
      <c r="JQ46" s="755">
        <v>157884.5</v>
      </c>
      <c r="JR46" s="755">
        <v>91686.8</v>
      </c>
      <c r="JS46" s="755">
        <v>2131.3000000000002</v>
      </c>
      <c r="JT46" s="755">
        <v>431042.5</v>
      </c>
      <c r="JU46" s="755">
        <v>34528.199999999997</v>
      </c>
      <c r="JV46" s="755">
        <v>8850.1</v>
      </c>
      <c r="JW46" s="755">
        <v>67736.7</v>
      </c>
      <c r="JX46" s="755">
        <v>2793.4</v>
      </c>
      <c r="JY46" s="755">
        <v>162496.6</v>
      </c>
      <c r="JZ46" s="755">
        <v>1973.1</v>
      </c>
      <c r="KA46" s="755">
        <v>389</v>
      </c>
      <c r="KB46" s="755">
        <v>2832</v>
      </c>
      <c r="KC46" s="755">
        <v>950876.7</v>
      </c>
      <c r="KD46" s="755">
        <v>186269</v>
      </c>
      <c r="KE46" s="475">
        <v>936</v>
      </c>
      <c r="KF46" s="475">
        <v>1143</v>
      </c>
      <c r="KG46" s="475">
        <v>148</v>
      </c>
      <c r="KH46" s="475">
        <v>103</v>
      </c>
      <c r="KI46" s="475">
        <v>12</v>
      </c>
      <c r="KJ46" s="475">
        <v>186</v>
      </c>
      <c r="KK46" s="475">
        <v>99</v>
      </c>
      <c r="KL46" s="475" t="s">
        <v>721</v>
      </c>
      <c r="KM46" s="475">
        <v>348</v>
      </c>
      <c r="KN46" s="475">
        <v>20</v>
      </c>
      <c r="KO46" s="475">
        <v>15</v>
      </c>
      <c r="KP46" s="475">
        <v>51</v>
      </c>
      <c r="KQ46" s="475" t="s">
        <v>721</v>
      </c>
      <c r="KR46" s="475">
        <v>193</v>
      </c>
      <c r="KS46" s="475" t="s">
        <v>721</v>
      </c>
      <c r="KT46" s="475" t="s">
        <v>721</v>
      </c>
      <c r="KU46" s="475" t="s">
        <v>721</v>
      </c>
      <c r="KV46" s="475">
        <v>592</v>
      </c>
      <c r="KW46" s="475">
        <v>227</v>
      </c>
      <c r="KX46" s="475">
        <v>665</v>
      </c>
      <c r="KY46" s="475">
        <v>747</v>
      </c>
      <c r="KZ46" s="475">
        <v>122</v>
      </c>
      <c r="LA46" s="475">
        <v>67</v>
      </c>
      <c r="LB46" s="475" t="s">
        <v>721</v>
      </c>
      <c r="LC46" s="475">
        <v>214</v>
      </c>
      <c r="LD46" s="475">
        <v>59</v>
      </c>
      <c r="LE46" s="475" t="s">
        <v>721</v>
      </c>
      <c r="LF46" s="475">
        <v>293</v>
      </c>
      <c r="LG46" s="475">
        <v>43</v>
      </c>
      <c r="LH46" s="475" t="s">
        <v>721</v>
      </c>
      <c r="LI46" s="475">
        <v>64</v>
      </c>
      <c r="LJ46" s="475" t="s">
        <v>721</v>
      </c>
      <c r="LK46" s="475">
        <v>157</v>
      </c>
      <c r="LL46" s="475" t="s">
        <v>721</v>
      </c>
      <c r="LM46" s="475" t="s">
        <v>721</v>
      </c>
      <c r="LN46" s="475" t="s">
        <v>721</v>
      </c>
      <c r="LO46" s="475">
        <v>1215</v>
      </c>
      <c r="LP46" s="475">
        <v>160</v>
      </c>
      <c r="LQ46" s="475">
        <v>2843</v>
      </c>
      <c r="LR46" s="475">
        <v>3107</v>
      </c>
      <c r="LS46" s="475">
        <v>616</v>
      </c>
      <c r="LT46" s="475">
        <v>290</v>
      </c>
      <c r="LU46" s="475">
        <v>39</v>
      </c>
      <c r="LV46" s="475">
        <v>770</v>
      </c>
      <c r="LW46" s="475">
        <v>501</v>
      </c>
      <c r="LX46" s="475" t="s">
        <v>721</v>
      </c>
      <c r="LY46" s="475">
        <v>2623</v>
      </c>
      <c r="LZ46" s="475">
        <v>200</v>
      </c>
      <c r="MA46" s="475">
        <v>29</v>
      </c>
      <c r="MB46" s="475">
        <v>306</v>
      </c>
      <c r="MC46" s="475" t="s">
        <v>721</v>
      </c>
      <c r="MD46" s="475">
        <v>624</v>
      </c>
      <c r="ME46" s="475" t="s">
        <v>721</v>
      </c>
      <c r="MF46" s="475" t="s">
        <v>721</v>
      </c>
      <c r="MG46" s="475" t="s">
        <v>721</v>
      </c>
      <c r="MH46" s="475">
        <v>5776</v>
      </c>
      <c r="MI46" s="475">
        <v>901</v>
      </c>
      <c r="MJ46" s="475">
        <v>2676</v>
      </c>
      <c r="MK46" s="475">
        <v>2963</v>
      </c>
      <c r="ML46" s="475">
        <v>475</v>
      </c>
      <c r="MM46" s="475">
        <v>207</v>
      </c>
      <c r="MN46" s="475">
        <v>39</v>
      </c>
      <c r="MO46" s="475">
        <v>507</v>
      </c>
      <c r="MP46" s="475">
        <v>273</v>
      </c>
      <c r="MQ46" s="475" t="s">
        <v>721</v>
      </c>
      <c r="MR46" s="475">
        <v>1299</v>
      </c>
      <c r="MS46" s="475">
        <v>112</v>
      </c>
      <c r="MT46" s="475">
        <v>26</v>
      </c>
      <c r="MU46" s="475">
        <v>238</v>
      </c>
      <c r="MV46" s="475">
        <v>13</v>
      </c>
      <c r="MW46" s="475">
        <v>554</v>
      </c>
      <c r="MX46" s="475" t="s">
        <v>721</v>
      </c>
      <c r="MY46" s="475" t="s">
        <v>721</v>
      </c>
      <c r="MZ46" s="475">
        <v>13</v>
      </c>
      <c r="NA46" s="475">
        <v>3109</v>
      </c>
      <c r="NB46" s="475">
        <v>572</v>
      </c>
      <c r="NC46" s="476">
        <v>0.58599999999999997</v>
      </c>
      <c r="ND46" s="476">
        <v>0.41399999999999998</v>
      </c>
      <c r="NE46" s="476">
        <v>0.17399999999999999</v>
      </c>
      <c r="NF46" s="476">
        <v>0.191</v>
      </c>
      <c r="NG46" s="476">
        <v>3.4000000000000002E-2</v>
      </c>
      <c r="NH46" s="476">
        <v>1.6E-2</v>
      </c>
      <c r="NI46" s="476">
        <v>2E-3</v>
      </c>
      <c r="NJ46" s="476">
        <v>0.04</v>
      </c>
      <c r="NK46" s="476">
        <v>2.4E-2</v>
      </c>
      <c r="NL46" s="476">
        <v>0</v>
      </c>
      <c r="NM46" s="476">
        <v>0.124</v>
      </c>
      <c r="NN46" s="476">
        <v>0.01</v>
      </c>
      <c r="NO46" s="476">
        <v>2E-3</v>
      </c>
      <c r="NP46" s="476">
        <v>1.7000000000000001E-2</v>
      </c>
      <c r="NQ46" s="476">
        <v>1E-3</v>
      </c>
      <c r="NR46" s="476">
        <v>3.6999999999999998E-2</v>
      </c>
      <c r="NS46" s="476">
        <v>0</v>
      </c>
      <c r="NT46" s="476" t="s">
        <v>721</v>
      </c>
      <c r="NU46" s="476">
        <v>1E-3</v>
      </c>
      <c r="NV46" s="476">
        <v>0.28000000000000003</v>
      </c>
      <c r="NW46" s="476">
        <v>4.7E-2</v>
      </c>
      <c r="NX46" s="476">
        <v>1E-3</v>
      </c>
      <c r="NY46" s="476">
        <v>9.8000000000000004E-2</v>
      </c>
      <c r="NZ46" s="476">
        <v>3.2000000000000001E-2</v>
      </c>
      <c r="OA46" s="476">
        <v>1E-3</v>
      </c>
      <c r="OB46" s="476">
        <v>1.4999999999999999E-2</v>
      </c>
      <c r="OC46" s="476">
        <v>2.1000000000000001E-2</v>
      </c>
      <c r="OD46" s="476">
        <v>3.9E-2</v>
      </c>
      <c r="OE46" s="476">
        <v>0.35499999999999998</v>
      </c>
      <c r="OF46" s="476" t="s">
        <v>721</v>
      </c>
      <c r="OG46" s="476">
        <v>0</v>
      </c>
      <c r="OH46" s="476">
        <v>7.5999999999999998E-2</v>
      </c>
      <c r="OI46" s="476">
        <v>3.0000000000000001E-3</v>
      </c>
      <c r="OJ46" s="476">
        <v>8.9999999999999993E-3</v>
      </c>
      <c r="OK46" s="476">
        <v>1E-3</v>
      </c>
      <c r="OL46" s="476">
        <v>2E-3</v>
      </c>
      <c r="OM46" s="476" t="s">
        <v>721</v>
      </c>
      <c r="ON46" s="476" t="s">
        <v>721</v>
      </c>
      <c r="OO46" s="476">
        <v>1E-3</v>
      </c>
      <c r="OP46" s="476" t="s">
        <v>721</v>
      </c>
      <c r="OQ46" s="476" t="s">
        <v>721</v>
      </c>
      <c r="OR46" s="476" t="s">
        <v>721</v>
      </c>
      <c r="OS46" s="476" t="s">
        <v>721</v>
      </c>
      <c r="OT46" s="476">
        <v>2.9000000000000001E-2</v>
      </c>
      <c r="OU46" s="476">
        <v>2E-3</v>
      </c>
      <c r="OV46" s="476" t="s">
        <v>721</v>
      </c>
      <c r="OW46" s="476">
        <v>4.0000000000000001E-3</v>
      </c>
      <c r="OX46" s="476">
        <v>0</v>
      </c>
      <c r="OY46" s="476">
        <v>0</v>
      </c>
      <c r="OZ46" s="476">
        <v>3.4000000000000002E-2</v>
      </c>
      <c r="PA46" s="476">
        <v>0.27300000000000002</v>
      </c>
      <c r="PB46" s="476">
        <v>2E-3</v>
      </c>
      <c r="PC46" s="476">
        <v>2E-3</v>
      </c>
      <c r="PD46" s="476" t="s">
        <v>721</v>
      </c>
      <c r="PE46" s="476" t="s">
        <v>721</v>
      </c>
      <c r="PF46" s="476">
        <v>3.5000000000000003E-2</v>
      </c>
      <c r="PG46" s="476">
        <v>1.2E-2</v>
      </c>
      <c r="PH46" s="476" t="s">
        <v>721</v>
      </c>
      <c r="PI46" s="476">
        <v>4.0000000000000001E-3</v>
      </c>
      <c r="PJ46" s="476">
        <v>2E-3</v>
      </c>
      <c r="PK46" s="476">
        <v>2E-3</v>
      </c>
      <c r="PL46" s="476">
        <v>0.72899999999999998</v>
      </c>
      <c r="PM46" s="476">
        <v>0.1</v>
      </c>
      <c r="PN46" s="476" t="s">
        <v>721</v>
      </c>
      <c r="PO46" s="476">
        <v>2.1000000000000001E-2</v>
      </c>
      <c r="PP46" s="476">
        <v>1E-3</v>
      </c>
      <c r="PQ46" s="476">
        <v>2E-3</v>
      </c>
      <c r="PR46" s="476">
        <v>1E-3</v>
      </c>
      <c r="PS46" s="476" t="s">
        <v>721</v>
      </c>
      <c r="PT46" s="476" t="s">
        <v>721</v>
      </c>
      <c r="PU46" s="476" t="s">
        <v>721</v>
      </c>
      <c r="PV46" s="476" t="s">
        <v>721</v>
      </c>
      <c r="PW46" s="476" t="s">
        <v>721</v>
      </c>
      <c r="PX46" s="476" t="s">
        <v>721</v>
      </c>
      <c r="PY46" s="476" t="s">
        <v>721</v>
      </c>
      <c r="PZ46" s="476" t="s">
        <v>721</v>
      </c>
      <c r="QA46" s="476">
        <v>6.0000000000000001E-3</v>
      </c>
      <c r="QB46" s="476" t="s">
        <v>721</v>
      </c>
      <c r="QC46" s="476" t="s">
        <v>721</v>
      </c>
      <c r="QD46" s="476">
        <v>0</v>
      </c>
      <c r="QE46" s="476" t="s">
        <v>721</v>
      </c>
      <c r="QF46" s="476" t="s">
        <v>721</v>
      </c>
      <c r="QG46" s="476">
        <v>4.0000000000000001E-3</v>
      </c>
      <c r="QH46" s="476">
        <v>7.8E-2</v>
      </c>
      <c r="QI46" s="476" t="s">
        <v>721</v>
      </c>
      <c r="QJ46" s="476" t="s">
        <v>721</v>
      </c>
      <c r="QK46" s="476" t="s">
        <v>721</v>
      </c>
      <c r="QL46" s="476">
        <v>0.15</v>
      </c>
      <c r="QM46" s="476">
        <v>0.255</v>
      </c>
      <c r="QN46" s="476">
        <v>0.03</v>
      </c>
      <c r="QO46" s="476" t="s">
        <v>721</v>
      </c>
      <c r="QP46" s="476" t="s">
        <v>721</v>
      </c>
      <c r="QQ46" s="476">
        <v>5.2999999999999999E-2</v>
      </c>
      <c r="QR46" s="476">
        <v>0.106</v>
      </c>
      <c r="QS46" s="476" t="s">
        <v>721</v>
      </c>
      <c r="QT46" s="476">
        <v>7.2999999999999995E-2</v>
      </c>
      <c r="QU46" s="476" t="s">
        <v>721</v>
      </c>
      <c r="QV46" s="476" t="s">
        <v>721</v>
      </c>
      <c r="QW46" s="476" t="s">
        <v>721</v>
      </c>
      <c r="QX46" s="476" t="s">
        <v>721</v>
      </c>
      <c r="QY46" s="476">
        <v>3.2000000000000001E-2</v>
      </c>
      <c r="QZ46" s="476" t="s">
        <v>721</v>
      </c>
      <c r="RA46" s="476" t="s">
        <v>721</v>
      </c>
      <c r="RB46" s="476" t="s">
        <v>721</v>
      </c>
      <c r="RC46" s="476">
        <v>0.20200000000000001</v>
      </c>
      <c r="RD46" s="476">
        <v>5.5E-2</v>
      </c>
      <c r="RE46" s="476">
        <v>0.30199999999999999</v>
      </c>
      <c r="RF46" s="476">
        <v>0.26400000000000001</v>
      </c>
      <c r="RG46" s="476" t="s">
        <v>721</v>
      </c>
      <c r="RH46" s="476" t="s">
        <v>721</v>
      </c>
      <c r="RI46" s="476" t="s">
        <v>721</v>
      </c>
      <c r="RJ46" s="476" t="s">
        <v>721</v>
      </c>
      <c r="RK46" s="476">
        <v>0.16300000000000001</v>
      </c>
      <c r="RL46" s="476" t="s">
        <v>721</v>
      </c>
      <c r="RM46" s="476" t="s">
        <v>721</v>
      </c>
      <c r="RN46" s="476" t="s">
        <v>721</v>
      </c>
      <c r="RO46" s="476" t="s">
        <v>721</v>
      </c>
      <c r="RP46" s="476" t="s">
        <v>721</v>
      </c>
      <c r="RQ46" s="476" t="s">
        <v>721</v>
      </c>
      <c r="RR46" s="476" t="s">
        <v>721</v>
      </c>
      <c r="RS46" s="476" t="s">
        <v>721</v>
      </c>
      <c r="RT46" s="476" t="s">
        <v>721</v>
      </c>
      <c r="RU46" s="476" t="s">
        <v>721</v>
      </c>
      <c r="RV46" s="476" t="s">
        <v>721</v>
      </c>
      <c r="RW46" s="476">
        <v>8.5000000000000006E-2</v>
      </c>
      <c r="RX46" s="476">
        <v>0.2</v>
      </c>
      <c r="RY46" s="476">
        <v>0.219</v>
      </c>
      <c r="RZ46" s="476">
        <v>3.6999999999999998E-2</v>
      </c>
      <c r="SA46" s="476">
        <v>1.7999999999999999E-2</v>
      </c>
      <c r="SB46" s="476">
        <v>3.0000000000000001E-3</v>
      </c>
      <c r="SC46" s="476">
        <v>3.9E-2</v>
      </c>
      <c r="SD46" s="476">
        <v>2.3E-2</v>
      </c>
      <c r="SE46" s="476">
        <v>1E-3</v>
      </c>
      <c r="SF46" s="476">
        <v>0.107</v>
      </c>
      <c r="SG46" s="476">
        <v>8.9999999999999993E-3</v>
      </c>
      <c r="SH46" s="476">
        <v>2E-3</v>
      </c>
      <c r="SI46" s="476">
        <v>1.7000000000000001E-2</v>
      </c>
      <c r="SJ46" s="476">
        <v>1E-3</v>
      </c>
      <c r="SK46" s="476">
        <v>0.04</v>
      </c>
      <c r="SL46" s="476">
        <v>0</v>
      </c>
      <c r="SM46" s="476">
        <v>0</v>
      </c>
      <c r="SN46" s="476">
        <v>1E-3</v>
      </c>
      <c r="SO46" s="476">
        <v>0.23699999999999999</v>
      </c>
      <c r="SP46" s="476">
        <v>4.5999999999999999E-2</v>
      </c>
      <c r="SQ46" s="476">
        <v>0.22900000000000001</v>
      </c>
      <c r="SR46" s="476">
        <v>0.28000000000000003</v>
      </c>
      <c r="SS46" s="476">
        <v>3.5999999999999997E-2</v>
      </c>
      <c r="ST46" s="476">
        <v>2.5000000000000001E-2</v>
      </c>
      <c r="SU46" s="476">
        <v>3.0000000000000001E-3</v>
      </c>
      <c r="SV46" s="476">
        <v>4.5999999999999999E-2</v>
      </c>
      <c r="SW46" s="476">
        <v>2.4E-2</v>
      </c>
      <c r="SX46" s="476" t="s">
        <v>721</v>
      </c>
      <c r="SY46" s="476">
        <v>8.5000000000000006E-2</v>
      </c>
      <c r="SZ46" s="476">
        <v>5.0000000000000001E-3</v>
      </c>
      <c r="TA46" s="476">
        <v>4.0000000000000001E-3</v>
      </c>
      <c r="TB46" s="476">
        <v>1.2E-2</v>
      </c>
      <c r="TC46" s="476" t="s">
        <v>721</v>
      </c>
      <c r="TD46" s="476">
        <v>4.7E-2</v>
      </c>
      <c r="TE46" s="476" t="s">
        <v>721</v>
      </c>
      <c r="TF46" s="476" t="s">
        <v>721</v>
      </c>
      <c r="TG46" s="476" t="s">
        <v>721</v>
      </c>
      <c r="TH46" s="476">
        <v>0.14499999999999999</v>
      </c>
      <c r="TI46" s="476">
        <v>5.6000000000000001E-2</v>
      </c>
      <c r="TJ46" s="476">
        <v>0.17299999999999999</v>
      </c>
      <c r="TK46" s="476">
        <v>0.19400000000000001</v>
      </c>
      <c r="TL46" s="476">
        <v>3.2000000000000001E-2</v>
      </c>
      <c r="TM46" s="476">
        <v>1.7000000000000001E-2</v>
      </c>
      <c r="TN46" s="476" t="s">
        <v>721</v>
      </c>
      <c r="TO46" s="476">
        <v>5.6000000000000001E-2</v>
      </c>
      <c r="TP46" s="476">
        <v>1.4999999999999999E-2</v>
      </c>
      <c r="TQ46" s="476" t="s">
        <v>721</v>
      </c>
      <c r="TR46" s="476">
        <v>7.5999999999999998E-2</v>
      </c>
      <c r="TS46" s="476">
        <v>1.0999999999999999E-2</v>
      </c>
      <c r="TT46" s="476" t="s">
        <v>721</v>
      </c>
      <c r="TU46" s="476">
        <v>1.7000000000000001E-2</v>
      </c>
      <c r="TV46" s="476" t="s">
        <v>721</v>
      </c>
      <c r="TW46" s="476">
        <v>4.1000000000000002E-2</v>
      </c>
      <c r="TX46" s="476" t="s">
        <v>721</v>
      </c>
      <c r="TY46" s="476" t="s">
        <v>721</v>
      </c>
      <c r="TZ46" s="476" t="s">
        <v>721</v>
      </c>
      <c r="UA46" s="476">
        <v>0.316</v>
      </c>
      <c r="UB46" s="476">
        <v>4.2000000000000003E-2</v>
      </c>
      <c r="UC46" s="476">
        <v>0.152</v>
      </c>
      <c r="UD46" s="476">
        <v>0.16700000000000001</v>
      </c>
      <c r="UE46" s="476">
        <v>3.3000000000000002E-2</v>
      </c>
      <c r="UF46" s="476">
        <v>1.6E-2</v>
      </c>
      <c r="UG46" s="476">
        <v>2E-3</v>
      </c>
      <c r="UH46" s="476">
        <v>4.1000000000000002E-2</v>
      </c>
      <c r="UI46" s="476">
        <v>2.7E-2</v>
      </c>
      <c r="UJ46" s="476" t="s">
        <v>721</v>
      </c>
      <c r="UK46" s="476">
        <v>0.14099999999999999</v>
      </c>
      <c r="UL46" s="476">
        <v>1.0999999999999999E-2</v>
      </c>
      <c r="UM46" s="476">
        <v>2E-3</v>
      </c>
      <c r="UN46" s="476">
        <v>1.6E-2</v>
      </c>
      <c r="UO46" s="476" t="s">
        <v>721</v>
      </c>
      <c r="UP46" s="476">
        <v>3.3000000000000002E-2</v>
      </c>
      <c r="UQ46" s="476" t="s">
        <v>721</v>
      </c>
      <c r="UR46" s="476" t="s">
        <v>721</v>
      </c>
      <c r="US46" s="476" t="s">
        <v>721</v>
      </c>
      <c r="UT46" s="476">
        <v>0.31</v>
      </c>
      <c r="UU46" s="476">
        <v>4.8000000000000001E-2</v>
      </c>
      <c r="UV46" s="476">
        <v>0.20399999999999999</v>
      </c>
      <c r="UW46" s="476">
        <v>0.22600000000000001</v>
      </c>
      <c r="UX46" s="476">
        <v>3.5999999999999997E-2</v>
      </c>
      <c r="UY46" s="476">
        <v>1.6E-2</v>
      </c>
      <c r="UZ46" s="476">
        <v>3.0000000000000001E-3</v>
      </c>
      <c r="VA46" s="476">
        <v>3.9E-2</v>
      </c>
      <c r="VB46" s="476">
        <v>2.1000000000000001E-2</v>
      </c>
      <c r="VC46" s="476" t="s">
        <v>721</v>
      </c>
      <c r="VD46" s="476">
        <v>9.9000000000000005E-2</v>
      </c>
      <c r="VE46" s="476">
        <v>8.9999999999999993E-3</v>
      </c>
      <c r="VF46" s="476">
        <v>2E-3</v>
      </c>
      <c r="VG46" s="476">
        <v>1.7999999999999999E-2</v>
      </c>
      <c r="VH46" s="476">
        <v>1E-3</v>
      </c>
      <c r="VI46" s="476">
        <v>4.2000000000000003E-2</v>
      </c>
      <c r="VJ46" s="476" t="s">
        <v>721</v>
      </c>
      <c r="VK46" s="476" t="s">
        <v>721</v>
      </c>
      <c r="VL46" s="476">
        <v>1E-3</v>
      </c>
      <c r="VM46" s="476">
        <v>0.23799999999999999</v>
      </c>
      <c r="VN46" s="476">
        <v>4.3999999999999997E-2</v>
      </c>
      <c r="VO46" s="28"/>
      <c r="VP46" s="28"/>
      <c r="VQ46" s="28"/>
      <c r="VR46" s="28"/>
      <c r="VS46" s="28"/>
      <c r="VT46" s="28"/>
      <c r="VU46" s="28"/>
      <c r="VV46" s="28"/>
      <c r="VW46" s="28"/>
      <c r="VX46" s="28"/>
      <c r="VY46" s="28"/>
      <c r="VZ46" s="28"/>
      <c r="WA46" s="28"/>
      <c r="WB46" s="28"/>
      <c r="WC46" s="28"/>
      <c r="WD46" s="28"/>
      <c r="WE46" s="28"/>
      <c r="WF46" s="28"/>
      <c r="WG46" s="28"/>
      <c r="WH46" s="28"/>
      <c r="WI46" s="28"/>
      <c r="WJ46" s="28"/>
      <c r="WK46" s="28"/>
      <c r="WL46" s="28"/>
      <c r="WM46" s="28"/>
      <c r="WN46" s="28"/>
      <c r="WO46" s="28"/>
      <c r="WP46" s="28"/>
      <c r="WQ46" s="28"/>
      <c r="WR46" s="28"/>
      <c r="WS46" s="28"/>
      <c r="WT46" s="28"/>
      <c r="WU46" s="28"/>
      <c r="WV46" s="28"/>
      <c r="WW46" s="28"/>
    </row>
    <row r="47" spans="1:621" s="151" customFormat="1" ht="15.75" customHeight="1" x14ac:dyDescent="0.35">
      <c r="A47" s="477" t="s">
        <v>51</v>
      </c>
      <c r="B47" s="492" t="s">
        <v>17</v>
      </c>
      <c r="C47" s="493">
        <v>17.75</v>
      </c>
      <c r="D47" s="494">
        <v>3108</v>
      </c>
      <c r="E47" s="473">
        <v>337575.1</v>
      </c>
      <c r="F47" s="473">
        <v>108.6</v>
      </c>
      <c r="G47" s="474">
        <v>2971</v>
      </c>
      <c r="H47" s="474">
        <v>2805</v>
      </c>
      <c r="I47" s="474">
        <v>2564</v>
      </c>
      <c r="J47" s="474">
        <v>1718</v>
      </c>
      <c r="K47" s="474">
        <v>923</v>
      </c>
      <c r="L47" s="473">
        <v>166909.70000000001</v>
      </c>
      <c r="M47" s="474">
        <v>2158</v>
      </c>
      <c r="N47" s="473">
        <v>170665.4</v>
      </c>
      <c r="O47" s="494">
        <v>268</v>
      </c>
      <c r="P47" s="495">
        <v>45711.7</v>
      </c>
      <c r="Q47" s="494">
        <v>453</v>
      </c>
      <c r="R47" s="495">
        <v>15095.5</v>
      </c>
      <c r="S47" s="494">
        <v>914</v>
      </c>
      <c r="T47" s="495">
        <v>89888.7</v>
      </c>
      <c r="U47" s="494">
        <v>43</v>
      </c>
      <c r="V47" s="495">
        <v>6462.7</v>
      </c>
      <c r="W47" s="494">
        <v>2151</v>
      </c>
      <c r="X47" s="495">
        <v>241223.7</v>
      </c>
      <c r="Y47" s="494">
        <v>2811</v>
      </c>
      <c r="Z47" s="494">
        <v>1350</v>
      </c>
      <c r="AA47" s="494">
        <v>1576</v>
      </c>
      <c r="AB47" s="494">
        <v>1066</v>
      </c>
      <c r="AC47" s="494">
        <v>106</v>
      </c>
      <c r="AD47" s="494">
        <v>619</v>
      </c>
      <c r="AE47" s="494">
        <v>1708</v>
      </c>
      <c r="AF47" s="495">
        <v>114149.6</v>
      </c>
      <c r="AG47" s="494">
        <v>1207</v>
      </c>
      <c r="AH47" s="495">
        <v>211402.5</v>
      </c>
      <c r="AI47" s="494">
        <v>74</v>
      </c>
      <c r="AJ47" s="495">
        <v>3363.4</v>
      </c>
      <c r="AK47" s="494">
        <v>92</v>
      </c>
      <c r="AL47" s="495">
        <v>8659.6</v>
      </c>
      <c r="AM47" s="496">
        <v>1771</v>
      </c>
      <c r="AN47" s="496">
        <v>1337</v>
      </c>
      <c r="AO47" s="496">
        <v>1565</v>
      </c>
      <c r="AP47" s="496">
        <v>1250</v>
      </c>
      <c r="AQ47" s="496">
        <v>70</v>
      </c>
      <c r="AR47" s="496">
        <v>16</v>
      </c>
      <c r="AS47" s="496">
        <v>23</v>
      </c>
      <c r="AT47" s="496">
        <v>16</v>
      </c>
      <c r="AU47" s="496">
        <v>32</v>
      </c>
      <c r="AV47" s="496" t="s">
        <v>721</v>
      </c>
      <c r="AW47" s="496">
        <v>31</v>
      </c>
      <c r="AX47" s="496" t="s">
        <v>721</v>
      </c>
      <c r="AY47" s="496" t="s">
        <v>721</v>
      </c>
      <c r="AZ47" s="496" t="s">
        <v>721</v>
      </c>
      <c r="BA47" s="496" t="s">
        <v>721</v>
      </c>
      <c r="BB47" s="496">
        <v>11</v>
      </c>
      <c r="BC47" s="496" t="s">
        <v>721</v>
      </c>
      <c r="BD47" s="496" t="s">
        <v>721</v>
      </c>
      <c r="BE47" s="496" t="s">
        <v>721</v>
      </c>
      <c r="BF47" s="496" t="s">
        <v>721</v>
      </c>
      <c r="BG47" s="496">
        <v>80</v>
      </c>
      <c r="BH47" s="496" t="s">
        <v>721</v>
      </c>
      <c r="BI47" s="496">
        <v>836</v>
      </c>
      <c r="BJ47" s="496" t="s">
        <v>721</v>
      </c>
      <c r="BK47" s="496" t="s">
        <v>721</v>
      </c>
      <c r="BL47" s="496" t="s">
        <v>721</v>
      </c>
      <c r="BM47" s="496" t="s">
        <v>721</v>
      </c>
      <c r="BN47" s="496">
        <v>11</v>
      </c>
      <c r="BO47" s="496">
        <v>2198</v>
      </c>
      <c r="BP47" s="496" t="s">
        <v>721</v>
      </c>
      <c r="BQ47" s="496" t="s">
        <v>721</v>
      </c>
      <c r="BR47" s="496">
        <v>12</v>
      </c>
      <c r="BS47" s="496" t="s">
        <v>721</v>
      </c>
      <c r="BT47" s="496" t="s">
        <v>721</v>
      </c>
      <c r="BU47" s="496" t="s">
        <v>721</v>
      </c>
      <c r="BV47" s="496" t="s">
        <v>721</v>
      </c>
      <c r="BW47" s="496" t="s">
        <v>721</v>
      </c>
      <c r="BX47" s="496" t="s">
        <v>721</v>
      </c>
      <c r="BY47" s="496" t="s">
        <v>721</v>
      </c>
      <c r="BZ47" s="496" t="s">
        <v>721</v>
      </c>
      <c r="CA47" s="496" t="s">
        <v>721</v>
      </c>
      <c r="CB47" s="496" t="s">
        <v>721</v>
      </c>
      <c r="CC47" s="496" t="s">
        <v>721</v>
      </c>
      <c r="CD47" s="496">
        <v>12</v>
      </c>
      <c r="CE47" s="496" t="s">
        <v>721</v>
      </c>
      <c r="CF47" s="496" t="s">
        <v>721</v>
      </c>
      <c r="CG47" s="496" t="s">
        <v>721</v>
      </c>
      <c r="CH47" s="496" t="s">
        <v>721</v>
      </c>
      <c r="CI47" s="496" t="s">
        <v>721</v>
      </c>
      <c r="CJ47" s="496" t="s">
        <v>721</v>
      </c>
      <c r="CK47" s="496" t="s">
        <v>721</v>
      </c>
      <c r="CL47" s="496" t="s">
        <v>721</v>
      </c>
      <c r="CM47" s="496" t="s">
        <v>721</v>
      </c>
      <c r="CN47" s="496" t="s">
        <v>721</v>
      </c>
      <c r="CO47" s="496" t="s">
        <v>721</v>
      </c>
      <c r="CP47" s="496">
        <v>514</v>
      </c>
      <c r="CQ47" s="496" t="s">
        <v>721</v>
      </c>
      <c r="CR47" s="496" t="s">
        <v>721</v>
      </c>
      <c r="CS47" s="496" t="s">
        <v>721</v>
      </c>
      <c r="CT47" s="496" t="s">
        <v>721</v>
      </c>
      <c r="CU47" s="496" t="s">
        <v>721</v>
      </c>
      <c r="CV47" s="496">
        <v>2258</v>
      </c>
      <c r="CW47" s="496">
        <v>20</v>
      </c>
      <c r="CX47" s="496" t="s">
        <v>721</v>
      </c>
      <c r="CY47" s="496" t="s">
        <v>721</v>
      </c>
      <c r="CZ47" s="496" t="s">
        <v>721</v>
      </c>
      <c r="DA47" s="496" t="s">
        <v>721</v>
      </c>
      <c r="DB47" s="496" t="s">
        <v>721</v>
      </c>
      <c r="DC47" s="496" t="s">
        <v>721</v>
      </c>
      <c r="DD47" s="496" t="s">
        <v>721</v>
      </c>
      <c r="DE47" s="496" t="s">
        <v>721</v>
      </c>
      <c r="DF47" s="496" t="s">
        <v>721</v>
      </c>
      <c r="DG47" s="496" t="s">
        <v>721</v>
      </c>
      <c r="DH47" s="496" t="s">
        <v>721</v>
      </c>
      <c r="DI47" s="496" t="s">
        <v>721</v>
      </c>
      <c r="DJ47" s="496" t="s">
        <v>721</v>
      </c>
      <c r="DK47" s="496" t="s">
        <v>721</v>
      </c>
      <c r="DL47" s="496" t="s">
        <v>721</v>
      </c>
      <c r="DM47" s="496" t="s">
        <v>721</v>
      </c>
      <c r="DN47" s="496" t="s">
        <v>721</v>
      </c>
      <c r="DO47" s="496" t="s">
        <v>721</v>
      </c>
      <c r="DP47" s="496" t="s">
        <v>721</v>
      </c>
      <c r="DQ47" s="496" t="s">
        <v>721</v>
      </c>
      <c r="DR47" s="496" t="s">
        <v>721</v>
      </c>
      <c r="DS47" s="483" t="s">
        <v>721</v>
      </c>
      <c r="DT47" s="483" t="s">
        <v>721</v>
      </c>
      <c r="DU47" s="483" t="s">
        <v>721</v>
      </c>
      <c r="DV47" s="496">
        <v>216</v>
      </c>
      <c r="DW47" s="497">
        <v>33663.800000000003</v>
      </c>
      <c r="DX47" s="496">
        <v>632</v>
      </c>
      <c r="DY47" s="497">
        <v>86338.8</v>
      </c>
      <c r="DZ47" s="496">
        <v>726</v>
      </c>
      <c r="EA47" s="497">
        <v>70502.2</v>
      </c>
      <c r="EB47" s="496">
        <v>662</v>
      </c>
      <c r="EC47" s="497">
        <v>59693.2</v>
      </c>
      <c r="ED47" s="496">
        <v>546</v>
      </c>
      <c r="EE47" s="497">
        <v>49938.9</v>
      </c>
      <c r="EF47" s="496">
        <v>326</v>
      </c>
      <c r="EG47" s="497">
        <v>37438.199999999997</v>
      </c>
      <c r="EH47" s="485">
        <v>2666</v>
      </c>
      <c r="EI47" s="486">
        <v>9964.7999999999993</v>
      </c>
      <c r="EJ47" s="485">
        <v>2579</v>
      </c>
      <c r="EK47" s="486">
        <v>60099.1</v>
      </c>
      <c r="EL47" s="485">
        <v>2603</v>
      </c>
      <c r="EM47" s="486">
        <v>28207.1</v>
      </c>
      <c r="EN47" s="485">
        <v>2696</v>
      </c>
      <c r="EO47" s="486">
        <v>15100.4</v>
      </c>
      <c r="EP47" s="485">
        <v>2621</v>
      </c>
      <c r="EQ47" s="486">
        <v>9322.2999999999993</v>
      </c>
      <c r="ER47" s="485">
        <v>2630</v>
      </c>
      <c r="ES47" s="486">
        <v>5836.3</v>
      </c>
      <c r="ET47" s="485">
        <v>1</v>
      </c>
      <c r="EU47" s="485">
        <v>1601</v>
      </c>
      <c r="EV47" s="486">
        <v>25492.2</v>
      </c>
      <c r="EW47" s="485">
        <v>486</v>
      </c>
      <c r="EX47" s="486">
        <v>2050.6999999999998</v>
      </c>
      <c r="EY47" s="485">
        <v>805</v>
      </c>
      <c r="EZ47" s="486">
        <v>10544.2</v>
      </c>
      <c r="FA47" s="485">
        <v>316</v>
      </c>
      <c r="FB47" s="486">
        <v>3128.6</v>
      </c>
      <c r="FC47" s="485">
        <v>2492</v>
      </c>
      <c r="FD47" s="486">
        <v>30301.599999999999</v>
      </c>
      <c r="FE47" s="485">
        <v>2350</v>
      </c>
      <c r="FF47" s="486">
        <v>18709.099999999999</v>
      </c>
      <c r="FG47" s="485">
        <v>1779</v>
      </c>
      <c r="FH47" s="486">
        <v>19729.900000000001</v>
      </c>
      <c r="FI47" s="485">
        <v>1560</v>
      </c>
      <c r="FJ47" s="486">
        <v>9986.7000000000007</v>
      </c>
      <c r="FK47" s="485">
        <v>2032</v>
      </c>
      <c r="FL47" s="486">
        <v>6803.4</v>
      </c>
      <c r="FM47" s="485">
        <v>147</v>
      </c>
      <c r="FN47" s="486">
        <v>360</v>
      </c>
      <c r="FO47" s="485">
        <v>2127</v>
      </c>
      <c r="FP47" s="486">
        <v>14705.6</v>
      </c>
      <c r="FQ47" s="485">
        <v>2250</v>
      </c>
      <c r="FR47" s="486">
        <v>6277.1</v>
      </c>
      <c r="FS47" s="485">
        <v>38</v>
      </c>
      <c r="FT47" s="486">
        <v>247.7</v>
      </c>
      <c r="FU47" s="485">
        <v>0</v>
      </c>
      <c r="FV47" s="486">
        <v>0</v>
      </c>
      <c r="FW47" s="485">
        <v>0</v>
      </c>
      <c r="FX47" s="486">
        <v>0</v>
      </c>
      <c r="FY47" s="485">
        <v>0</v>
      </c>
      <c r="FZ47" s="486">
        <v>0</v>
      </c>
      <c r="GA47" s="485">
        <v>0</v>
      </c>
      <c r="GB47" s="485">
        <v>0</v>
      </c>
      <c r="GC47" s="487">
        <v>0</v>
      </c>
      <c r="GD47" s="488">
        <v>15</v>
      </c>
      <c r="GE47" s="488">
        <v>114</v>
      </c>
      <c r="GF47" s="488">
        <v>579</v>
      </c>
      <c r="GG47" s="488">
        <v>2</v>
      </c>
      <c r="GH47" s="488">
        <v>1</v>
      </c>
      <c r="GI47" s="488">
        <v>1</v>
      </c>
      <c r="GJ47" s="488">
        <v>0</v>
      </c>
      <c r="GK47" s="488">
        <v>413</v>
      </c>
      <c r="GL47" s="488">
        <v>291</v>
      </c>
      <c r="GM47" s="488">
        <v>708</v>
      </c>
      <c r="GN47" s="488">
        <v>489</v>
      </c>
      <c r="GO47" s="488">
        <v>80</v>
      </c>
      <c r="GP47" s="488">
        <v>8</v>
      </c>
      <c r="GQ47" s="488">
        <v>7</v>
      </c>
      <c r="GR47" s="488">
        <v>4</v>
      </c>
      <c r="GS47" s="488">
        <v>19</v>
      </c>
      <c r="GT47" s="489">
        <v>1870</v>
      </c>
      <c r="GU47" s="488">
        <v>1</v>
      </c>
      <c r="GV47" s="490">
        <v>0</v>
      </c>
      <c r="GW47" s="490">
        <v>2</v>
      </c>
      <c r="GX47" s="490">
        <v>3</v>
      </c>
      <c r="GY47" s="491">
        <v>5</v>
      </c>
      <c r="GZ47" s="491">
        <v>5</v>
      </c>
      <c r="HA47" s="491">
        <v>10</v>
      </c>
      <c r="HB47" s="475">
        <v>1</v>
      </c>
      <c r="HC47" s="475">
        <v>1</v>
      </c>
      <c r="HD47" s="475">
        <v>0</v>
      </c>
      <c r="HE47" s="475">
        <v>0</v>
      </c>
      <c r="HF47" s="475">
        <v>0</v>
      </c>
      <c r="HG47" s="475">
        <v>0</v>
      </c>
      <c r="HH47" s="475">
        <v>0</v>
      </c>
      <c r="HI47" s="475">
        <v>0</v>
      </c>
      <c r="HJ47" s="475">
        <v>0</v>
      </c>
      <c r="HK47" s="475">
        <v>0</v>
      </c>
      <c r="HL47" s="475">
        <v>0</v>
      </c>
      <c r="HM47" s="475">
        <v>0</v>
      </c>
      <c r="HN47" s="475">
        <v>0</v>
      </c>
      <c r="HO47" s="475">
        <v>0</v>
      </c>
      <c r="HP47" s="475">
        <v>0</v>
      </c>
      <c r="HQ47" s="475">
        <v>1</v>
      </c>
      <c r="HR47" s="475">
        <v>10</v>
      </c>
      <c r="HS47" s="475">
        <v>0</v>
      </c>
      <c r="HT47" s="475">
        <v>0</v>
      </c>
      <c r="HU47" s="475">
        <v>0</v>
      </c>
      <c r="HV47" s="475">
        <v>0</v>
      </c>
      <c r="HW47" s="475">
        <v>0</v>
      </c>
      <c r="HX47" s="475">
        <v>0</v>
      </c>
      <c r="HY47" s="475">
        <v>0</v>
      </c>
      <c r="HZ47" s="475">
        <v>40</v>
      </c>
      <c r="IA47" s="475">
        <v>28</v>
      </c>
      <c r="IB47" s="475" t="s">
        <v>721</v>
      </c>
      <c r="IC47" s="475" t="s">
        <v>721</v>
      </c>
      <c r="ID47" s="475" t="s">
        <v>721</v>
      </c>
      <c r="IE47" s="475" t="s">
        <v>721</v>
      </c>
      <c r="IF47" s="475" t="s">
        <v>721</v>
      </c>
      <c r="IG47" s="475" t="s">
        <v>721</v>
      </c>
      <c r="IH47" s="475" t="s">
        <v>721</v>
      </c>
      <c r="II47" s="475" t="s">
        <v>721</v>
      </c>
      <c r="IJ47" s="475" t="s">
        <v>721</v>
      </c>
      <c r="IK47" s="475" t="s">
        <v>721</v>
      </c>
      <c r="IL47" s="475" t="s">
        <v>721</v>
      </c>
      <c r="IM47" s="475" t="s">
        <v>721</v>
      </c>
      <c r="IN47" s="475" t="s">
        <v>721</v>
      </c>
      <c r="IO47" s="475" t="s">
        <v>721</v>
      </c>
      <c r="IP47" s="475" t="s">
        <v>721</v>
      </c>
      <c r="IQ47" s="475" t="s">
        <v>721</v>
      </c>
      <c r="IR47" s="475" t="s">
        <v>721</v>
      </c>
      <c r="IS47" s="475" t="s">
        <v>721</v>
      </c>
      <c r="IT47" s="475" t="s">
        <v>721</v>
      </c>
      <c r="IU47" s="475" t="s">
        <v>721</v>
      </c>
      <c r="IV47" s="475" t="s">
        <v>721</v>
      </c>
      <c r="IW47" s="475" t="s">
        <v>721</v>
      </c>
      <c r="IX47" s="475" t="s">
        <v>721</v>
      </c>
      <c r="IY47" s="475" t="s">
        <v>721</v>
      </c>
      <c r="IZ47" s="475" t="s">
        <v>721</v>
      </c>
      <c r="JA47" s="475" t="s">
        <v>721</v>
      </c>
      <c r="JB47" s="475" t="s">
        <v>721</v>
      </c>
      <c r="JC47" s="475" t="s">
        <v>721</v>
      </c>
      <c r="JD47" s="475" t="s">
        <v>721</v>
      </c>
      <c r="JE47" s="475" t="s">
        <v>721</v>
      </c>
      <c r="JF47" s="475" t="s">
        <v>721</v>
      </c>
      <c r="JG47" s="475" t="s">
        <v>721</v>
      </c>
      <c r="JH47" s="475" t="s">
        <v>721</v>
      </c>
      <c r="JI47" s="475" t="s">
        <v>721</v>
      </c>
      <c r="JJ47" s="475" t="s">
        <v>721</v>
      </c>
      <c r="JK47" s="475" t="s">
        <v>721</v>
      </c>
      <c r="JL47" s="755">
        <v>177715.7</v>
      </c>
      <c r="JM47" s="755">
        <v>127894.8</v>
      </c>
      <c r="JN47" s="755">
        <v>6574.8</v>
      </c>
      <c r="JO47" s="755">
        <v>1489.9</v>
      </c>
      <c r="JP47" s="755">
        <v>2382.1</v>
      </c>
      <c r="JQ47" s="755">
        <v>1996.7</v>
      </c>
      <c r="JR47" s="755">
        <v>3604.3</v>
      </c>
      <c r="JS47" s="755" t="s">
        <v>721</v>
      </c>
      <c r="JT47" s="755">
        <v>4052.7</v>
      </c>
      <c r="JU47" s="755">
        <v>412.5</v>
      </c>
      <c r="JV47" s="755">
        <v>347.1</v>
      </c>
      <c r="JW47" s="755">
        <v>485.3</v>
      </c>
      <c r="JX47" s="755" t="s">
        <v>721</v>
      </c>
      <c r="JY47" s="755">
        <v>1353.8</v>
      </c>
      <c r="JZ47" s="755" t="s">
        <v>721</v>
      </c>
      <c r="KA47" s="755" t="s">
        <v>721</v>
      </c>
      <c r="KB47" s="755" t="s">
        <v>721</v>
      </c>
      <c r="KC47" s="755">
        <v>502.7</v>
      </c>
      <c r="KD47" s="755">
        <v>8762.7000000000007</v>
      </c>
      <c r="KE47" s="475">
        <v>177</v>
      </c>
      <c r="KF47" s="475">
        <v>63</v>
      </c>
      <c r="KG47" s="475" t="s">
        <v>721</v>
      </c>
      <c r="KH47" s="475" t="s">
        <v>721</v>
      </c>
      <c r="KI47" s="475" t="s">
        <v>721</v>
      </c>
      <c r="KJ47" s="475" t="s">
        <v>721</v>
      </c>
      <c r="KK47" s="475" t="s">
        <v>721</v>
      </c>
      <c r="KL47" s="475" t="s">
        <v>721</v>
      </c>
      <c r="KM47" s="475" t="s">
        <v>721</v>
      </c>
      <c r="KN47" s="475" t="s">
        <v>721</v>
      </c>
      <c r="KO47" s="475" t="s">
        <v>721</v>
      </c>
      <c r="KP47" s="475" t="s">
        <v>721</v>
      </c>
      <c r="KQ47" s="475" t="s">
        <v>721</v>
      </c>
      <c r="KR47" s="475" t="s">
        <v>721</v>
      </c>
      <c r="KS47" s="475" t="s">
        <v>721</v>
      </c>
      <c r="KT47" s="475" t="s">
        <v>721</v>
      </c>
      <c r="KU47" s="475" t="s">
        <v>721</v>
      </c>
      <c r="KV47" s="475" t="s">
        <v>721</v>
      </c>
      <c r="KW47" s="475">
        <v>12</v>
      </c>
      <c r="KX47" s="475">
        <v>190</v>
      </c>
      <c r="KY47" s="475">
        <v>224</v>
      </c>
      <c r="KZ47" s="475" t="s">
        <v>721</v>
      </c>
      <c r="LA47" s="475" t="s">
        <v>721</v>
      </c>
      <c r="LB47" s="475" t="s">
        <v>721</v>
      </c>
      <c r="LC47" s="475" t="s">
        <v>721</v>
      </c>
      <c r="LD47" s="475" t="s">
        <v>721</v>
      </c>
      <c r="LE47" s="475" t="s">
        <v>721</v>
      </c>
      <c r="LF47" s="475" t="s">
        <v>721</v>
      </c>
      <c r="LG47" s="475" t="s">
        <v>721</v>
      </c>
      <c r="LH47" s="475" t="s">
        <v>721</v>
      </c>
      <c r="LI47" s="475" t="s">
        <v>721</v>
      </c>
      <c r="LJ47" s="475" t="s">
        <v>721</v>
      </c>
      <c r="LK47" s="475" t="s">
        <v>721</v>
      </c>
      <c r="LL47" s="475" t="s">
        <v>721</v>
      </c>
      <c r="LM47" s="475" t="s">
        <v>721</v>
      </c>
      <c r="LN47" s="475" t="s">
        <v>721</v>
      </c>
      <c r="LO47" s="475" t="s">
        <v>721</v>
      </c>
      <c r="LP47" s="475" t="s">
        <v>721</v>
      </c>
      <c r="LQ47" s="475">
        <v>1112</v>
      </c>
      <c r="LR47" s="475">
        <v>830</v>
      </c>
      <c r="LS47" s="475">
        <v>58</v>
      </c>
      <c r="LT47" s="475">
        <v>12</v>
      </c>
      <c r="LU47" s="475">
        <v>17</v>
      </c>
      <c r="LV47" s="475" t="s">
        <v>721</v>
      </c>
      <c r="LW47" s="475">
        <v>24</v>
      </c>
      <c r="LX47" s="475" t="s">
        <v>721</v>
      </c>
      <c r="LY47" s="475">
        <v>18</v>
      </c>
      <c r="LZ47" s="475" t="s">
        <v>721</v>
      </c>
      <c r="MA47" s="475" t="s">
        <v>721</v>
      </c>
      <c r="MB47" s="475" t="s">
        <v>721</v>
      </c>
      <c r="MC47" s="475" t="s">
        <v>721</v>
      </c>
      <c r="MD47" s="475" t="s">
        <v>721</v>
      </c>
      <c r="ME47" s="475" t="s">
        <v>721</v>
      </c>
      <c r="MF47" s="475" t="s">
        <v>721</v>
      </c>
      <c r="MG47" s="475" t="s">
        <v>721</v>
      </c>
      <c r="MH47" s="475" t="s">
        <v>721</v>
      </c>
      <c r="MI47" s="475">
        <v>63</v>
      </c>
      <c r="MJ47" s="475">
        <v>436</v>
      </c>
      <c r="MK47" s="475">
        <v>410</v>
      </c>
      <c r="ML47" s="475">
        <v>12</v>
      </c>
      <c r="MM47" s="475" t="s">
        <v>721</v>
      </c>
      <c r="MN47" s="475" t="s">
        <v>721</v>
      </c>
      <c r="MO47" s="475" t="s">
        <v>721</v>
      </c>
      <c r="MP47" s="475" t="s">
        <v>721</v>
      </c>
      <c r="MQ47" s="475" t="s">
        <v>721</v>
      </c>
      <c r="MR47" s="475">
        <v>13</v>
      </c>
      <c r="MS47" s="475" t="s">
        <v>721</v>
      </c>
      <c r="MT47" s="475" t="s">
        <v>721</v>
      </c>
      <c r="MU47" s="475" t="s">
        <v>721</v>
      </c>
      <c r="MV47" s="475" t="s">
        <v>721</v>
      </c>
      <c r="MW47" s="475" t="s">
        <v>721</v>
      </c>
      <c r="MX47" s="475" t="s">
        <v>721</v>
      </c>
      <c r="MY47" s="475" t="s">
        <v>721</v>
      </c>
      <c r="MZ47" s="475" t="s">
        <v>721</v>
      </c>
      <c r="NA47" s="475" t="s">
        <v>721</v>
      </c>
      <c r="NB47" s="475">
        <v>17</v>
      </c>
      <c r="NC47" s="476">
        <v>0.56999999999999995</v>
      </c>
      <c r="ND47" s="476">
        <v>0.43</v>
      </c>
      <c r="NE47" s="476">
        <v>0.504</v>
      </c>
      <c r="NF47" s="476">
        <v>0.40200000000000002</v>
      </c>
      <c r="NG47" s="476">
        <v>2.3E-2</v>
      </c>
      <c r="NH47" s="476">
        <v>5.0000000000000001E-3</v>
      </c>
      <c r="NI47" s="476">
        <v>7.0000000000000001E-3</v>
      </c>
      <c r="NJ47" s="476">
        <v>5.0000000000000001E-3</v>
      </c>
      <c r="NK47" s="476">
        <v>0.01</v>
      </c>
      <c r="NL47" s="476" t="s">
        <v>721</v>
      </c>
      <c r="NM47" s="476">
        <v>0.01</v>
      </c>
      <c r="NN47" s="476" t="s">
        <v>721</v>
      </c>
      <c r="NO47" s="476" t="s">
        <v>721</v>
      </c>
      <c r="NP47" s="476" t="s">
        <v>721</v>
      </c>
      <c r="NQ47" s="476" t="s">
        <v>721</v>
      </c>
      <c r="NR47" s="476">
        <v>4.0000000000000001E-3</v>
      </c>
      <c r="NS47" s="476" t="s">
        <v>721</v>
      </c>
      <c r="NT47" s="476" t="s">
        <v>721</v>
      </c>
      <c r="NU47" s="476" t="s">
        <v>721</v>
      </c>
      <c r="NV47" s="476" t="s">
        <v>721</v>
      </c>
      <c r="NW47" s="476">
        <v>2.5999999999999999E-2</v>
      </c>
      <c r="NX47" s="476" t="s">
        <v>721</v>
      </c>
      <c r="NY47" s="476">
        <v>0.26900000000000002</v>
      </c>
      <c r="NZ47" s="476" t="s">
        <v>721</v>
      </c>
      <c r="OA47" s="476" t="s">
        <v>721</v>
      </c>
      <c r="OB47" s="476" t="s">
        <v>721</v>
      </c>
      <c r="OC47" s="476" t="s">
        <v>721</v>
      </c>
      <c r="OD47" s="476">
        <v>4.0000000000000001E-3</v>
      </c>
      <c r="OE47" s="476">
        <v>0.70699999999999996</v>
      </c>
      <c r="OF47" s="476" t="s">
        <v>721</v>
      </c>
      <c r="OG47" s="476" t="s">
        <v>721</v>
      </c>
      <c r="OH47" s="476">
        <v>4.0000000000000001E-3</v>
      </c>
      <c r="OI47" s="476" t="s">
        <v>721</v>
      </c>
      <c r="OJ47" s="476" t="s">
        <v>721</v>
      </c>
      <c r="OK47" s="476" t="s">
        <v>721</v>
      </c>
      <c r="OL47" s="476" t="s">
        <v>721</v>
      </c>
      <c r="OM47" s="476" t="s">
        <v>721</v>
      </c>
      <c r="ON47" s="476" t="s">
        <v>721</v>
      </c>
      <c r="OO47" s="476" t="s">
        <v>721</v>
      </c>
      <c r="OP47" s="476" t="s">
        <v>721</v>
      </c>
      <c r="OQ47" s="476" t="s">
        <v>721</v>
      </c>
      <c r="OR47" s="476" t="s">
        <v>721</v>
      </c>
      <c r="OS47" s="476" t="s">
        <v>721</v>
      </c>
      <c r="OT47" s="476">
        <v>4.0000000000000001E-3</v>
      </c>
      <c r="OU47" s="476" t="s">
        <v>721</v>
      </c>
      <c r="OV47" s="476" t="s">
        <v>721</v>
      </c>
      <c r="OW47" s="476" t="s">
        <v>721</v>
      </c>
      <c r="OX47" s="476" t="s">
        <v>721</v>
      </c>
      <c r="OY47" s="476" t="s">
        <v>721</v>
      </c>
      <c r="OZ47" s="476" t="s">
        <v>721</v>
      </c>
      <c r="PA47" s="476" t="s">
        <v>721</v>
      </c>
      <c r="PB47" s="476" t="s">
        <v>721</v>
      </c>
      <c r="PC47" s="476" t="s">
        <v>721</v>
      </c>
      <c r="PD47" s="476" t="s">
        <v>721</v>
      </c>
      <c r="PE47" s="476" t="s">
        <v>721</v>
      </c>
      <c r="PF47" s="476">
        <v>0.183</v>
      </c>
      <c r="PG47" s="476" t="s">
        <v>721</v>
      </c>
      <c r="PH47" s="476" t="s">
        <v>721</v>
      </c>
      <c r="PI47" s="476" t="s">
        <v>721</v>
      </c>
      <c r="PJ47" s="476" t="s">
        <v>721</v>
      </c>
      <c r="PK47" s="476" t="s">
        <v>721</v>
      </c>
      <c r="PL47" s="476">
        <v>0.80300000000000005</v>
      </c>
      <c r="PM47" s="476">
        <v>7.0000000000000001E-3</v>
      </c>
      <c r="PN47" s="476" t="s">
        <v>721</v>
      </c>
      <c r="PO47" s="476" t="s">
        <v>721</v>
      </c>
      <c r="PP47" s="476" t="s">
        <v>721</v>
      </c>
      <c r="PQ47" s="476" t="s">
        <v>721</v>
      </c>
      <c r="PR47" s="476" t="s">
        <v>721</v>
      </c>
      <c r="PS47" s="476" t="s">
        <v>721</v>
      </c>
      <c r="PT47" s="476" t="s">
        <v>721</v>
      </c>
      <c r="PU47" s="476" t="s">
        <v>721</v>
      </c>
      <c r="PV47" s="476" t="s">
        <v>721</v>
      </c>
      <c r="PW47" s="476" t="s">
        <v>721</v>
      </c>
      <c r="PX47" s="476" t="s">
        <v>721</v>
      </c>
      <c r="PY47" s="476" t="s">
        <v>721</v>
      </c>
      <c r="PZ47" s="476" t="s">
        <v>721</v>
      </c>
      <c r="QA47" s="476" t="s">
        <v>721</v>
      </c>
      <c r="QB47" s="476" t="s">
        <v>721</v>
      </c>
      <c r="QC47" s="476" t="s">
        <v>721</v>
      </c>
      <c r="QD47" s="476" t="s">
        <v>721</v>
      </c>
      <c r="QE47" s="476" t="s">
        <v>721</v>
      </c>
      <c r="QF47" s="476" t="s">
        <v>721</v>
      </c>
      <c r="QG47" s="476" t="s">
        <v>721</v>
      </c>
      <c r="QH47" s="476" t="s">
        <v>721</v>
      </c>
      <c r="QI47" s="476" t="s">
        <v>721</v>
      </c>
      <c r="QJ47" s="476" t="s">
        <v>721</v>
      </c>
      <c r="QK47" s="476" t="s">
        <v>721</v>
      </c>
      <c r="QL47" s="476">
        <v>0.5</v>
      </c>
      <c r="QM47" s="476">
        <v>0.35</v>
      </c>
      <c r="QN47" s="476" t="s">
        <v>721</v>
      </c>
      <c r="QO47" s="476" t="s">
        <v>721</v>
      </c>
      <c r="QP47" s="476" t="s">
        <v>721</v>
      </c>
      <c r="QQ47" s="476" t="s">
        <v>721</v>
      </c>
      <c r="QR47" s="476" t="s">
        <v>721</v>
      </c>
      <c r="QS47" s="476" t="s">
        <v>721</v>
      </c>
      <c r="QT47" s="476" t="s">
        <v>721</v>
      </c>
      <c r="QU47" s="476" t="s">
        <v>721</v>
      </c>
      <c r="QV47" s="476" t="s">
        <v>721</v>
      </c>
      <c r="QW47" s="476" t="s">
        <v>721</v>
      </c>
      <c r="QX47" s="476" t="s">
        <v>721</v>
      </c>
      <c r="QY47" s="476" t="s">
        <v>721</v>
      </c>
      <c r="QZ47" s="476" t="s">
        <v>721</v>
      </c>
      <c r="RA47" s="476" t="s">
        <v>721</v>
      </c>
      <c r="RB47" s="476" t="s">
        <v>721</v>
      </c>
      <c r="RC47" s="476" t="s">
        <v>721</v>
      </c>
      <c r="RD47" s="476" t="s">
        <v>721</v>
      </c>
      <c r="RE47" s="476" t="s">
        <v>721</v>
      </c>
      <c r="RF47" s="476" t="s">
        <v>721</v>
      </c>
      <c r="RG47" s="476" t="s">
        <v>721</v>
      </c>
      <c r="RH47" s="476" t="s">
        <v>721</v>
      </c>
      <c r="RI47" s="476" t="s">
        <v>721</v>
      </c>
      <c r="RJ47" s="476" t="s">
        <v>721</v>
      </c>
      <c r="RK47" s="476" t="s">
        <v>721</v>
      </c>
      <c r="RL47" s="476" t="s">
        <v>721</v>
      </c>
      <c r="RM47" s="476" t="s">
        <v>721</v>
      </c>
      <c r="RN47" s="476" t="s">
        <v>721</v>
      </c>
      <c r="RO47" s="476" t="s">
        <v>721</v>
      </c>
      <c r="RP47" s="476" t="s">
        <v>721</v>
      </c>
      <c r="RQ47" s="476" t="s">
        <v>721</v>
      </c>
      <c r="RR47" s="476" t="s">
        <v>721</v>
      </c>
      <c r="RS47" s="476" t="s">
        <v>721</v>
      </c>
      <c r="RT47" s="476" t="s">
        <v>721</v>
      </c>
      <c r="RU47" s="476" t="s">
        <v>721</v>
      </c>
      <c r="RV47" s="476" t="s">
        <v>721</v>
      </c>
      <c r="RW47" s="476" t="s">
        <v>721</v>
      </c>
      <c r="RX47" s="476">
        <v>0.52600000000000002</v>
      </c>
      <c r="RY47" s="476">
        <v>0.379</v>
      </c>
      <c r="RZ47" s="476">
        <v>1.9E-2</v>
      </c>
      <c r="SA47" s="476">
        <v>4.0000000000000001E-3</v>
      </c>
      <c r="SB47" s="476">
        <v>7.0000000000000001E-3</v>
      </c>
      <c r="SC47" s="476">
        <v>6.0000000000000001E-3</v>
      </c>
      <c r="SD47" s="476">
        <v>1.0999999999999999E-2</v>
      </c>
      <c r="SE47" s="476" t="s">
        <v>721</v>
      </c>
      <c r="SF47" s="476">
        <v>1.2E-2</v>
      </c>
      <c r="SG47" s="476">
        <v>1E-3</v>
      </c>
      <c r="SH47" s="476">
        <v>1E-3</v>
      </c>
      <c r="SI47" s="476">
        <v>1E-3</v>
      </c>
      <c r="SJ47" s="476" t="s">
        <v>721</v>
      </c>
      <c r="SK47" s="476">
        <v>4.0000000000000001E-3</v>
      </c>
      <c r="SL47" s="476" t="s">
        <v>721</v>
      </c>
      <c r="SM47" s="476" t="s">
        <v>721</v>
      </c>
      <c r="SN47" s="476" t="s">
        <v>721</v>
      </c>
      <c r="SO47" s="476">
        <v>1E-3</v>
      </c>
      <c r="SP47" s="476">
        <v>2.5999999999999999E-2</v>
      </c>
      <c r="SQ47" s="476">
        <v>0.66</v>
      </c>
      <c r="SR47" s="476">
        <v>0.23499999999999999</v>
      </c>
      <c r="SS47" s="476" t="s">
        <v>721</v>
      </c>
      <c r="ST47" s="476" t="s">
        <v>721</v>
      </c>
      <c r="SU47" s="476" t="s">
        <v>721</v>
      </c>
      <c r="SV47" s="476" t="s">
        <v>721</v>
      </c>
      <c r="SW47" s="476" t="s">
        <v>721</v>
      </c>
      <c r="SX47" s="476" t="s">
        <v>721</v>
      </c>
      <c r="SY47" s="476" t="s">
        <v>721</v>
      </c>
      <c r="SZ47" s="476" t="s">
        <v>721</v>
      </c>
      <c r="TA47" s="476" t="s">
        <v>721</v>
      </c>
      <c r="TB47" s="476" t="s">
        <v>721</v>
      </c>
      <c r="TC47" s="476" t="s">
        <v>721</v>
      </c>
      <c r="TD47" s="476" t="s">
        <v>721</v>
      </c>
      <c r="TE47" s="476" t="s">
        <v>721</v>
      </c>
      <c r="TF47" s="476" t="s">
        <v>721</v>
      </c>
      <c r="TG47" s="476" t="s">
        <v>721</v>
      </c>
      <c r="TH47" s="476" t="s">
        <v>721</v>
      </c>
      <c r="TI47" s="476">
        <v>4.4999999999999998E-2</v>
      </c>
      <c r="TJ47" s="476">
        <v>0.41899999999999998</v>
      </c>
      <c r="TK47" s="476">
        <v>0.49399999999999999</v>
      </c>
      <c r="TL47" s="476" t="s">
        <v>721</v>
      </c>
      <c r="TM47" s="476" t="s">
        <v>721</v>
      </c>
      <c r="TN47" s="476" t="s">
        <v>721</v>
      </c>
      <c r="TO47" s="476" t="s">
        <v>721</v>
      </c>
      <c r="TP47" s="476" t="s">
        <v>721</v>
      </c>
      <c r="TQ47" s="476" t="s">
        <v>721</v>
      </c>
      <c r="TR47" s="476" t="s">
        <v>721</v>
      </c>
      <c r="TS47" s="476" t="s">
        <v>721</v>
      </c>
      <c r="TT47" s="476" t="s">
        <v>721</v>
      </c>
      <c r="TU47" s="476" t="s">
        <v>721</v>
      </c>
      <c r="TV47" s="476" t="s">
        <v>721</v>
      </c>
      <c r="TW47" s="476" t="s">
        <v>721</v>
      </c>
      <c r="TX47" s="476" t="s">
        <v>721</v>
      </c>
      <c r="TY47" s="476" t="s">
        <v>721</v>
      </c>
      <c r="TZ47" s="476" t="s">
        <v>721</v>
      </c>
      <c r="UA47" s="476" t="s">
        <v>721</v>
      </c>
      <c r="UB47" s="476" t="s">
        <v>721</v>
      </c>
      <c r="UC47" s="476">
        <v>0.51500000000000001</v>
      </c>
      <c r="UD47" s="476">
        <v>0.38500000000000001</v>
      </c>
      <c r="UE47" s="476">
        <v>2.7E-2</v>
      </c>
      <c r="UF47" s="476">
        <v>6.0000000000000001E-3</v>
      </c>
      <c r="UG47" s="476">
        <v>8.0000000000000002E-3</v>
      </c>
      <c r="UH47" s="476" t="s">
        <v>721</v>
      </c>
      <c r="UI47" s="476">
        <v>1.0999999999999999E-2</v>
      </c>
      <c r="UJ47" s="476" t="s">
        <v>721</v>
      </c>
      <c r="UK47" s="476">
        <v>8.0000000000000002E-3</v>
      </c>
      <c r="UL47" s="476" t="s">
        <v>721</v>
      </c>
      <c r="UM47" s="476" t="s">
        <v>721</v>
      </c>
      <c r="UN47" s="476" t="s">
        <v>721</v>
      </c>
      <c r="UO47" s="476" t="s">
        <v>721</v>
      </c>
      <c r="UP47" s="476" t="s">
        <v>721</v>
      </c>
      <c r="UQ47" s="476" t="s">
        <v>721</v>
      </c>
      <c r="UR47" s="476" t="s">
        <v>721</v>
      </c>
      <c r="US47" s="476" t="s">
        <v>721</v>
      </c>
      <c r="UT47" s="476" t="s">
        <v>721</v>
      </c>
      <c r="UU47" s="476">
        <v>2.9000000000000001E-2</v>
      </c>
      <c r="UV47" s="476">
        <v>0.47199999999999998</v>
      </c>
      <c r="UW47" s="476">
        <v>0.44400000000000001</v>
      </c>
      <c r="UX47" s="476">
        <v>1.2999999999999999E-2</v>
      </c>
      <c r="UY47" s="476" t="s">
        <v>721</v>
      </c>
      <c r="UZ47" s="476" t="s">
        <v>721</v>
      </c>
      <c r="VA47" s="476" t="s">
        <v>721</v>
      </c>
      <c r="VB47" s="476" t="s">
        <v>721</v>
      </c>
      <c r="VC47" s="476" t="s">
        <v>721</v>
      </c>
      <c r="VD47" s="476">
        <v>1.4E-2</v>
      </c>
      <c r="VE47" s="476" t="s">
        <v>721</v>
      </c>
      <c r="VF47" s="476" t="s">
        <v>721</v>
      </c>
      <c r="VG47" s="476" t="s">
        <v>721</v>
      </c>
      <c r="VH47" s="476" t="s">
        <v>721</v>
      </c>
      <c r="VI47" s="476" t="s">
        <v>721</v>
      </c>
      <c r="VJ47" s="476" t="s">
        <v>721</v>
      </c>
      <c r="VK47" s="476" t="s">
        <v>721</v>
      </c>
      <c r="VL47" s="476" t="s">
        <v>721</v>
      </c>
      <c r="VM47" s="476" t="s">
        <v>721</v>
      </c>
      <c r="VN47" s="476">
        <v>1.7999999999999999E-2</v>
      </c>
      <c r="VO47" s="28"/>
      <c r="VP47" s="28"/>
      <c r="VQ47" s="28"/>
      <c r="VR47" s="28"/>
      <c r="VS47" s="28"/>
      <c r="VT47" s="28"/>
      <c r="VU47" s="28"/>
      <c r="VV47" s="28"/>
      <c r="VW47" s="28"/>
      <c r="VX47" s="28"/>
      <c r="VY47" s="28"/>
      <c r="VZ47" s="28"/>
      <c r="WA47" s="28"/>
      <c r="WB47" s="28"/>
      <c r="WC47" s="28"/>
      <c r="WD47" s="28"/>
      <c r="WE47" s="28"/>
      <c r="WF47" s="28"/>
      <c r="WG47" s="28"/>
      <c r="WH47" s="28"/>
      <c r="WI47" s="28"/>
      <c r="WJ47" s="28"/>
      <c r="WK47" s="28"/>
      <c r="WL47" s="28"/>
      <c r="WM47" s="28"/>
      <c r="WN47" s="28"/>
      <c r="WO47" s="28"/>
      <c r="WP47" s="28"/>
      <c r="WQ47" s="28"/>
      <c r="WR47" s="28"/>
      <c r="WS47" s="28"/>
      <c r="WT47" s="28"/>
      <c r="WU47" s="28"/>
      <c r="WV47" s="28"/>
      <c r="WW47" s="28"/>
    </row>
    <row r="48" spans="1:621" s="151" customFormat="1" ht="15.75" customHeight="1" x14ac:dyDescent="0.35">
      <c r="A48" s="477" t="s">
        <v>52</v>
      </c>
      <c r="B48" s="492" t="s">
        <v>17</v>
      </c>
      <c r="C48" s="493">
        <v>17.100000000000001</v>
      </c>
      <c r="D48" s="494">
        <v>4413</v>
      </c>
      <c r="E48" s="473">
        <v>486668</v>
      </c>
      <c r="F48" s="473">
        <v>110.3</v>
      </c>
      <c r="G48" s="474">
        <v>4404</v>
      </c>
      <c r="H48" s="474">
        <v>3910</v>
      </c>
      <c r="I48" s="474">
        <v>3546</v>
      </c>
      <c r="J48" s="474">
        <v>2415</v>
      </c>
      <c r="K48" s="474">
        <v>1054</v>
      </c>
      <c r="L48" s="473">
        <v>197369.1</v>
      </c>
      <c r="M48" s="474">
        <v>3311</v>
      </c>
      <c r="N48" s="473">
        <v>289298.90000000002</v>
      </c>
      <c r="O48" s="494">
        <v>672</v>
      </c>
      <c r="P48" s="495">
        <v>120573.3</v>
      </c>
      <c r="Q48" s="494">
        <v>594</v>
      </c>
      <c r="R48" s="495">
        <v>23041.7</v>
      </c>
      <c r="S48" s="494">
        <v>1069</v>
      </c>
      <c r="T48" s="495">
        <v>92273.2</v>
      </c>
      <c r="U48" s="494">
        <v>43</v>
      </c>
      <c r="V48" s="495">
        <v>6399.7</v>
      </c>
      <c r="W48" s="494">
        <v>3301</v>
      </c>
      <c r="X48" s="495">
        <v>387995.1</v>
      </c>
      <c r="Y48" s="494">
        <v>3912</v>
      </c>
      <c r="Z48" s="494">
        <v>2068</v>
      </c>
      <c r="AA48" s="494">
        <v>2358</v>
      </c>
      <c r="AB48" s="494">
        <v>1630</v>
      </c>
      <c r="AC48" s="494">
        <v>173</v>
      </c>
      <c r="AD48" s="494">
        <v>870</v>
      </c>
      <c r="AE48" s="494">
        <v>2518</v>
      </c>
      <c r="AF48" s="495">
        <v>152552.6</v>
      </c>
      <c r="AG48" s="494">
        <v>1694</v>
      </c>
      <c r="AH48" s="495">
        <v>324484.5</v>
      </c>
      <c r="AI48" s="494">
        <v>95</v>
      </c>
      <c r="AJ48" s="495">
        <v>3720.8</v>
      </c>
      <c r="AK48" s="494">
        <v>58</v>
      </c>
      <c r="AL48" s="495">
        <v>5910.1</v>
      </c>
      <c r="AM48" s="496">
        <v>2548</v>
      </c>
      <c r="AN48" s="496">
        <v>1865</v>
      </c>
      <c r="AO48" s="496">
        <v>3384</v>
      </c>
      <c r="AP48" s="496">
        <v>252</v>
      </c>
      <c r="AQ48" s="496">
        <v>107</v>
      </c>
      <c r="AR48" s="496">
        <v>86</v>
      </c>
      <c r="AS48" s="496">
        <v>169</v>
      </c>
      <c r="AT48" s="496">
        <v>14</v>
      </c>
      <c r="AU48" s="496">
        <v>202</v>
      </c>
      <c r="AV48" s="496" t="s">
        <v>721</v>
      </c>
      <c r="AW48" s="496">
        <v>13</v>
      </c>
      <c r="AX48" s="496" t="s">
        <v>721</v>
      </c>
      <c r="AY48" s="496" t="s">
        <v>721</v>
      </c>
      <c r="AZ48" s="496" t="s">
        <v>721</v>
      </c>
      <c r="BA48" s="496" t="s">
        <v>721</v>
      </c>
      <c r="BB48" s="496" t="s">
        <v>721</v>
      </c>
      <c r="BC48" s="496" t="s">
        <v>721</v>
      </c>
      <c r="BD48" s="496" t="s">
        <v>721</v>
      </c>
      <c r="BE48" s="496">
        <v>67</v>
      </c>
      <c r="BF48" s="496" t="s">
        <v>721</v>
      </c>
      <c r="BG48" s="496">
        <v>87</v>
      </c>
      <c r="BH48" s="496">
        <v>18</v>
      </c>
      <c r="BI48" s="496">
        <v>56</v>
      </c>
      <c r="BJ48" s="496" t="s">
        <v>721</v>
      </c>
      <c r="BK48" s="496" t="s">
        <v>721</v>
      </c>
      <c r="BL48" s="496" t="s">
        <v>721</v>
      </c>
      <c r="BM48" s="496" t="s">
        <v>721</v>
      </c>
      <c r="BN48" s="496">
        <v>14</v>
      </c>
      <c r="BO48" s="496">
        <v>4159</v>
      </c>
      <c r="BP48" s="496">
        <v>27</v>
      </c>
      <c r="BQ48" s="496" t="s">
        <v>721</v>
      </c>
      <c r="BR48" s="496" t="s">
        <v>721</v>
      </c>
      <c r="BS48" s="496" t="s">
        <v>721</v>
      </c>
      <c r="BT48" s="496" t="s">
        <v>721</v>
      </c>
      <c r="BU48" s="496" t="s">
        <v>721</v>
      </c>
      <c r="BV48" s="496" t="s">
        <v>721</v>
      </c>
      <c r="BW48" s="496">
        <v>72</v>
      </c>
      <c r="BX48" s="496">
        <v>15</v>
      </c>
      <c r="BY48" s="496">
        <v>29</v>
      </c>
      <c r="BZ48" s="496" t="s">
        <v>721</v>
      </c>
      <c r="CA48" s="496" t="s">
        <v>721</v>
      </c>
      <c r="CB48" s="496" t="s">
        <v>721</v>
      </c>
      <c r="CC48" s="496" t="s">
        <v>721</v>
      </c>
      <c r="CD48" s="496" t="s">
        <v>721</v>
      </c>
      <c r="CE48" s="496" t="s">
        <v>721</v>
      </c>
      <c r="CF48" s="496" t="s">
        <v>721</v>
      </c>
      <c r="CG48" s="496" t="s">
        <v>721</v>
      </c>
      <c r="CH48" s="496" t="s">
        <v>721</v>
      </c>
      <c r="CI48" s="496" t="s">
        <v>721</v>
      </c>
      <c r="CJ48" s="496" t="s">
        <v>721</v>
      </c>
      <c r="CK48" s="496" t="s">
        <v>721</v>
      </c>
      <c r="CL48" s="496" t="s">
        <v>721</v>
      </c>
      <c r="CM48" s="496" t="s">
        <v>721</v>
      </c>
      <c r="CN48" s="496" t="s">
        <v>721</v>
      </c>
      <c r="CO48" s="496" t="s">
        <v>721</v>
      </c>
      <c r="CP48" s="496">
        <v>43</v>
      </c>
      <c r="CQ48" s="496" t="s">
        <v>721</v>
      </c>
      <c r="CR48" s="496" t="s">
        <v>721</v>
      </c>
      <c r="CS48" s="496" t="s">
        <v>721</v>
      </c>
      <c r="CT48" s="496" t="s">
        <v>721</v>
      </c>
      <c r="CU48" s="496" t="s">
        <v>721</v>
      </c>
      <c r="CV48" s="496">
        <v>3739</v>
      </c>
      <c r="CW48" s="496">
        <v>71</v>
      </c>
      <c r="CX48" s="496" t="s">
        <v>721</v>
      </c>
      <c r="CY48" s="496" t="s">
        <v>721</v>
      </c>
      <c r="CZ48" s="496" t="s">
        <v>721</v>
      </c>
      <c r="DA48" s="496" t="s">
        <v>721</v>
      </c>
      <c r="DB48" s="496" t="s">
        <v>721</v>
      </c>
      <c r="DC48" s="496" t="s">
        <v>721</v>
      </c>
      <c r="DD48" s="496">
        <v>18</v>
      </c>
      <c r="DE48" s="496" t="s">
        <v>721</v>
      </c>
      <c r="DF48" s="496" t="s">
        <v>721</v>
      </c>
      <c r="DG48" s="496" t="s">
        <v>721</v>
      </c>
      <c r="DH48" s="496" t="s">
        <v>721</v>
      </c>
      <c r="DI48" s="496" t="s">
        <v>721</v>
      </c>
      <c r="DJ48" s="496" t="s">
        <v>721</v>
      </c>
      <c r="DK48" s="496" t="s">
        <v>721</v>
      </c>
      <c r="DL48" s="496" t="s">
        <v>721</v>
      </c>
      <c r="DM48" s="496" t="s">
        <v>721</v>
      </c>
      <c r="DN48" s="496" t="s">
        <v>721</v>
      </c>
      <c r="DO48" s="496" t="s">
        <v>721</v>
      </c>
      <c r="DP48" s="496" t="s">
        <v>721</v>
      </c>
      <c r="DQ48" s="496" t="s">
        <v>721</v>
      </c>
      <c r="DR48" s="496" t="s">
        <v>721</v>
      </c>
      <c r="DS48" s="483" t="s">
        <v>721</v>
      </c>
      <c r="DT48" s="483" t="s">
        <v>721</v>
      </c>
      <c r="DU48" s="483" t="s">
        <v>721</v>
      </c>
      <c r="DV48" s="496">
        <v>490</v>
      </c>
      <c r="DW48" s="497">
        <v>97272.3</v>
      </c>
      <c r="DX48" s="496">
        <v>730</v>
      </c>
      <c r="DY48" s="497">
        <v>112294.9</v>
      </c>
      <c r="DZ48" s="496">
        <v>1299</v>
      </c>
      <c r="EA48" s="497">
        <v>114944.3</v>
      </c>
      <c r="EB48" s="496">
        <v>982</v>
      </c>
      <c r="EC48" s="497">
        <v>80101.7</v>
      </c>
      <c r="ED48" s="496">
        <v>633</v>
      </c>
      <c r="EE48" s="497">
        <v>54278.5</v>
      </c>
      <c r="EF48" s="496">
        <v>279</v>
      </c>
      <c r="EG48" s="497">
        <v>27776.3</v>
      </c>
      <c r="EH48" s="485">
        <v>3621</v>
      </c>
      <c r="EI48" s="486">
        <v>17004.900000000001</v>
      </c>
      <c r="EJ48" s="485">
        <v>3758</v>
      </c>
      <c r="EK48" s="486">
        <v>83919.2</v>
      </c>
      <c r="EL48" s="485">
        <v>3580</v>
      </c>
      <c r="EM48" s="486">
        <v>32813.1</v>
      </c>
      <c r="EN48" s="485">
        <v>3763</v>
      </c>
      <c r="EO48" s="486">
        <v>18951.3</v>
      </c>
      <c r="EP48" s="485">
        <v>3586</v>
      </c>
      <c r="EQ48" s="486">
        <v>12371.9</v>
      </c>
      <c r="ER48" s="485">
        <v>3603</v>
      </c>
      <c r="ES48" s="486">
        <v>6655.9</v>
      </c>
      <c r="ET48" s="485">
        <v>1</v>
      </c>
      <c r="EU48" s="485">
        <v>2220</v>
      </c>
      <c r="EV48" s="486">
        <v>32857.199999999997</v>
      </c>
      <c r="EW48" s="485">
        <v>871</v>
      </c>
      <c r="EX48" s="486">
        <v>3889.1</v>
      </c>
      <c r="EY48" s="485">
        <v>1556</v>
      </c>
      <c r="EZ48" s="486">
        <v>14569.2</v>
      </c>
      <c r="FA48" s="485">
        <v>427</v>
      </c>
      <c r="FB48" s="486">
        <v>4055.1</v>
      </c>
      <c r="FC48" s="485">
        <v>3373</v>
      </c>
      <c r="FD48" s="486">
        <v>33452.400000000001</v>
      </c>
      <c r="FE48" s="485">
        <v>3164</v>
      </c>
      <c r="FF48" s="486">
        <v>23111.8</v>
      </c>
      <c r="FG48" s="485">
        <v>1608</v>
      </c>
      <c r="FH48" s="486">
        <v>14514.9</v>
      </c>
      <c r="FI48" s="485">
        <v>2004</v>
      </c>
      <c r="FJ48" s="486">
        <v>12750.8</v>
      </c>
      <c r="FK48" s="485">
        <v>2706</v>
      </c>
      <c r="FL48" s="486">
        <v>7275.8</v>
      </c>
      <c r="FM48" s="485">
        <v>146</v>
      </c>
      <c r="FN48" s="486">
        <v>317.5</v>
      </c>
      <c r="FO48" s="485">
        <v>3059</v>
      </c>
      <c r="FP48" s="486">
        <v>15713.5</v>
      </c>
      <c r="FQ48" s="485">
        <v>3024</v>
      </c>
      <c r="FR48" s="486">
        <v>8008.1</v>
      </c>
      <c r="FS48" s="485">
        <v>252</v>
      </c>
      <c r="FT48" s="486">
        <v>1262.0999999999999</v>
      </c>
      <c r="FU48" s="485">
        <v>0</v>
      </c>
      <c r="FV48" s="486">
        <v>0</v>
      </c>
      <c r="FW48" s="485">
        <v>0</v>
      </c>
      <c r="FX48" s="486">
        <v>0</v>
      </c>
      <c r="FY48" s="485">
        <v>1</v>
      </c>
      <c r="FZ48" s="486">
        <v>2.2000000000000002</v>
      </c>
      <c r="GA48" s="485">
        <v>0</v>
      </c>
      <c r="GB48" s="485">
        <v>0</v>
      </c>
      <c r="GC48" s="487">
        <v>0</v>
      </c>
      <c r="GD48" s="488">
        <v>34</v>
      </c>
      <c r="GE48" s="488">
        <v>88</v>
      </c>
      <c r="GF48" s="488">
        <v>935</v>
      </c>
      <c r="GG48" s="488">
        <v>4</v>
      </c>
      <c r="GH48" s="488">
        <v>4</v>
      </c>
      <c r="GI48" s="488">
        <v>0</v>
      </c>
      <c r="GJ48" s="488">
        <v>1</v>
      </c>
      <c r="GK48" s="488">
        <v>828</v>
      </c>
      <c r="GL48" s="488">
        <v>220</v>
      </c>
      <c r="GM48" s="488">
        <v>1057</v>
      </c>
      <c r="GN48" s="488">
        <v>204</v>
      </c>
      <c r="GO48" s="488">
        <v>151</v>
      </c>
      <c r="GP48" s="488">
        <v>29</v>
      </c>
      <c r="GQ48" s="488">
        <v>19</v>
      </c>
      <c r="GR48" s="488">
        <v>0</v>
      </c>
      <c r="GS48" s="488">
        <v>48</v>
      </c>
      <c r="GT48" s="489">
        <v>2819</v>
      </c>
      <c r="GU48" s="488">
        <v>5</v>
      </c>
      <c r="GV48" s="490">
        <v>0</v>
      </c>
      <c r="GW48" s="490">
        <v>4</v>
      </c>
      <c r="GX48" s="490">
        <v>9</v>
      </c>
      <c r="GY48" s="491">
        <v>7</v>
      </c>
      <c r="GZ48" s="491">
        <v>17</v>
      </c>
      <c r="HA48" s="491">
        <v>24</v>
      </c>
      <c r="HB48" s="475">
        <v>1</v>
      </c>
      <c r="HC48" s="475">
        <v>5</v>
      </c>
      <c r="HD48" s="475">
        <v>0</v>
      </c>
      <c r="HE48" s="475">
        <v>0</v>
      </c>
      <c r="HF48" s="475">
        <v>0</v>
      </c>
      <c r="HG48" s="475">
        <v>0</v>
      </c>
      <c r="HH48" s="475">
        <v>5</v>
      </c>
      <c r="HI48" s="475">
        <v>0</v>
      </c>
      <c r="HJ48" s="475">
        <v>0</v>
      </c>
      <c r="HK48" s="475">
        <v>0</v>
      </c>
      <c r="HL48" s="475">
        <v>2</v>
      </c>
      <c r="HM48" s="475">
        <v>0</v>
      </c>
      <c r="HN48" s="475">
        <v>0</v>
      </c>
      <c r="HO48" s="475">
        <v>2</v>
      </c>
      <c r="HP48" s="475">
        <v>0</v>
      </c>
      <c r="HQ48" s="475">
        <v>1</v>
      </c>
      <c r="HR48" s="475">
        <v>23</v>
      </c>
      <c r="HS48" s="475">
        <v>0</v>
      </c>
      <c r="HT48" s="475">
        <v>0</v>
      </c>
      <c r="HU48" s="475">
        <v>0</v>
      </c>
      <c r="HV48" s="475">
        <v>0</v>
      </c>
      <c r="HW48" s="475">
        <v>0</v>
      </c>
      <c r="HX48" s="475">
        <v>0</v>
      </c>
      <c r="HY48" s="475">
        <v>0</v>
      </c>
      <c r="HZ48" s="475">
        <v>109</v>
      </c>
      <c r="IA48" s="475" t="s">
        <v>721</v>
      </c>
      <c r="IB48" s="475" t="s">
        <v>721</v>
      </c>
      <c r="IC48" s="475" t="s">
        <v>721</v>
      </c>
      <c r="ID48" s="475" t="s">
        <v>721</v>
      </c>
      <c r="IE48" s="475" t="s">
        <v>721</v>
      </c>
      <c r="IF48" s="475">
        <v>17</v>
      </c>
      <c r="IG48" s="475" t="s">
        <v>721</v>
      </c>
      <c r="IH48" s="475" t="s">
        <v>721</v>
      </c>
      <c r="II48" s="475" t="s">
        <v>721</v>
      </c>
      <c r="IJ48" s="475" t="s">
        <v>721</v>
      </c>
      <c r="IK48" s="475" t="s">
        <v>721</v>
      </c>
      <c r="IL48" s="475" t="s">
        <v>721</v>
      </c>
      <c r="IM48" s="475" t="s">
        <v>721</v>
      </c>
      <c r="IN48" s="475" t="s">
        <v>721</v>
      </c>
      <c r="IO48" s="475" t="s">
        <v>721</v>
      </c>
      <c r="IP48" s="475" t="s">
        <v>721</v>
      </c>
      <c r="IQ48" s="475" t="s">
        <v>721</v>
      </c>
      <c r="IR48" s="475" t="s">
        <v>721</v>
      </c>
      <c r="IS48" s="475">
        <v>31</v>
      </c>
      <c r="IT48" s="475" t="s">
        <v>721</v>
      </c>
      <c r="IU48" s="475" t="s">
        <v>721</v>
      </c>
      <c r="IV48" s="475" t="s">
        <v>721</v>
      </c>
      <c r="IW48" s="475" t="s">
        <v>721</v>
      </c>
      <c r="IX48" s="475" t="s">
        <v>721</v>
      </c>
      <c r="IY48" s="475" t="s">
        <v>721</v>
      </c>
      <c r="IZ48" s="475" t="s">
        <v>721</v>
      </c>
      <c r="JA48" s="475" t="s">
        <v>721</v>
      </c>
      <c r="JB48" s="475" t="s">
        <v>721</v>
      </c>
      <c r="JC48" s="475" t="s">
        <v>721</v>
      </c>
      <c r="JD48" s="475" t="s">
        <v>721</v>
      </c>
      <c r="JE48" s="475" t="s">
        <v>721</v>
      </c>
      <c r="JF48" s="475" t="s">
        <v>721</v>
      </c>
      <c r="JG48" s="475" t="s">
        <v>721</v>
      </c>
      <c r="JH48" s="475" t="s">
        <v>721</v>
      </c>
      <c r="JI48" s="475" t="s">
        <v>721</v>
      </c>
      <c r="JJ48" s="475" t="s">
        <v>721</v>
      </c>
      <c r="JK48" s="475" t="s">
        <v>721</v>
      </c>
      <c r="JL48" s="755">
        <v>365510.5</v>
      </c>
      <c r="JM48" s="755">
        <v>31772.799999999999</v>
      </c>
      <c r="JN48" s="755">
        <v>12912.5</v>
      </c>
      <c r="JO48" s="755">
        <v>10363.299999999999</v>
      </c>
      <c r="JP48" s="755">
        <v>21498</v>
      </c>
      <c r="JQ48" s="755">
        <v>2298</v>
      </c>
      <c r="JR48" s="755">
        <v>18880.900000000001</v>
      </c>
      <c r="JS48" s="755" t="s">
        <v>721</v>
      </c>
      <c r="JT48" s="755">
        <v>1421.6</v>
      </c>
      <c r="JU48" s="755">
        <v>211.6</v>
      </c>
      <c r="JV48" s="755">
        <v>385.1</v>
      </c>
      <c r="JW48" s="755">
        <v>312.5</v>
      </c>
      <c r="JX48" s="755" t="s">
        <v>721</v>
      </c>
      <c r="JY48" s="755">
        <v>789.3</v>
      </c>
      <c r="JZ48" s="755">
        <v>246.6</v>
      </c>
      <c r="KA48" s="755">
        <v>205.9</v>
      </c>
      <c r="KB48" s="755">
        <v>8061.3</v>
      </c>
      <c r="KC48" s="755">
        <v>473.6</v>
      </c>
      <c r="KD48" s="755">
        <v>11324.5</v>
      </c>
      <c r="KE48" s="475">
        <v>491</v>
      </c>
      <c r="KF48" s="475">
        <v>50</v>
      </c>
      <c r="KG48" s="475">
        <v>13</v>
      </c>
      <c r="KH48" s="475">
        <v>12</v>
      </c>
      <c r="KI48" s="475">
        <v>37</v>
      </c>
      <c r="KJ48" s="475" t="s">
        <v>721</v>
      </c>
      <c r="KK48" s="475">
        <v>25</v>
      </c>
      <c r="KL48" s="475" t="s">
        <v>721</v>
      </c>
      <c r="KM48" s="475" t="s">
        <v>721</v>
      </c>
      <c r="KN48" s="475" t="s">
        <v>721</v>
      </c>
      <c r="KO48" s="475" t="s">
        <v>721</v>
      </c>
      <c r="KP48" s="475" t="s">
        <v>721</v>
      </c>
      <c r="KQ48" s="475" t="s">
        <v>721</v>
      </c>
      <c r="KR48" s="475" t="s">
        <v>721</v>
      </c>
      <c r="KS48" s="475" t="s">
        <v>721</v>
      </c>
      <c r="KT48" s="475" t="s">
        <v>721</v>
      </c>
      <c r="KU48" s="475" t="s">
        <v>721</v>
      </c>
      <c r="KV48" s="475" t="s">
        <v>721</v>
      </c>
      <c r="KW48" s="475">
        <v>28</v>
      </c>
      <c r="KX48" s="475">
        <v>414</v>
      </c>
      <c r="KY48" s="475">
        <v>66</v>
      </c>
      <c r="KZ48" s="475">
        <v>26</v>
      </c>
      <c r="LA48" s="475">
        <v>17</v>
      </c>
      <c r="LB48" s="475">
        <v>20</v>
      </c>
      <c r="LC48" s="475" t="s">
        <v>721</v>
      </c>
      <c r="LD48" s="475">
        <v>22</v>
      </c>
      <c r="LE48" s="475" t="s">
        <v>721</v>
      </c>
      <c r="LF48" s="475" t="s">
        <v>721</v>
      </c>
      <c r="LG48" s="475" t="s">
        <v>721</v>
      </c>
      <c r="LH48" s="475" t="s">
        <v>721</v>
      </c>
      <c r="LI48" s="475" t="s">
        <v>721</v>
      </c>
      <c r="LJ48" s="475" t="s">
        <v>721</v>
      </c>
      <c r="LK48" s="475" t="s">
        <v>721</v>
      </c>
      <c r="LL48" s="475" t="s">
        <v>721</v>
      </c>
      <c r="LM48" s="475" t="s">
        <v>721</v>
      </c>
      <c r="LN48" s="475">
        <v>13</v>
      </c>
      <c r="LO48" s="475" t="s">
        <v>721</v>
      </c>
      <c r="LP48" s="475" t="s">
        <v>721</v>
      </c>
      <c r="LQ48" s="475">
        <v>2578</v>
      </c>
      <c r="LR48" s="475">
        <v>170</v>
      </c>
      <c r="LS48" s="475">
        <v>70</v>
      </c>
      <c r="LT48" s="475">
        <v>49</v>
      </c>
      <c r="LU48" s="475">
        <v>126</v>
      </c>
      <c r="LV48" s="475" t="s">
        <v>721</v>
      </c>
      <c r="LW48" s="475">
        <v>166</v>
      </c>
      <c r="LX48" s="475" t="s">
        <v>721</v>
      </c>
      <c r="LY48" s="475" t="s">
        <v>721</v>
      </c>
      <c r="LZ48" s="475" t="s">
        <v>721</v>
      </c>
      <c r="MA48" s="475" t="s">
        <v>721</v>
      </c>
      <c r="MB48" s="475" t="s">
        <v>721</v>
      </c>
      <c r="MC48" s="475" t="s">
        <v>721</v>
      </c>
      <c r="MD48" s="475" t="s">
        <v>721</v>
      </c>
      <c r="ME48" s="475" t="s">
        <v>721</v>
      </c>
      <c r="MF48" s="475" t="s">
        <v>721</v>
      </c>
      <c r="MG48" s="475">
        <v>42</v>
      </c>
      <c r="MH48" s="475" t="s">
        <v>721</v>
      </c>
      <c r="MI48" s="475">
        <v>73</v>
      </c>
      <c r="MJ48" s="475">
        <v>763</v>
      </c>
      <c r="MK48" s="475">
        <v>81</v>
      </c>
      <c r="ML48" s="475">
        <v>37</v>
      </c>
      <c r="MM48" s="475">
        <v>37</v>
      </c>
      <c r="MN48" s="475">
        <v>43</v>
      </c>
      <c r="MO48" s="475" t="s">
        <v>721</v>
      </c>
      <c r="MP48" s="475">
        <v>34</v>
      </c>
      <c r="MQ48" s="475" t="s">
        <v>721</v>
      </c>
      <c r="MR48" s="475" t="s">
        <v>721</v>
      </c>
      <c r="MS48" s="475" t="s">
        <v>721</v>
      </c>
      <c r="MT48" s="475" t="s">
        <v>721</v>
      </c>
      <c r="MU48" s="475" t="s">
        <v>721</v>
      </c>
      <c r="MV48" s="475" t="s">
        <v>721</v>
      </c>
      <c r="MW48" s="475" t="s">
        <v>721</v>
      </c>
      <c r="MX48" s="475" t="s">
        <v>721</v>
      </c>
      <c r="MY48" s="475" t="s">
        <v>721</v>
      </c>
      <c r="MZ48" s="475">
        <v>25</v>
      </c>
      <c r="NA48" s="475" t="s">
        <v>721</v>
      </c>
      <c r="NB48" s="475">
        <v>13</v>
      </c>
      <c r="NC48" s="476">
        <v>0.57699999999999996</v>
      </c>
      <c r="ND48" s="476">
        <v>0.42299999999999999</v>
      </c>
      <c r="NE48" s="476">
        <v>0.76700000000000002</v>
      </c>
      <c r="NF48" s="476">
        <v>5.7000000000000002E-2</v>
      </c>
      <c r="NG48" s="476">
        <v>2.4E-2</v>
      </c>
      <c r="NH48" s="476">
        <v>0.02</v>
      </c>
      <c r="NI48" s="476">
        <v>3.7999999999999999E-2</v>
      </c>
      <c r="NJ48" s="476">
        <v>3.0000000000000001E-3</v>
      </c>
      <c r="NK48" s="476">
        <v>4.5999999999999999E-2</v>
      </c>
      <c r="NL48" s="476" t="s">
        <v>721</v>
      </c>
      <c r="NM48" s="476">
        <v>3.0000000000000001E-3</v>
      </c>
      <c r="NN48" s="476" t="s">
        <v>721</v>
      </c>
      <c r="NO48" s="476" t="s">
        <v>721</v>
      </c>
      <c r="NP48" s="476" t="s">
        <v>721</v>
      </c>
      <c r="NQ48" s="476" t="s">
        <v>721</v>
      </c>
      <c r="NR48" s="476" t="s">
        <v>721</v>
      </c>
      <c r="NS48" s="476" t="s">
        <v>721</v>
      </c>
      <c r="NT48" s="476" t="s">
        <v>721</v>
      </c>
      <c r="NU48" s="476">
        <v>1.4999999999999999E-2</v>
      </c>
      <c r="NV48" s="476" t="s">
        <v>721</v>
      </c>
      <c r="NW48" s="476">
        <v>0.02</v>
      </c>
      <c r="NX48" s="476">
        <v>4.0000000000000001E-3</v>
      </c>
      <c r="NY48" s="476">
        <v>1.2999999999999999E-2</v>
      </c>
      <c r="NZ48" s="476" t="s">
        <v>721</v>
      </c>
      <c r="OA48" s="476" t="s">
        <v>721</v>
      </c>
      <c r="OB48" s="476" t="s">
        <v>721</v>
      </c>
      <c r="OC48" s="476" t="s">
        <v>721</v>
      </c>
      <c r="OD48" s="476">
        <v>3.0000000000000001E-3</v>
      </c>
      <c r="OE48" s="476">
        <v>0.94199999999999995</v>
      </c>
      <c r="OF48" s="476">
        <v>6.0000000000000001E-3</v>
      </c>
      <c r="OG48" s="476" t="s">
        <v>721</v>
      </c>
      <c r="OH48" s="476" t="s">
        <v>721</v>
      </c>
      <c r="OI48" s="476" t="s">
        <v>721</v>
      </c>
      <c r="OJ48" s="476" t="s">
        <v>721</v>
      </c>
      <c r="OK48" s="476" t="s">
        <v>721</v>
      </c>
      <c r="OL48" s="476" t="s">
        <v>721</v>
      </c>
      <c r="OM48" s="476">
        <v>1.6E-2</v>
      </c>
      <c r="ON48" s="476">
        <v>3.0000000000000001E-3</v>
      </c>
      <c r="OO48" s="476">
        <v>7.0000000000000001E-3</v>
      </c>
      <c r="OP48" s="476" t="s">
        <v>721</v>
      </c>
      <c r="OQ48" s="476" t="s">
        <v>721</v>
      </c>
      <c r="OR48" s="476" t="s">
        <v>721</v>
      </c>
      <c r="OS48" s="476" t="s">
        <v>721</v>
      </c>
      <c r="OT48" s="476" t="s">
        <v>721</v>
      </c>
      <c r="OU48" s="476" t="s">
        <v>721</v>
      </c>
      <c r="OV48" s="476" t="s">
        <v>721</v>
      </c>
      <c r="OW48" s="476" t="s">
        <v>721</v>
      </c>
      <c r="OX48" s="476" t="s">
        <v>721</v>
      </c>
      <c r="OY48" s="476" t="s">
        <v>721</v>
      </c>
      <c r="OZ48" s="476" t="s">
        <v>721</v>
      </c>
      <c r="PA48" s="476" t="s">
        <v>721</v>
      </c>
      <c r="PB48" s="476" t="s">
        <v>721</v>
      </c>
      <c r="PC48" s="476" t="s">
        <v>721</v>
      </c>
      <c r="PD48" s="476" t="s">
        <v>721</v>
      </c>
      <c r="PE48" s="476" t="s">
        <v>721</v>
      </c>
      <c r="PF48" s="476">
        <v>1.0999999999999999E-2</v>
      </c>
      <c r="PG48" s="476" t="s">
        <v>721</v>
      </c>
      <c r="PH48" s="476" t="s">
        <v>721</v>
      </c>
      <c r="PI48" s="476" t="s">
        <v>721</v>
      </c>
      <c r="PJ48" s="476" t="s">
        <v>721</v>
      </c>
      <c r="PK48" s="476" t="s">
        <v>721</v>
      </c>
      <c r="PL48" s="476">
        <v>0.95599999999999996</v>
      </c>
      <c r="PM48" s="476">
        <v>1.7999999999999999E-2</v>
      </c>
      <c r="PN48" s="476" t="s">
        <v>721</v>
      </c>
      <c r="PO48" s="476" t="s">
        <v>721</v>
      </c>
      <c r="PP48" s="476" t="s">
        <v>721</v>
      </c>
      <c r="PQ48" s="476" t="s">
        <v>721</v>
      </c>
      <c r="PR48" s="476" t="s">
        <v>721</v>
      </c>
      <c r="PS48" s="476" t="s">
        <v>721</v>
      </c>
      <c r="PT48" s="476">
        <v>5.0000000000000001E-3</v>
      </c>
      <c r="PU48" s="476" t="s">
        <v>721</v>
      </c>
      <c r="PV48" s="476" t="s">
        <v>721</v>
      </c>
      <c r="PW48" s="476" t="s">
        <v>721</v>
      </c>
      <c r="PX48" s="476" t="s">
        <v>721</v>
      </c>
      <c r="PY48" s="476" t="s">
        <v>721</v>
      </c>
      <c r="PZ48" s="476" t="s">
        <v>721</v>
      </c>
      <c r="QA48" s="476" t="s">
        <v>721</v>
      </c>
      <c r="QB48" s="476" t="s">
        <v>721</v>
      </c>
      <c r="QC48" s="476" t="s">
        <v>721</v>
      </c>
      <c r="QD48" s="476" t="s">
        <v>721</v>
      </c>
      <c r="QE48" s="476" t="s">
        <v>721</v>
      </c>
      <c r="QF48" s="476" t="s">
        <v>721</v>
      </c>
      <c r="QG48" s="476" t="s">
        <v>721</v>
      </c>
      <c r="QH48" s="476" t="s">
        <v>721</v>
      </c>
      <c r="QI48" s="476" t="s">
        <v>721</v>
      </c>
      <c r="QJ48" s="476" t="s">
        <v>721</v>
      </c>
      <c r="QK48" s="476" t="s">
        <v>721</v>
      </c>
      <c r="QL48" s="476">
        <v>0.72199999999999998</v>
      </c>
      <c r="QM48" s="476" t="s">
        <v>721</v>
      </c>
      <c r="QN48" s="476" t="s">
        <v>721</v>
      </c>
      <c r="QO48" s="476" t="s">
        <v>721</v>
      </c>
      <c r="QP48" s="476" t="s">
        <v>721</v>
      </c>
      <c r="QQ48" s="476" t="s">
        <v>721</v>
      </c>
      <c r="QR48" s="476">
        <v>0.113</v>
      </c>
      <c r="QS48" s="476" t="s">
        <v>721</v>
      </c>
      <c r="QT48" s="476" t="s">
        <v>721</v>
      </c>
      <c r="QU48" s="476" t="s">
        <v>721</v>
      </c>
      <c r="QV48" s="476" t="s">
        <v>721</v>
      </c>
      <c r="QW48" s="476" t="s">
        <v>721</v>
      </c>
      <c r="QX48" s="476" t="s">
        <v>721</v>
      </c>
      <c r="QY48" s="476" t="s">
        <v>721</v>
      </c>
      <c r="QZ48" s="476" t="s">
        <v>721</v>
      </c>
      <c r="RA48" s="476" t="s">
        <v>721</v>
      </c>
      <c r="RB48" s="476" t="s">
        <v>721</v>
      </c>
      <c r="RC48" s="476" t="s">
        <v>721</v>
      </c>
      <c r="RD48" s="476" t="s">
        <v>721</v>
      </c>
      <c r="RE48" s="476">
        <v>0.64600000000000002</v>
      </c>
      <c r="RF48" s="476" t="s">
        <v>721</v>
      </c>
      <c r="RG48" s="476" t="s">
        <v>721</v>
      </c>
      <c r="RH48" s="476" t="s">
        <v>721</v>
      </c>
      <c r="RI48" s="476" t="s">
        <v>721</v>
      </c>
      <c r="RJ48" s="476" t="s">
        <v>721</v>
      </c>
      <c r="RK48" s="476" t="s">
        <v>721</v>
      </c>
      <c r="RL48" s="476" t="s">
        <v>721</v>
      </c>
      <c r="RM48" s="476" t="s">
        <v>721</v>
      </c>
      <c r="RN48" s="476" t="s">
        <v>721</v>
      </c>
      <c r="RO48" s="476" t="s">
        <v>721</v>
      </c>
      <c r="RP48" s="476" t="s">
        <v>721</v>
      </c>
      <c r="RQ48" s="476" t="s">
        <v>721</v>
      </c>
      <c r="RR48" s="476" t="s">
        <v>721</v>
      </c>
      <c r="RS48" s="476" t="s">
        <v>721</v>
      </c>
      <c r="RT48" s="476" t="s">
        <v>721</v>
      </c>
      <c r="RU48" s="476" t="s">
        <v>721</v>
      </c>
      <c r="RV48" s="476" t="s">
        <v>721</v>
      </c>
      <c r="RW48" s="476" t="s">
        <v>721</v>
      </c>
      <c r="RX48" s="476">
        <v>0.751</v>
      </c>
      <c r="RY48" s="476">
        <v>6.5000000000000002E-2</v>
      </c>
      <c r="RZ48" s="476">
        <v>2.7E-2</v>
      </c>
      <c r="SA48" s="476">
        <v>2.1000000000000001E-2</v>
      </c>
      <c r="SB48" s="476">
        <v>4.3999999999999997E-2</v>
      </c>
      <c r="SC48" s="476">
        <v>5.0000000000000001E-3</v>
      </c>
      <c r="SD48" s="476">
        <v>3.9E-2</v>
      </c>
      <c r="SE48" s="476" t="s">
        <v>721</v>
      </c>
      <c r="SF48" s="476">
        <v>3.0000000000000001E-3</v>
      </c>
      <c r="SG48" s="476">
        <v>0</v>
      </c>
      <c r="SH48" s="476">
        <v>1E-3</v>
      </c>
      <c r="SI48" s="476">
        <v>1E-3</v>
      </c>
      <c r="SJ48" s="476" t="s">
        <v>721</v>
      </c>
      <c r="SK48" s="476">
        <v>2E-3</v>
      </c>
      <c r="SL48" s="476">
        <v>1E-3</v>
      </c>
      <c r="SM48" s="476">
        <v>0</v>
      </c>
      <c r="SN48" s="476">
        <v>1.7000000000000001E-2</v>
      </c>
      <c r="SO48" s="476">
        <v>1E-3</v>
      </c>
      <c r="SP48" s="476">
        <v>2.3E-2</v>
      </c>
      <c r="SQ48" s="476">
        <v>0.73099999999999998</v>
      </c>
      <c r="SR48" s="476">
        <v>7.3999999999999996E-2</v>
      </c>
      <c r="SS48" s="476">
        <v>1.9E-2</v>
      </c>
      <c r="ST48" s="476">
        <v>1.7999999999999999E-2</v>
      </c>
      <c r="SU48" s="476">
        <v>5.5E-2</v>
      </c>
      <c r="SV48" s="476" t="s">
        <v>721</v>
      </c>
      <c r="SW48" s="476">
        <v>3.6999999999999998E-2</v>
      </c>
      <c r="SX48" s="476" t="s">
        <v>721</v>
      </c>
      <c r="SY48" s="476" t="s">
        <v>721</v>
      </c>
      <c r="SZ48" s="476" t="s">
        <v>721</v>
      </c>
      <c r="TA48" s="476" t="s">
        <v>721</v>
      </c>
      <c r="TB48" s="476" t="s">
        <v>721</v>
      </c>
      <c r="TC48" s="476" t="s">
        <v>721</v>
      </c>
      <c r="TD48" s="476" t="s">
        <v>721</v>
      </c>
      <c r="TE48" s="476" t="s">
        <v>721</v>
      </c>
      <c r="TF48" s="476" t="s">
        <v>721</v>
      </c>
      <c r="TG48" s="476" t="s">
        <v>721</v>
      </c>
      <c r="TH48" s="476" t="s">
        <v>721</v>
      </c>
      <c r="TI48" s="476">
        <v>4.2000000000000003E-2</v>
      </c>
      <c r="TJ48" s="476">
        <v>0.69699999999999995</v>
      </c>
      <c r="TK48" s="476">
        <v>0.111</v>
      </c>
      <c r="TL48" s="476">
        <v>4.3999999999999997E-2</v>
      </c>
      <c r="TM48" s="476">
        <v>2.9000000000000001E-2</v>
      </c>
      <c r="TN48" s="476">
        <v>3.4000000000000002E-2</v>
      </c>
      <c r="TO48" s="476" t="s">
        <v>721</v>
      </c>
      <c r="TP48" s="476">
        <v>3.6999999999999998E-2</v>
      </c>
      <c r="TQ48" s="476" t="s">
        <v>721</v>
      </c>
      <c r="TR48" s="476" t="s">
        <v>721</v>
      </c>
      <c r="TS48" s="476" t="s">
        <v>721</v>
      </c>
      <c r="TT48" s="476" t="s">
        <v>721</v>
      </c>
      <c r="TU48" s="476" t="s">
        <v>721</v>
      </c>
      <c r="TV48" s="476" t="s">
        <v>721</v>
      </c>
      <c r="TW48" s="476" t="s">
        <v>721</v>
      </c>
      <c r="TX48" s="476" t="s">
        <v>721</v>
      </c>
      <c r="TY48" s="476" t="s">
        <v>721</v>
      </c>
      <c r="TZ48" s="476">
        <v>2.1999999999999999E-2</v>
      </c>
      <c r="UA48" s="476" t="s">
        <v>721</v>
      </c>
      <c r="UB48" s="476" t="s">
        <v>721</v>
      </c>
      <c r="UC48" s="476">
        <v>0.77900000000000003</v>
      </c>
      <c r="UD48" s="476">
        <v>5.0999999999999997E-2</v>
      </c>
      <c r="UE48" s="476">
        <v>2.1000000000000001E-2</v>
      </c>
      <c r="UF48" s="476">
        <v>1.4999999999999999E-2</v>
      </c>
      <c r="UG48" s="476">
        <v>3.7999999999999999E-2</v>
      </c>
      <c r="UH48" s="476" t="s">
        <v>721</v>
      </c>
      <c r="UI48" s="476">
        <v>0.05</v>
      </c>
      <c r="UJ48" s="476" t="s">
        <v>721</v>
      </c>
      <c r="UK48" s="476" t="s">
        <v>721</v>
      </c>
      <c r="UL48" s="476" t="s">
        <v>721</v>
      </c>
      <c r="UM48" s="476" t="s">
        <v>721</v>
      </c>
      <c r="UN48" s="476" t="s">
        <v>721</v>
      </c>
      <c r="UO48" s="476" t="s">
        <v>721</v>
      </c>
      <c r="UP48" s="476" t="s">
        <v>721</v>
      </c>
      <c r="UQ48" s="476" t="s">
        <v>721</v>
      </c>
      <c r="UR48" s="476" t="s">
        <v>721</v>
      </c>
      <c r="US48" s="476">
        <v>1.2999999999999999E-2</v>
      </c>
      <c r="UT48" s="476" t="s">
        <v>721</v>
      </c>
      <c r="UU48" s="476">
        <v>2.1999999999999999E-2</v>
      </c>
      <c r="UV48" s="476">
        <v>0.72399999999999998</v>
      </c>
      <c r="UW48" s="476">
        <v>7.6999999999999999E-2</v>
      </c>
      <c r="UX48" s="476">
        <v>3.5000000000000003E-2</v>
      </c>
      <c r="UY48" s="476">
        <v>3.5000000000000003E-2</v>
      </c>
      <c r="UZ48" s="476">
        <v>4.1000000000000002E-2</v>
      </c>
      <c r="VA48" s="476" t="s">
        <v>721</v>
      </c>
      <c r="VB48" s="476">
        <v>3.2000000000000001E-2</v>
      </c>
      <c r="VC48" s="476" t="s">
        <v>721</v>
      </c>
      <c r="VD48" s="476" t="s">
        <v>721</v>
      </c>
      <c r="VE48" s="476" t="s">
        <v>721</v>
      </c>
      <c r="VF48" s="476" t="s">
        <v>721</v>
      </c>
      <c r="VG48" s="476" t="s">
        <v>721</v>
      </c>
      <c r="VH48" s="476" t="s">
        <v>721</v>
      </c>
      <c r="VI48" s="476" t="s">
        <v>721</v>
      </c>
      <c r="VJ48" s="476" t="s">
        <v>721</v>
      </c>
      <c r="VK48" s="476" t="s">
        <v>721</v>
      </c>
      <c r="VL48" s="476">
        <v>2.4E-2</v>
      </c>
      <c r="VM48" s="476" t="s">
        <v>721</v>
      </c>
      <c r="VN48" s="476">
        <v>1.2E-2</v>
      </c>
      <c r="VO48" s="28"/>
      <c r="VP48" s="28"/>
      <c r="VQ48" s="28"/>
      <c r="VR48" s="28"/>
      <c r="VS48" s="28"/>
      <c r="VT48" s="28"/>
      <c r="VU48" s="28"/>
      <c r="VV48" s="28"/>
      <c r="VW48" s="28"/>
      <c r="VX48" s="28"/>
      <c r="VY48" s="28"/>
      <c r="VZ48" s="28"/>
      <c r="WA48" s="28"/>
      <c r="WB48" s="28"/>
      <c r="WC48" s="28"/>
      <c r="WD48" s="28"/>
      <c r="WE48" s="28"/>
      <c r="WF48" s="28"/>
      <c r="WG48" s="28"/>
      <c r="WH48" s="28"/>
      <c r="WI48" s="28"/>
      <c r="WJ48" s="28"/>
      <c r="WK48" s="28"/>
      <c r="WL48" s="28"/>
      <c r="WM48" s="28"/>
      <c r="WN48" s="28"/>
      <c r="WO48" s="28"/>
      <c r="WP48" s="28"/>
      <c r="WQ48" s="28"/>
      <c r="WR48" s="28"/>
      <c r="WS48" s="28"/>
      <c r="WT48" s="28"/>
      <c r="WU48" s="28"/>
      <c r="WV48" s="28"/>
      <c r="WW48" s="28"/>
    </row>
    <row r="49" spans="1:621" s="151" customFormat="1" ht="15.75" customHeight="1" x14ac:dyDescent="0.35">
      <c r="A49" s="477" t="s">
        <v>53</v>
      </c>
      <c r="B49" s="492" t="s">
        <v>15</v>
      </c>
      <c r="C49" s="493">
        <v>16</v>
      </c>
      <c r="D49" s="494">
        <v>53</v>
      </c>
      <c r="E49" s="473">
        <v>5872.2</v>
      </c>
      <c r="F49" s="473">
        <v>110.8</v>
      </c>
      <c r="G49" s="474">
        <v>50</v>
      </c>
      <c r="H49" s="474">
        <v>48</v>
      </c>
      <c r="I49" s="474">
        <v>38</v>
      </c>
      <c r="J49" s="474">
        <v>30</v>
      </c>
      <c r="K49" s="474">
        <v>13</v>
      </c>
      <c r="L49" s="473">
        <v>1873.1</v>
      </c>
      <c r="M49" s="474">
        <v>39</v>
      </c>
      <c r="N49" s="473">
        <v>3999.1</v>
      </c>
      <c r="O49" s="494">
        <v>5</v>
      </c>
      <c r="P49" s="495">
        <v>967.1</v>
      </c>
      <c r="Q49" s="494">
        <v>2</v>
      </c>
      <c r="R49" s="495">
        <v>237.9</v>
      </c>
      <c r="S49" s="480">
        <v>11</v>
      </c>
      <c r="T49" s="481">
        <v>1034</v>
      </c>
      <c r="U49" s="480">
        <v>0</v>
      </c>
      <c r="V49" s="481">
        <v>0</v>
      </c>
      <c r="W49" s="480">
        <v>42</v>
      </c>
      <c r="X49" s="481">
        <v>4838.2</v>
      </c>
      <c r="Y49" s="494">
        <v>52</v>
      </c>
      <c r="Z49" s="494">
        <v>9</v>
      </c>
      <c r="AA49" s="494">
        <v>28</v>
      </c>
      <c r="AB49" s="494">
        <v>8</v>
      </c>
      <c r="AC49" s="494">
        <v>3</v>
      </c>
      <c r="AD49" s="494">
        <v>12</v>
      </c>
      <c r="AE49" s="494">
        <v>30</v>
      </c>
      <c r="AF49" s="495">
        <v>2333.1</v>
      </c>
      <c r="AG49" s="494">
        <v>22</v>
      </c>
      <c r="AH49" s="495">
        <v>3539.1</v>
      </c>
      <c r="AI49" s="494">
        <v>0</v>
      </c>
      <c r="AJ49" s="495">
        <v>0</v>
      </c>
      <c r="AK49" s="494">
        <v>0</v>
      </c>
      <c r="AL49" s="495">
        <v>0</v>
      </c>
      <c r="AM49" s="496">
        <v>31</v>
      </c>
      <c r="AN49" s="496">
        <v>22</v>
      </c>
      <c r="AO49" s="496">
        <v>47</v>
      </c>
      <c r="AP49" s="496" t="s">
        <v>721</v>
      </c>
      <c r="AQ49" s="496" t="s">
        <v>721</v>
      </c>
      <c r="AR49" s="496" t="s">
        <v>721</v>
      </c>
      <c r="AS49" s="496" t="s">
        <v>721</v>
      </c>
      <c r="AT49" s="496" t="s">
        <v>721</v>
      </c>
      <c r="AU49" s="496" t="s">
        <v>721</v>
      </c>
      <c r="AV49" s="496" t="s">
        <v>721</v>
      </c>
      <c r="AW49" s="496" t="s">
        <v>721</v>
      </c>
      <c r="AX49" s="496" t="s">
        <v>721</v>
      </c>
      <c r="AY49" s="496" t="s">
        <v>721</v>
      </c>
      <c r="AZ49" s="496" t="s">
        <v>721</v>
      </c>
      <c r="BA49" s="496" t="s">
        <v>721</v>
      </c>
      <c r="BB49" s="496" t="s">
        <v>721</v>
      </c>
      <c r="BC49" s="496" t="s">
        <v>721</v>
      </c>
      <c r="BD49" s="496" t="s">
        <v>721</v>
      </c>
      <c r="BE49" s="496" t="s">
        <v>721</v>
      </c>
      <c r="BF49" s="496" t="s">
        <v>721</v>
      </c>
      <c r="BG49" s="496" t="s">
        <v>721</v>
      </c>
      <c r="BH49" s="496" t="s">
        <v>721</v>
      </c>
      <c r="BI49" s="496" t="s">
        <v>721</v>
      </c>
      <c r="BJ49" s="496" t="s">
        <v>721</v>
      </c>
      <c r="BK49" s="496" t="s">
        <v>721</v>
      </c>
      <c r="BL49" s="496" t="s">
        <v>721</v>
      </c>
      <c r="BM49" s="496" t="s">
        <v>721</v>
      </c>
      <c r="BN49" s="496" t="s">
        <v>721</v>
      </c>
      <c r="BO49" s="496">
        <v>52</v>
      </c>
      <c r="BP49" s="496" t="s">
        <v>721</v>
      </c>
      <c r="BQ49" s="496" t="s">
        <v>721</v>
      </c>
      <c r="BR49" s="496" t="s">
        <v>721</v>
      </c>
      <c r="BS49" s="496" t="s">
        <v>721</v>
      </c>
      <c r="BT49" s="496" t="s">
        <v>721</v>
      </c>
      <c r="BU49" s="496" t="s">
        <v>721</v>
      </c>
      <c r="BV49" s="496" t="s">
        <v>721</v>
      </c>
      <c r="BW49" s="496" t="s">
        <v>721</v>
      </c>
      <c r="BX49" s="496" t="s">
        <v>721</v>
      </c>
      <c r="BY49" s="496" t="s">
        <v>721</v>
      </c>
      <c r="BZ49" s="496" t="s">
        <v>721</v>
      </c>
      <c r="CA49" s="496" t="s">
        <v>721</v>
      </c>
      <c r="CB49" s="496" t="s">
        <v>721</v>
      </c>
      <c r="CC49" s="496" t="s">
        <v>721</v>
      </c>
      <c r="CD49" s="496" t="s">
        <v>721</v>
      </c>
      <c r="CE49" s="496" t="s">
        <v>721</v>
      </c>
      <c r="CF49" s="496" t="s">
        <v>721</v>
      </c>
      <c r="CG49" s="496" t="s">
        <v>721</v>
      </c>
      <c r="CH49" s="496" t="s">
        <v>721</v>
      </c>
      <c r="CI49" s="496" t="s">
        <v>721</v>
      </c>
      <c r="CJ49" s="496" t="s">
        <v>721</v>
      </c>
      <c r="CK49" s="496" t="s">
        <v>721</v>
      </c>
      <c r="CL49" s="496" t="s">
        <v>721</v>
      </c>
      <c r="CM49" s="496" t="s">
        <v>721</v>
      </c>
      <c r="CN49" s="496" t="s">
        <v>721</v>
      </c>
      <c r="CO49" s="496" t="s">
        <v>721</v>
      </c>
      <c r="CP49" s="496" t="s">
        <v>721</v>
      </c>
      <c r="CQ49" s="496" t="s">
        <v>721</v>
      </c>
      <c r="CR49" s="496" t="s">
        <v>721</v>
      </c>
      <c r="CS49" s="496" t="s">
        <v>721</v>
      </c>
      <c r="CT49" s="496" t="s">
        <v>721</v>
      </c>
      <c r="CU49" s="496" t="s">
        <v>721</v>
      </c>
      <c r="CV49" s="496">
        <v>51</v>
      </c>
      <c r="CW49" s="496" t="s">
        <v>721</v>
      </c>
      <c r="CX49" s="496" t="s">
        <v>721</v>
      </c>
      <c r="CY49" s="496" t="s">
        <v>721</v>
      </c>
      <c r="CZ49" s="496" t="s">
        <v>721</v>
      </c>
      <c r="DA49" s="496" t="s">
        <v>721</v>
      </c>
      <c r="DB49" s="496" t="s">
        <v>721</v>
      </c>
      <c r="DC49" s="496" t="s">
        <v>721</v>
      </c>
      <c r="DD49" s="496" t="s">
        <v>721</v>
      </c>
      <c r="DE49" s="496" t="s">
        <v>721</v>
      </c>
      <c r="DF49" s="496" t="s">
        <v>721</v>
      </c>
      <c r="DG49" s="496" t="s">
        <v>721</v>
      </c>
      <c r="DH49" s="496" t="s">
        <v>721</v>
      </c>
      <c r="DI49" s="496" t="s">
        <v>721</v>
      </c>
      <c r="DJ49" s="496" t="s">
        <v>721</v>
      </c>
      <c r="DK49" s="496" t="s">
        <v>721</v>
      </c>
      <c r="DL49" s="496" t="s">
        <v>721</v>
      </c>
      <c r="DM49" s="496" t="s">
        <v>721</v>
      </c>
      <c r="DN49" s="496" t="s">
        <v>721</v>
      </c>
      <c r="DO49" s="496" t="s">
        <v>721</v>
      </c>
      <c r="DP49" s="496" t="s">
        <v>721</v>
      </c>
      <c r="DQ49" s="496" t="s">
        <v>721</v>
      </c>
      <c r="DR49" s="496" t="s">
        <v>721</v>
      </c>
      <c r="DS49" s="483" t="s">
        <v>721</v>
      </c>
      <c r="DT49" s="483" t="s">
        <v>721</v>
      </c>
      <c r="DU49" s="483" t="s">
        <v>721</v>
      </c>
      <c r="DV49" s="496" t="s">
        <v>721</v>
      </c>
      <c r="DW49" s="497">
        <v>590.5</v>
      </c>
      <c r="DX49" s="496" t="s">
        <v>721</v>
      </c>
      <c r="DY49" s="497">
        <v>1400</v>
      </c>
      <c r="DZ49" s="496">
        <v>11</v>
      </c>
      <c r="EA49" s="497">
        <v>1000.2</v>
      </c>
      <c r="EB49" s="496">
        <v>19</v>
      </c>
      <c r="EC49" s="497">
        <v>1766.3</v>
      </c>
      <c r="ED49" s="496" t="s">
        <v>721</v>
      </c>
      <c r="EE49" s="497">
        <v>874.7</v>
      </c>
      <c r="EF49" s="496" t="s">
        <v>721</v>
      </c>
      <c r="EG49" s="497">
        <v>240.5</v>
      </c>
      <c r="EH49" s="485">
        <v>45</v>
      </c>
      <c r="EI49" s="486">
        <v>227.5</v>
      </c>
      <c r="EJ49" s="485">
        <v>45</v>
      </c>
      <c r="EK49" s="486">
        <v>941.3</v>
      </c>
      <c r="EL49" s="485">
        <v>45</v>
      </c>
      <c r="EM49" s="486">
        <v>486.7</v>
      </c>
      <c r="EN49" s="485">
        <v>45</v>
      </c>
      <c r="EO49" s="486">
        <v>272.89999999999998</v>
      </c>
      <c r="EP49" s="485">
        <v>44</v>
      </c>
      <c r="EQ49" s="486">
        <v>218.2</v>
      </c>
      <c r="ER49" s="485">
        <v>44</v>
      </c>
      <c r="ES49" s="486">
        <v>98.9</v>
      </c>
      <c r="ET49" s="485">
        <v>0</v>
      </c>
      <c r="EU49" s="485">
        <v>27</v>
      </c>
      <c r="EV49" s="486">
        <v>444</v>
      </c>
      <c r="EW49" s="485">
        <v>18</v>
      </c>
      <c r="EX49" s="486">
        <v>73.5</v>
      </c>
      <c r="EY49" s="485">
        <v>13</v>
      </c>
      <c r="EZ49" s="486">
        <v>125.9</v>
      </c>
      <c r="FA49" s="485">
        <v>0</v>
      </c>
      <c r="FB49" s="486">
        <v>0</v>
      </c>
      <c r="FC49" s="485">
        <v>41</v>
      </c>
      <c r="FD49" s="486">
        <v>494.3</v>
      </c>
      <c r="FE49" s="485">
        <v>43</v>
      </c>
      <c r="FF49" s="486">
        <v>294.10000000000002</v>
      </c>
      <c r="FG49" s="485">
        <v>8</v>
      </c>
      <c r="FH49" s="486">
        <v>45.6</v>
      </c>
      <c r="FI49" s="485">
        <v>37</v>
      </c>
      <c r="FJ49" s="486">
        <v>205.2</v>
      </c>
      <c r="FK49" s="485">
        <v>27</v>
      </c>
      <c r="FL49" s="486">
        <v>76.900000000000006</v>
      </c>
      <c r="FM49" s="485">
        <v>2</v>
      </c>
      <c r="FN49" s="486">
        <v>3.2</v>
      </c>
      <c r="FO49" s="485">
        <v>49</v>
      </c>
      <c r="FP49" s="486">
        <v>390.7</v>
      </c>
      <c r="FQ49" s="485">
        <v>45</v>
      </c>
      <c r="FR49" s="486">
        <v>257</v>
      </c>
      <c r="FS49" s="485">
        <v>1</v>
      </c>
      <c r="FT49" s="486">
        <v>11.3</v>
      </c>
      <c r="FU49" s="485">
        <v>0</v>
      </c>
      <c r="FV49" s="486">
        <v>0</v>
      </c>
      <c r="FW49" s="485">
        <v>0</v>
      </c>
      <c r="FX49" s="486">
        <v>0</v>
      </c>
      <c r="FY49" s="485">
        <v>0</v>
      </c>
      <c r="FZ49" s="486">
        <v>0</v>
      </c>
      <c r="GA49" s="485">
        <v>0</v>
      </c>
      <c r="GB49" s="485">
        <v>0</v>
      </c>
      <c r="GC49" s="487">
        <v>0</v>
      </c>
      <c r="GD49" s="488">
        <v>0</v>
      </c>
      <c r="GE49" s="488">
        <v>0</v>
      </c>
      <c r="GF49" s="488">
        <v>1</v>
      </c>
      <c r="GG49" s="488">
        <v>0</v>
      </c>
      <c r="GH49" s="488">
        <v>0</v>
      </c>
      <c r="GI49" s="488">
        <v>0</v>
      </c>
      <c r="GJ49" s="488">
        <v>0</v>
      </c>
      <c r="GK49" s="488">
        <v>0</v>
      </c>
      <c r="GL49" s="488">
        <v>1</v>
      </c>
      <c r="GM49" s="488">
        <v>1</v>
      </c>
      <c r="GN49" s="488">
        <v>16</v>
      </c>
      <c r="GO49" s="488">
        <v>2</v>
      </c>
      <c r="GP49" s="488">
        <v>0</v>
      </c>
      <c r="GQ49" s="488">
        <v>0</v>
      </c>
      <c r="GR49" s="488">
        <v>1</v>
      </c>
      <c r="GS49" s="488">
        <v>1</v>
      </c>
      <c r="GT49" s="489">
        <v>36</v>
      </c>
      <c r="GU49" s="488">
        <v>0</v>
      </c>
      <c r="GV49" s="490">
        <v>0</v>
      </c>
      <c r="GW49" s="490">
        <v>0</v>
      </c>
      <c r="GX49" s="490">
        <v>0</v>
      </c>
      <c r="GY49" s="491">
        <v>0</v>
      </c>
      <c r="GZ49" s="491">
        <v>0</v>
      </c>
      <c r="HA49" s="491">
        <v>0</v>
      </c>
      <c r="HB49" s="475">
        <v>0</v>
      </c>
      <c r="HC49" s="475">
        <v>0</v>
      </c>
      <c r="HD49" s="475">
        <v>0</v>
      </c>
      <c r="HE49" s="475">
        <v>0</v>
      </c>
      <c r="HF49" s="475">
        <v>0</v>
      </c>
      <c r="HG49" s="475">
        <v>0</v>
      </c>
      <c r="HH49" s="475">
        <v>0</v>
      </c>
      <c r="HI49" s="475">
        <v>0</v>
      </c>
      <c r="HJ49" s="475">
        <v>0</v>
      </c>
      <c r="HK49" s="475">
        <v>0</v>
      </c>
      <c r="HL49" s="475">
        <v>0</v>
      </c>
      <c r="HM49" s="475">
        <v>0</v>
      </c>
      <c r="HN49" s="475">
        <v>0</v>
      </c>
      <c r="HO49" s="475">
        <v>0</v>
      </c>
      <c r="HP49" s="475">
        <v>0</v>
      </c>
      <c r="HQ49" s="475">
        <v>0</v>
      </c>
      <c r="HR49" s="475">
        <v>0</v>
      </c>
      <c r="HS49" s="475">
        <v>0</v>
      </c>
      <c r="HT49" s="475">
        <v>0</v>
      </c>
      <c r="HU49" s="475">
        <v>0</v>
      </c>
      <c r="HV49" s="475">
        <v>0</v>
      </c>
      <c r="HW49" s="475">
        <v>0</v>
      </c>
      <c r="HX49" s="475">
        <v>0</v>
      </c>
      <c r="HY49" s="475">
        <v>0</v>
      </c>
      <c r="HZ49" s="475" t="s">
        <v>721</v>
      </c>
      <c r="IA49" s="475" t="s">
        <v>721</v>
      </c>
      <c r="IB49" s="475" t="s">
        <v>721</v>
      </c>
      <c r="IC49" s="475" t="s">
        <v>721</v>
      </c>
      <c r="ID49" s="475" t="s">
        <v>721</v>
      </c>
      <c r="IE49" s="475" t="s">
        <v>721</v>
      </c>
      <c r="IF49" s="475" t="s">
        <v>721</v>
      </c>
      <c r="IG49" s="475" t="s">
        <v>721</v>
      </c>
      <c r="IH49" s="475" t="s">
        <v>721</v>
      </c>
      <c r="II49" s="475" t="s">
        <v>721</v>
      </c>
      <c r="IJ49" s="475" t="s">
        <v>721</v>
      </c>
      <c r="IK49" s="475" t="s">
        <v>721</v>
      </c>
      <c r="IL49" s="475" t="s">
        <v>721</v>
      </c>
      <c r="IM49" s="475" t="s">
        <v>721</v>
      </c>
      <c r="IN49" s="475" t="s">
        <v>721</v>
      </c>
      <c r="IO49" s="475" t="s">
        <v>721</v>
      </c>
      <c r="IP49" s="475" t="s">
        <v>721</v>
      </c>
      <c r="IQ49" s="475" t="s">
        <v>721</v>
      </c>
      <c r="IR49" s="475" t="s">
        <v>721</v>
      </c>
      <c r="IS49" s="475" t="s">
        <v>721</v>
      </c>
      <c r="IT49" s="475" t="s">
        <v>721</v>
      </c>
      <c r="IU49" s="475" t="s">
        <v>721</v>
      </c>
      <c r="IV49" s="475" t="s">
        <v>721</v>
      </c>
      <c r="IW49" s="475" t="s">
        <v>721</v>
      </c>
      <c r="IX49" s="475" t="s">
        <v>721</v>
      </c>
      <c r="IY49" s="475" t="s">
        <v>721</v>
      </c>
      <c r="IZ49" s="475" t="s">
        <v>721</v>
      </c>
      <c r="JA49" s="475" t="s">
        <v>721</v>
      </c>
      <c r="JB49" s="475" t="s">
        <v>721</v>
      </c>
      <c r="JC49" s="475" t="s">
        <v>721</v>
      </c>
      <c r="JD49" s="475" t="s">
        <v>721</v>
      </c>
      <c r="JE49" s="475" t="s">
        <v>721</v>
      </c>
      <c r="JF49" s="475" t="s">
        <v>721</v>
      </c>
      <c r="JG49" s="475" t="s">
        <v>721</v>
      </c>
      <c r="JH49" s="475" t="s">
        <v>721</v>
      </c>
      <c r="JI49" s="475" t="s">
        <v>721</v>
      </c>
      <c r="JJ49" s="475" t="s">
        <v>721</v>
      </c>
      <c r="JK49" s="475" t="s">
        <v>721</v>
      </c>
      <c r="JL49" s="755">
        <v>5031.6000000000004</v>
      </c>
      <c r="JM49" s="755">
        <v>258.3</v>
      </c>
      <c r="JN49" s="755">
        <v>123.1</v>
      </c>
      <c r="JO49" s="755" t="s">
        <v>721</v>
      </c>
      <c r="JP49" s="755" t="s">
        <v>721</v>
      </c>
      <c r="JQ49" s="755">
        <v>261.39999999999998</v>
      </c>
      <c r="JR49" s="755">
        <v>197.8</v>
      </c>
      <c r="JS49" s="755" t="s">
        <v>721</v>
      </c>
      <c r="JT49" s="755" t="s">
        <v>721</v>
      </c>
      <c r="JU49" s="755" t="s">
        <v>721</v>
      </c>
      <c r="JV49" s="755" t="s">
        <v>721</v>
      </c>
      <c r="JW49" s="755" t="s">
        <v>721</v>
      </c>
      <c r="JX49" s="755" t="s">
        <v>721</v>
      </c>
      <c r="JY49" s="755" t="s">
        <v>721</v>
      </c>
      <c r="JZ49" s="755" t="s">
        <v>721</v>
      </c>
      <c r="KA49" s="755" t="s">
        <v>721</v>
      </c>
      <c r="KB49" s="755" t="s">
        <v>721</v>
      </c>
      <c r="KC49" s="755" t="s">
        <v>721</v>
      </c>
      <c r="KD49" s="755" t="s">
        <v>721</v>
      </c>
      <c r="KE49" s="475" t="s">
        <v>721</v>
      </c>
      <c r="KF49" s="475" t="s">
        <v>721</v>
      </c>
      <c r="KG49" s="475" t="s">
        <v>721</v>
      </c>
      <c r="KH49" s="475" t="s">
        <v>721</v>
      </c>
      <c r="KI49" s="475" t="s">
        <v>721</v>
      </c>
      <c r="KJ49" s="475" t="s">
        <v>721</v>
      </c>
      <c r="KK49" s="475" t="s">
        <v>721</v>
      </c>
      <c r="KL49" s="475" t="s">
        <v>721</v>
      </c>
      <c r="KM49" s="475" t="s">
        <v>721</v>
      </c>
      <c r="KN49" s="475" t="s">
        <v>721</v>
      </c>
      <c r="KO49" s="475" t="s">
        <v>721</v>
      </c>
      <c r="KP49" s="475" t="s">
        <v>721</v>
      </c>
      <c r="KQ49" s="475" t="s">
        <v>721</v>
      </c>
      <c r="KR49" s="475" t="s">
        <v>721</v>
      </c>
      <c r="KS49" s="475" t="s">
        <v>721</v>
      </c>
      <c r="KT49" s="475" t="s">
        <v>721</v>
      </c>
      <c r="KU49" s="475" t="s">
        <v>721</v>
      </c>
      <c r="KV49" s="475" t="s">
        <v>721</v>
      </c>
      <c r="KW49" s="475" t="s">
        <v>721</v>
      </c>
      <c r="KX49" s="475" t="s">
        <v>721</v>
      </c>
      <c r="KY49" s="475" t="s">
        <v>721</v>
      </c>
      <c r="KZ49" s="475" t="s">
        <v>721</v>
      </c>
      <c r="LA49" s="475" t="s">
        <v>721</v>
      </c>
      <c r="LB49" s="475" t="s">
        <v>721</v>
      </c>
      <c r="LC49" s="475" t="s">
        <v>721</v>
      </c>
      <c r="LD49" s="475" t="s">
        <v>721</v>
      </c>
      <c r="LE49" s="475" t="s">
        <v>721</v>
      </c>
      <c r="LF49" s="475" t="s">
        <v>721</v>
      </c>
      <c r="LG49" s="475" t="s">
        <v>721</v>
      </c>
      <c r="LH49" s="475" t="s">
        <v>721</v>
      </c>
      <c r="LI49" s="475" t="s">
        <v>721</v>
      </c>
      <c r="LJ49" s="475" t="s">
        <v>721</v>
      </c>
      <c r="LK49" s="475" t="s">
        <v>721</v>
      </c>
      <c r="LL49" s="475" t="s">
        <v>721</v>
      </c>
      <c r="LM49" s="475" t="s">
        <v>721</v>
      </c>
      <c r="LN49" s="475" t="s">
        <v>721</v>
      </c>
      <c r="LO49" s="475" t="s">
        <v>721</v>
      </c>
      <c r="LP49" s="475" t="s">
        <v>721</v>
      </c>
      <c r="LQ49" s="475">
        <v>34</v>
      </c>
      <c r="LR49" s="475" t="s">
        <v>721</v>
      </c>
      <c r="LS49" s="475" t="s">
        <v>721</v>
      </c>
      <c r="LT49" s="475" t="s">
        <v>721</v>
      </c>
      <c r="LU49" s="475" t="s">
        <v>721</v>
      </c>
      <c r="LV49" s="475" t="s">
        <v>721</v>
      </c>
      <c r="LW49" s="475" t="s">
        <v>721</v>
      </c>
      <c r="LX49" s="475" t="s">
        <v>721</v>
      </c>
      <c r="LY49" s="475" t="s">
        <v>721</v>
      </c>
      <c r="LZ49" s="475" t="s">
        <v>721</v>
      </c>
      <c r="MA49" s="475" t="s">
        <v>721</v>
      </c>
      <c r="MB49" s="475" t="s">
        <v>721</v>
      </c>
      <c r="MC49" s="475" t="s">
        <v>721</v>
      </c>
      <c r="MD49" s="475" t="s">
        <v>721</v>
      </c>
      <c r="ME49" s="475" t="s">
        <v>721</v>
      </c>
      <c r="MF49" s="475" t="s">
        <v>721</v>
      </c>
      <c r="MG49" s="475" t="s">
        <v>721</v>
      </c>
      <c r="MH49" s="475" t="s">
        <v>721</v>
      </c>
      <c r="MI49" s="475" t="s">
        <v>721</v>
      </c>
      <c r="MJ49" s="475">
        <v>12</v>
      </c>
      <c r="MK49" s="475" t="s">
        <v>721</v>
      </c>
      <c r="ML49" s="475" t="s">
        <v>721</v>
      </c>
      <c r="MM49" s="475" t="s">
        <v>721</v>
      </c>
      <c r="MN49" s="475" t="s">
        <v>721</v>
      </c>
      <c r="MO49" s="475" t="s">
        <v>721</v>
      </c>
      <c r="MP49" s="475" t="s">
        <v>721</v>
      </c>
      <c r="MQ49" s="475" t="s">
        <v>721</v>
      </c>
      <c r="MR49" s="475" t="s">
        <v>721</v>
      </c>
      <c r="MS49" s="475" t="s">
        <v>721</v>
      </c>
      <c r="MT49" s="475" t="s">
        <v>721</v>
      </c>
      <c r="MU49" s="475" t="s">
        <v>721</v>
      </c>
      <c r="MV49" s="475" t="s">
        <v>721</v>
      </c>
      <c r="MW49" s="475" t="s">
        <v>721</v>
      </c>
      <c r="MX49" s="475" t="s">
        <v>721</v>
      </c>
      <c r="MY49" s="475" t="s">
        <v>721</v>
      </c>
      <c r="MZ49" s="475" t="s">
        <v>721</v>
      </c>
      <c r="NA49" s="475" t="s">
        <v>721</v>
      </c>
      <c r="NB49" s="475" t="s">
        <v>721</v>
      </c>
      <c r="NC49" s="476">
        <v>0.58499999999999996</v>
      </c>
      <c r="ND49" s="476">
        <v>0.41499999999999998</v>
      </c>
      <c r="NE49" s="476">
        <v>0.88700000000000001</v>
      </c>
      <c r="NF49" s="476" t="s">
        <v>721</v>
      </c>
      <c r="NG49" s="476" t="s">
        <v>721</v>
      </c>
      <c r="NH49" s="476" t="s">
        <v>721</v>
      </c>
      <c r="NI49" s="476" t="s">
        <v>721</v>
      </c>
      <c r="NJ49" s="476" t="s">
        <v>721</v>
      </c>
      <c r="NK49" s="476" t="s">
        <v>721</v>
      </c>
      <c r="NL49" s="476" t="s">
        <v>721</v>
      </c>
      <c r="NM49" s="476" t="s">
        <v>721</v>
      </c>
      <c r="NN49" s="476" t="s">
        <v>721</v>
      </c>
      <c r="NO49" s="476" t="s">
        <v>721</v>
      </c>
      <c r="NP49" s="476" t="s">
        <v>721</v>
      </c>
      <c r="NQ49" s="476" t="s">
        <v>721</v>
      </c>
      <c r="NR49" s="476" t="s">
        <v>721</v>
      </c>
      <c r="NS49" s="476" t="s">
        <v>721</v>
      </c>
      <c r="NT49" s="476" t="s">
        <v>721</v>
      </c>
      <c r="NU49" s="476" t="s">
        <v>721</v>
      </c>
      <c r="NV49" s="476" t="s">
        <v>721</v>
      </c>
      <c r="NW49" s="476" t="s">
        <v>721</v>
      </c>
      <c r="NX49" s="476" t="s">
        <v>721</v>
      </c>
      <c r="NY49" s="476" t="s">
        <v>721</v>
      </c>
      <c r="NZ49" s="476" t="s">
        <v>721</v>
      </c>
      <c r="OA49" s="476" t="s">
        <v>721</v>
      </c>
      <c r="OB49" s="476" t="s">
        <v>721</v>
      </c>
      <c r="OC49" s="476" t="s">
        <v>721</v>
      </c>
      <c r="OD49" s="476" t="s">
        <v>721</v>
      </c>
      <c r="OE49" s="476">
        <v>0.98099999999999998</v>
      </c>
      <c r="OF49" s="476" t="s">
        <v>721</v>
      </c>
      <c r="OG49" s="476" t="s">
        <v>721</v>
      </c>
      <c r="OH49" s="476" t="s">
        <v>721</v>
      </c>
      <c r="OI49" s="476" t="s">
        <v>721</v>
      </c>
      <c r="OJ49" s="476" t="s">
        <v>721</v>
      </c>
      <c r="OK49" s="476" t="s">
        <v>721</v>
      </c>
      <c r="OL49" s="476" t="s">
        <v>721</v>
      </c>
      <c r="OM49" s="476" t="s">
        <v>721</v>
      </c>
      <c r="ON49" s="476" t="s">
        <v>721</v>
      </c>
      <c r="OO49" s="476" t="s">
        <v>721</v>
      </c>
      <c r="OP49" s="476" t="s">
        <v>721</v>
      </c>
      <c r="OQ49" s="476" t="s">
        <v>721</v>
      </c>
      <c r="OR49" s="476" t="s">
        <v>721</v>
      </c>
      <c r="OS49" s="476" t="s">
        <v>721</v>
      </c>
      <c r="OT49" s="476" t="s">
        <v>721</v>
      </c>
      <c r="OU49" s="476" t="s">
        <v>721</v>
      </c>
      <c r="OV49" s="476" t="s">
        <v>721</v>
      </c>
      <c r="OW49" s="476" t="s">
        <v>721</v>
      </c>
      <c r="OX49" s="476" t="s">
        <v>721</v>
      </c>
      <c r="OY49" s="476" t="s">
        <v>721</v>
      </c>
      <c r="OZ49" s="476" t="s">
        <v>721</v>
      </c>
      <c r="PA49" s="476" t="s">
        <v>721</v>
      </c>
      <c r="PB49" s="476" t="s">
        <v>721</v>
      </c>
      <c r="PC49" s="476" t="s">
        <v>721</v>
      </c>
      <c r="PD49" s="476" t="s">
        <v>721</v>
      </c>
      <c r="PE49" s="476" t="s">
        <v>721</v>
      </c>
      <c r="PF49" s="476" t="s">
        <v>721</v>
      </c>
      <c r="PG49" s="476" t="s">
        <v>721</v>
      </c>
      <c r="PH49" s="476" t="s">
        <v>721</v>
      </c>
      <c r="PI49" s="476" t="s">
        <v>721</v>
      </c>
      <c r="PJ49" s="476" t="s">
        <v>721</v>
      </c>
      <c r="PK49" s="476" t="s">
        <v>721</v>
      </c>
      <c r="PL49" s="476">
        <v>0.98099999999999998</v>
      </c>
      <c r="PM49" s="476" t="s">
        <v>721</v>
      </c>
      <c r="PN49" s="476" t="s">
        <v>721</v>
      </c>
      <c r="PO49" s="476" t="s">
        <v>721</v>
      </c>
      <c r="PP49" s="476" t="s">
        <v>721</v>
      </c>
      <c r="PQ49" s="476" t="s">
        <v>721</v>
      </c>
      <c r="PR49" s="476" t="s">
        <v>721</v>
      </c>
      <c r="PS49" s="476" t="s">
        <v>721</v>
      </c>
      <c r="PT49" s="476" t="s">
        <v>721</v>
      </c>
      <c r="PU49" s="476" t="s">
        <v>721</v>
      </c>
      <c r="PV49" s="476" t="s">
        <v>721</v>
      </c>
      <c r="PW49" s="476" t="s">
        <v>721</v>
      </c>
      <c r="PX49" s="476" t="s">
        <v>721</v>
      </c>
      <c r="PY49" s="476" t="s">
        <v>721</v>
      </c>
      <c r="PZ49" s="476" t="s">
        <v>721</v>
      </c>
      <c r="QA49" s="476" t="s">
        <v>721</v>
      </c>
      <c r="QB49" s="476" t="s">
        <v>721</v>
      </c>
      <c r="QC49" s="476" t="s">
        <v>721</v>
      </c>
      <c r="QD49" s="476" t="s">
        <v>721</v>
      </c>
      <c r="QE49" s="476" t="s">
        <v>721</v>
      </c>
      <c r="QF49" s="476" t="s">
        <v>721</v>
      </c>
      <c r="QG49" s="476" t="s">
        <v>721</v>
      </c>
      <c r="QH49" s="476" t="s">
        <v>721</v>
      </c>
      <c r="QI49" s="476" t="s">
        <v>721</v>
      </c>
      <c r="QJ49" s="476" t="s">
        <v>721</v>
      </c>
      <c r="QK49" s="476" t="s">
        <v>721</v>
      </c>
      <c r="QL49" s="476" t="s">
        <v>721</v>
      </c>
      <c r="QM49" s="476" t="s">
        <v>721</v>
      </c>
      <c r="QN49" s="476" t="s">
        <v>721</v>
      </c>
      <c r="QO49" s="476" t="s">
        <v>721</v>
      </c>
      <c r="QP49" s="476" t="s">
        <v>721</v>
      </c>
      <c r="QQ49" s="476" t="s">
        <v>721</v>
      </c>
      <c r="QR49" s="476" t="s">
        <v>721</v>
      </c>
      <c r="QS49" s="476" t="s">
        <v>721</v>
      </c>
      <c r="QT49" s="476" t="s">
        <v>721</v>
      </c>
      <c r="QU49" s="476" t="s">
        <v>721</v>
      </c>
      <c r="QV49" s="476" t="s">
        <v>721</v>
      </c>
      <c r="QW49" s="476" t="s">
        <v>721</v>
      </c>
      <c r="QX49" s="476" t="s">
        <v>721</v>
      </c>
      <c r="QY49" s="476" t="s">
        <v>721</v>
      </c>
      <c r="QZ49" s="476" t="s">
        <v>721</v>
      </c>
      <c r="RA49" s="476" t="s">
        <v>721</v>
      </c>
      <c r="RB49" s="476" t="s">
        <v>721</v>
      </c>
      <c r="RC49" s="476" t="s">
        <v>721</v>
      </c>
      <c r="RD49" s="476" t="s">
        <v>721</v>
      </c>
      <c r="RE49" s="476" t="s">
        <v>721</v>
      </c>
      <c r="RF49" s="476" t="s">
        <v>721</v>
      </c>
      <c r="RG49" s="476" t="s">
        <v>721</v>
      </c>
      <c r="RH49" s="476" t="s">
        <v>721</v>
      </c>
      <c r="RI49" s="476" t="s">
        <v>721</v>
      </c>
      <c r="RJ49" s="476" t="s">
        <v>721</v>
      </c>
      <c r="RK49" s="476" t="s">
        <v>721</v>
      </c>
      <c r="RL49" s="476" t="s">
        <v>721</v>
      </c>
      <c r="RM49" s="476" t="s">
        <v>721</v>
      </c>
      <c r="RN49" s="476" t="s">
        <v>721</v>
      </c>
      <c r="RO49" s="476" t="s">
        <v>721</v>
      </c>
      <c r="RP49" s="476" t="s">
        <v>721</v>
      </c>
      <c r="RQ49" s="476" t="s">
        <v>721</v>
      </c>
      <c r="RR49" s="476" t="s">
        <v>721</v>
      </c>
      <c r="RS49" s="476" t="s">
        <v>721</v>
      </c>
      <c r="RT49" s="476" t="s">
        <v>721</v>
      </c>
      <c r="RU49" s="476" t="s">
        <v>721</v>
      </c>
      <c r="RV49" s="476" t="s">
        <v>721</v>
      </c>
      <c r="RW49" s="476" t="s">
        <v>721</v>
      </c>
      <c r="RX49" s="476">
        <v>0.85699999999999998</v>
      </c>
      <c r="RY49" s="476">
        <v>4.3999999999999997E-2</v>
      </c>
      <c r="RZ49" s="476">
        <v>2.1000000000000001E-2</v>
      </c>
      <c r="SA49" s="476" t="s">
        <v>721</v>
      </c>
      <c r="SB49" s="476" t="s">
        <v>721</v>
      </c>
      <c r="SC49" s="476">
        <v>4.4999999999999998E-2</v>
      </c>
      <c r="SD49" s="476">
        <v>3.4000000000000002E-2</v>
      </c>
      <c r="SE49" s="476" t="s">
        <v>721</v>
      </c>
      <c r="SF49" s="476" t="s">
        <v>721</v>
      </c>
      <c r="SG49" s="476" t="s">
        <v>721</v>
      </c>
      <c r="SH49" s="476" t="s">
        <v>721</v>
      </c>
      <c r="SI49" s="476" t="s">
        <v>721</v>
      </c>
      <c r="SJ49" s="476" t="s">
        <v>721</v>
      </c>
      <c r="SK49" s="476" t="s">
        <v>721</v>
      </c>
      <c r="SL49" s="476" t="s">
        <v>721</v>
      </c>
      <c r="SM49" s="476" t="s">
        <v>721</v>
      </c>
      <c r="SN49" s="476" t="s">
        <v>721</v>
      </c>
      <c r="SO49" s="476" t="s">
        <v>721</v>
      </c>
      <c r="SP49" s="476" t="s">
        <v>721</v>
      </c>
      <c r="SQ49" s="476" t="s">
        <v>721</v>
      </c>
      <c r="SR49" s="476" t="s">
        <v>721</v>
      </c>
      <c r="SS49" s="476" t="s">
        <v>721</v>
      </c>
      <c r="ST49" s="476" t="s">
        <v>721</v>
      </c>
      <c r="SU49" s="476" t="s">
        <v>721</v>
      </c>
      <c r="SV49" s="476" t="s">
        <v>721</v>
      </c>
      <c r="SW49" s="476" t="s">
        <v>721</v>
      </c>
      <c r="SX49" s="476" t="s">
        <v>721</v>
      </c>
      <c r="SY49" s="476" t="s">
        <v>721</v>
      </c>
      <c r="SZ49" s="476" t="s">
        <v>721</v>
      </c>
      <c r="TA49" s="476" t="s">
        <v>721</v>
      </c>
      <c r="TB49" s="476" t="s">
        <v>721</v>
      </c>
      <c r="TC49" s="476" t="s">
        <v>721</v>
      </c>
      <c r="TD49" s="476" t="s">
        <v>721</v>
      </c>
      <c r="TE49" s="476" t="s">
        <v>721</v>
      </c>
      <c r="TF49" s="476" t="s">
        <v>721</v>
      </c>
      <c r="TG49" s="476" t="s">
        <v>721</v>
      </c>
      <c r="TH49" s="476" t="s">
        <v>721</v>
      </c>
      <c r="TI49" s="476" t="s">
        <v>721</v>
      </c>
      <c r="TJ49" s="476" t="s">
        <v>721</v>
      </c>
      <c r="TK49" s="476" t="s">
        <v>721</v>
      </c>
      <c r="TL49" s="476" t="s">
        <v>721</v>
      </c>
      <c r="TM49" s="476" t="s">
        <v>721</v>
      </c>
      <c r="TN49" s="476" t="s">
        <v>721</v>
      </c>
      <c r="TO49" s="476" t="s">
        <v>721</v>
      </c>
      <c r="TP49" s="476" t="s">
        <v>721</v>
      </c>
      <c r="TQ49" s="476" t="s">
        <v>721</v>
      </c>
      <c r="TR49" s="476" t="s">
        <v>721</v>
      </c>
      <c r="TS49" s="476" t="s">
        <v>721</v>
      </c>
      <c r="TT49" s="476" t="s">
        <v>721</v>
      </c>
      <c r="TU49" s="476" t="s">
        <v>721</v>
      </c>
      <c r="TV49" s="476" t="s">
        <v>721</v>
      </c>
      <c r="TW49" s="476" t="s">
        <v>721</v>
      </c>
      <c r="TX49" s="476" t="s">
        <v>721</v>
      </c>
      <c r="TY49" s="476" t="s">
        <v>721</v>
      </c>
      <c r="TZ49" s="476" t="s">
        <v>721</v>
      </c>
      <c r="UA49" s="476" t="s">
        <v>721</v>
      </c>
      <c r="UB49" s="476" t="s">
        <v>721</v>
      </c>
      <c r="UC49" s="476">
        <v>0.872</v>
      </c>
      <c r="UD49" s="476" t="s">
        <v>721</v>
      </c>
      <c r="UE49" s="476" t="s">
        <v>721</v>
      </c>
      <c r="UF49" s="476" t="s">
        <v>721</v>
      </c>
      <c r="UG49" s="476" t="s">
        <v>721</v>
      </c>
      <c r="UH49" s="476" t="s">
        <v>721</v>
      </c>
      <c r="UI49" s="476" t="s">
        <v>721</v>
      </c>
      <c r="UJ49" s="476" t="s">
        <v>721</v>
      </c>
      <c r="UK49" s="476" t="s">
        <v>721</v>
      </c>
      <c r="UL49" s="476" t="s">
        <v>721</v>
      </c>
      <c r="UM49" s="476" t="s">
        <v>721</v>
      </c>
      <c r="UN49" s="476" t="s">
        <v>721</v>
      </c>
      <c r="UO49" s="476" t="s">
        <v>721</v>
      </c>
      <c r="UP49" s="476" t="s">
        <v>721</v>
      </c>
      <c r="UQ49" s="476" t="s">
        <v>721</v>
      </c>
      <c r="UR49" s="476" t="s">
        <v>721</v>
      </c>
      <c r="US49" s="476" t="s">
        <v>721</v>
      </c>
      <c r="UT49" s="476" t="s">
        <v>721</v>
      </c>
      <c r="UU49" s="476" t="s">
        <v>721</v>
      </c>
      <c r="UV49" s="476">
        <v>0.92300000000000004</v>
      </c>
      <c r="UW49" s="476" t="s">
        <v>721</v>
      </c>
      <c r="UX49" s="476" t="s">
        <v>721</v>
      </c>
      <c r="UY49" s="476" t="s">
        <v>721</v>
      </c>
      <c r="UZ49" s="476" t="s">
        <v>721</v>
      </c>
      <c r="VA49" s="476" t="s">
        <v>721</v>
      </c>
      <c r="VB49" s="476" t="s">
        <v>721</v>
      </c>
      <c r="VC49" s="476" t="s">
        <v>721</v>
      </c>
      <c r="VD49" s="476" t="s">
        <v>721</v>
      </c>
      <c r="VE49" s="476" t="s">
        <v>721</v>
      </c>
      <c r="VF49" s="476" t="s">
        <v>721</v>
      </c>
      <c r="VG49" s="476" t="s">
        <v>721</v>
      </c>
      <c r="VH49" s="476" t="s">
        <v>721</v>
      </c>
      <c r="VI49" s="476" t="s">
        <v>721</v>
      </c>
      <c r="VJ49" s="476" t="s">
        <v>721</v>
      </c>
      <c r="VK49" s="476" t="s">
        <v>721</v>
      </c>
      <c r="VL49" s="476" t="s">
        <v>721</v>
      </c>
      <c r="VM49" s="476" t="s">
        <v>721</v>
      </c>
      <c r="VN49" s="476" t="s">
        <v>721</v>
      </c>
      <c r="VO49" s="28"/>
      <c r="VP49" s="28"/>
      <c r="VQ49" s="28"/>
      <c r="VR49" s="28"/>
      <c r="VS49" s="28"/>
      <c r="VT49" s="28"/>
      <c r="VU49" s="28"/>
      <c r="VV49" s="28"/>
      <c r="VW49" s="28"/>
      <c r="VX49" s="28"/>
      <c r="VY49" s="28"/>
      <c r="VZ49" s="28"/>
      <c r="WA49" s="28"/>
      <c r="WB49" s="28"/>
      <c r="WC49" s="28"/>
      <c r="WD49" s="28"/>
      <c r="WE49" s="28"/>
      <c r="WF49" s="28"/>
      <c r="WG49" s="28"/>
      <c r="WH49" s="28"/>
      <c r="WI49" s="28"/>
      <c r="WJ49" s="28"/>
      <c r="WK49" s="28"/>
      <c r="WL49" s="28"/>
      <c r="WM49" s="28"/>
      <c r="WN49" s="28"/>
      <c r="WO49" s="28"/>
      <c r="WP49" s="28"/>
      <c r="WQ49" s="28"/>
      <c r="WR49" s="28"/>
      <c r="WS49" s="28"/>
      <c r="WT49" s="28"/>
      <c r="WU49" s="28"/>
      <c r="WV49" s="28"/>
      <c r="WW49" s="28"/>
    </row>
    <row r="50" spans="1:621" s="151" customFormat="1" ht="15.75" customHeight="1" x14ac:dyDescent="0.35">
      <c r="A50" s="477" t="s">
        <v>54</v>
      </c>
      <c r="B50" s="492" t="s">
        <v>15</v>
      </c>
      <c r="C50" s="493">
        <v>15.5</v>
      </c>
      <c r="D50" s="494">
        <v>607</v>
      </c>
      <c r="E50" s="473">
        <v>56368</v>
      </c>
      <c r="F50" s="473">
        <v>92.9</v>
      </c>
      <c r="G50" s="474">
        <v>602</v>
      </c>
      <c r="H50" s="474">
        <v>504</v>
      </c>
      <c r="I50" s="474">
        <v>476</v>
      </c>
      <c r="J50" s="474">
        <v>318</v>
      </c>
      <c r="K50" s="474">
        <v>81</v>
      </c>
      <c r="L50" s="473">
        <v>15257.8</v>
      </c>
      <c r="M50" s="474">
        <v>522</v>
      </c>
      <c r="N50" s="473">
        <v>41110.199999999997</v>
      </c>
      <c r="O50" s="494">
        <v>93</v>
      </c>
      <c r="P50" s="495">
        <v>17565.2</v>
      </c>
      <c r="Q50" s="494">
        <v>55</v>
      </c>
      <c r="R50" s="495">
        <v>2872.8</v>
      </c>
      <c r="S50" s="494">
        <v>161</v>
      </c>
      <c r="T50" s="495">
        <v>10374.299999999999</v>
      </c>
      <c r="U50" s="494">
        <v>7</v>
      </c>
      <c r="V50" s="495">
        <v>526.5</v>
      </c>
      <c r="W50" s="494">
        <v>439</v>
      </c>
      <c r="X50" s="495">
        <v>45467.199999999997</v>
      </c>
      <c r="Y50" s="494">
        <v>511</v>
      </c>
      <c r="Z50" s="494">
        <v>261</v>
      </c>
      <c r="AA50" s="494">
        <v>292</v>
      </c>
      <c r="AB50" s="494">
        <v>205</v>
      </c>
      <c r="AC50" s="494">
        <v>30</v>
      </c>
      <c r="AD50" s="494">
        <v>126</v>
      </c>
      <c r="AE50" s="494">
        <v>365</v>
      </c>
      <c r="AF50" s="495">
        <v>17646.5</v>
      </c>
      <c r="AG50" s="494">
        <v>202</v>
      </c>
      <c r="AH50" s="495">
        <v>37056.199999999997</v>
      </c>
      <c r="AI50" s="494">
        <v>25</v>
      </c>
      <c r="AJ50" s="495">
        <v>863.6</v>
      </c>
      <c r="AK50" s="494">
        <v>11</v>
      </c>
      <c r="AL50" s="495">
        <v>801.7</v>
      </c>
      <c r="AM50" s="496">
        <v>369</v>
      </c>
      <c r="AN50" s="496">
        <v>238</v>
      </c>
      <c r="AO50" s="496">
        <v>483</v>
      </c>
      <c r="AP50" s="496">
        <v>36</v>
      </c>
      <c r="AQ50" s="496">
        <v>14</v>
      </c>
      <c r="AR50" s="496" t="s">
        <v>721</v>
      </c>
      <c r="AS50" s="496">
        <v>32</v>
      </c>
      <c r="AT50" s="496" t="s">
        <v>721</v>
      </c>
      <c r="AU50" s="496">
        <v>20</v>
      </c>
      <c r="AV50" s="496" t="s">
        <v>721</v>
      </c>
      <c r="AW50" s="496" t="s">
        <v>721</v>
      </c>
      <c r="AX50" s="496" t="s">
        <v>721</v>
      </c>
      <c r="AY50" s="496" t="s">
        <v>721</v>
      </c>
      <c r="AZ50" s="496" t="s">
        <v>721</v>
      </c>
      <c r="BA50" s="496" t="s">
        <v>721</v>
      </c>
      <c r="BB50" s="496" t="s">
        <v>721</v>
      </c>
      <c r="BC50" s="496" t="s">
        <v>721</v>
      </c>
      <c r="BD50" s="496" t="s">
        <v>721</v>
      </c>
      <c r="BE50" s="496" t="s">
        <v>721</v>
      </c>
      <c r="BF50" s="496" t="s">
        <v>721</v>
      </c>
      <c r="BG50" s="496" t="s">
        <v>721</v>
      </c>
      <c r="BH50" s="496" t="s">
        <v>721</v>
      </c>
      <c r="BI50" s="496" t="s">
        <v>721</v>
      </c>
      <c r="BJ50" s="496" t="s">
        <v>721</v>
      </c>
      <c r="BK50" s="496" t="s">
        <v>721</v>
      </c>
      <c r="BL50" s="496" t="s">
        <v>721</v>
      </c>
      <c r="BM50" s="496" t="s">
        <v>721</v>
      </c>
      <c r="BN50" s="496" t="s">
        <v>721</v>
      </c>
      <c r="BO50" s="496">
        <v>585</v>
      </c>
      <c r="BP50" s="496" t="s">
        <v>721</v>
      </c>
      <c r="BQ50" s="496" t="s">
        <v>721</v>
      </c>
      <c r="BR50" s="496" t="s">
        <v>721</v>
      </c>
      <c r="BS50" s="496" t="s">
        <v>721</v>
      </c>
      <c r="BT50" s="496" t="s">
        <v>721</v>
      </c>
      <c r="BU50" s="496" t="s">
        <v>721</v>
      </c>
      <c r="BV50" s="496" t="s">
        <v>721</v>
      </c>
      <c r="BW50" s="496" t="s">
        <v>721</v>
      </c>
      <c r="BX50" s="496" t="s">
        <v>721</v>
      </c>
      <c r="BY50" s="496" t="s">
        <v>721</v>
      </c>
      <c r="BZ50" s="496" t="s">
        <v>721</v>
      </c>
      <c r="CA50" s="496" t="s">
        <v>721</v>
      </c>
      <c r="CB50" s="496" t="s">
        <v>721</v>
      </c>
      <c r="CC50" s="496" t="s">
        <v>721</v>
      </c>
      <c r="CD50" s="496" t="s">
        <v>721</v>
      </c>
      <c r="CE50" s="496" t="s">
        <v>721</v>
      </c>
      <c r="CF50" s="496" t="s">
        <v>721</v>
      </c>
      <c r="CG50" s="496" t="s">
        <v>721</v>
      </c>
      <c r="CH50" s="496" t="s">
        <v>721</v>
      </c>
      <c r="CI50" s="496" t="s">
        <v>721</v>
      </c>
      <c r="CJ50" s="496" t="s">
        <v>721</v>
      </c>
      <c r="CK50" s="496" t="s">
        <v>721</v>
      </c>
      <c r="CL50" s="496" t="s">
        <v>721</v>
      </c>
      <c r="CM50" s="496" t="s">
        <v>721</v>
      </c>
      <c r="CN50" s="496" t="s">
        <v>721</v>
      </c>
      <c r="CO50" s="496" t="s">
        <v>721</v>
      </c>
      <c r="CP50" s="496" t="s">
        <v>721</v>
      </c>
      <c r="CQ50" s="496" t="s">
        <v>721</v>
      </c>
      <c r="CR50" s="496" t="s">
        <v>721</v>
      </c>
      <c r="CS50" s="496" t="s">
        <v>721</v>
      </c>
      <c r="CT50" s="496" t="s">
        <v>721</v>
      </c>
      <c r="CU50" s="496" t="s">
        <v>721</v>
      </c>
      <c r="CV50" s="496">
        <v>493</v>
      </c>
      <c r="CW50" s="496" t="s">
        <v>721</v>
      </c>
      <c r="CX50" s="496" t="s">
        <v>721</v>
      </c>
      <c r="CY50" s="496" t="s">
        <v>721</v>
      </c>
      <c r="CZ50" s="496" t="s">
        <v>721</v>
      </c>
      <c r="DA50" s="496" t="s">
        <v>721</v>
      </c>
      <c r="DB50" s="496" t="s">
        <v>721</v>
      </c>
      <c r="DC50" s="496" t="s">
        <v>721</v>
      </c>
      <c r="DD50" s="496" t="s">
        <v>721</v>
      </c>
      <c r="DE50" s="496" t="s">
        <v>721</v>
      </c>
      <c r="DF50" s="496" t="s">
        <v>721</v>
      </c>
      <c r="DG50" s="496" t="s">
        <v>721</v>
      </c>
      <c r="DH50" s="496" t="s">
        <v>721</v>
      </c>
      <c r="DI50" s="496" t="s">
        <v>721</v>
      </c>
      <c r="DJ50" s="496" t="s">
        <v>721</v>
      </c>
      <c r="DK50" s="496" t="s">
        <v>721</v>
      </c>
      <c r="DL50" s="496" t="s">
        <v>721</v>
      </c>
      <c r="DM50" s="496" t="s">
        <v>721</v>
      </c>
      <c r="DN50" s="496" t="s">
        <v>721</v>
      </c>
      <c r="DO50" s="496" t="s">
        <v>721</v>
      </c>
      <c r="DP50" s="496" t="s">
        <v>721</v>
      </c>
      <c r="DQ50" s="496" t="s">
        <v>721</v>
      </c>
      <c r="DR50" s="496" t="s">
        <v>721</v>
      </c>
      <c r="DS50" s="483" t="s">
        <v>721</v>
      </c>
      <c r="DT50" s="483" t="s">
        <v>721</v>
      </c>
      <c r="DU50" s="483" t="s">
        <v>721</v>
      </c>
      <c r="DV50" s="496">
        <v>52</v>
      </c>
      <c r="DW50" s="497">
        <v>9108.9</v>
      </c>
      <c r="DX50" s="496">
        <v>117</v>
      </c>
      <c r="DY50" s="497">
        <v>16991.5</v>
      </c>
      <c r="DZ50" s="496">
        <v>165</v>
      </c>
      <c r="EA50" s="497">
        <v>12193.1</v>
      </c>
      <c r="EB50" s="496">
        <v>134</v>
      </c>
      <c r="EC50" s="497">
        <v>8989.6</v>
      </c>
      <c r="ED50" s="496">
        <v>95</v>
      </c>
      <c r="EE50" s="497">
        <v>5545.2</v>
      </c>
      <c r="EF50" s="496">
        <v>44</v>
      </c>
      <c r="EG50" s="497">
        <v>3539.7</v>
      </c>
      <c r="EH50" s="485">
        <v>504</v>
      </c>
      <c r="EI50" s="486">
        <v>1684.8</v>
      </c>
      <c r="EJ50" s="485">
        <v>480</v>
      </c>
      <c r="EK50" s="486">
        <v>7843.8</v>
      </c>
      <c r="EL50" s="485">
        <v>484</v>
      </c>
      <c r="EM50" s="486">
        <v>3499.7</v>
      </c>
      <c r="EN50" s="485">
        <v>498</v>
      </c>
      <c r="EO50" s="486">
        <v>2065</v>
      </c>
      <c r="EP50" s="485">
        <v>494</v>
      </c>
      <c r="EQ50" s="486">
        <v>1540.5</v>
      </c>
      <c r="ER50" s="485">
        <v>472</v>
      </c>
      <c r="ES50" s="486">
        <v>843</v>
      </c>
      <c r="ET50" s="485">
        <v>0</v>
      </c>
      <c r="EU50" s="485">
        <v>264</v>
      </c>
      <c r="EV50" s="486">
        <v>3712.8</v>
      </c>
      <c r="EW50" s="485">
        <v>60</v>
      </c>
      <c r="EX50" s="486">
        <v>151</v>
      </c>
      <c r="EY50" s="485">
        <v>94</v>
      </c>
      <c r="EZ50" s="486">
        <v>1110.3</v>
      </c>
      <c r="FA50" s="485">
        <v>44</v>
      </c>
      <c r="FB50" s="486">
        <v>444.8</v>
      </c>
      <c r="FC50" s="485">
        <v>470</v>
      </c>
      <c r="FD50" s="486">
        <v>4246.1000000000004</v>
      </c>
      <c r="FE50" s="485">
        <v>426</v>
      </c>
      <c r="FF50" s="486">
        <v>2567.1999999999998</v>
      </c>
      <c r="FG50" s="485">
        <v>191</v>
      </c>
      <c r="FH50" s="486">
        <v>1704</v>
      </c>
      <c r="FI50" s="485">
        <v>177</v>
      </c>
      <c r="FJ50" s="486">
        <v>1170</v>
      </c>
      <c r="FK50" s="485">
        <v>385</v>
      </c>
      <c r="FL50" s="486">
        <v>1039.3</v>
      </c>
      <c r="FM50" s="485">
        <v>26</v>
      </c>
      <c r="FN50" s="486">
        <v>58.2</v>
      </c>
      <c r="FO50" s="485">
        <v>256</v>
      </c>
      <c r="FP50" s="486">
        <v>1502.6</v>
      </c>
      <c r="FQ50" s="485">
        <v>257</v>
      </c>
      <c r="FR50" s="486">
        <v>693.2</v>
      </c>
      <c r="FS50" s="485">
        <v>5</v>
      </c>
      <c r="FT50" s="486">
        <v>42.6</v>
      </c>
      <c r="FU50" s="485">
        <v>0</v>
      </c>
      <c r="FV50" s="486">
        <v>0</v>
      </c>
      <c r="FW50" s="485">
        <v>0</v>
      </c>
      <c r="FX50" s="486">
        <v>0</v>
      </c>
      <c r="FY50" s="485">
        <v>6</v>
      </c>
      <c r="FZ50" s="486">
        <v>10.8</v>
      </c>
      <c r="GA50" s="485">
        <v>0</v>
      </c>
      <c r="GB50" s="485">
        <v>0</v>
      </c>
      <c r="GC50" s="487">
        <v>0</v>
      </c>
      <c r="GD50" s="488">
        <v>2</v>
      </c>
      <c r="GE50" s="488">
        <v>20</v>
      </c>
      <c r="GF50" s="488">
        <v>437</v>
      </c>
      <c r="GG50" s="488">
        <v>0</v>
      </c>
      <c r="GH50" s="488">
        <v>1</v>
      </c>
      <c r="GI50" s="488">
        <v>0</v>
      </c>
      <c r="GJ50" s="488">
        <v>0</v>
      </c>
      <c r="GK50" s="488">
        <v>171</v>
      </c>
      <c r="GL50" s="488">
        <v>287</v>
      </c>
      <c r="GM50" s="488">
        <v>459</v>
      </c>
      <c r="GN50" s="488">
        <v>1</v>
      </c>
      <c r="GO50" s="488">
        <v>22</v>
      </c>
      <c r="GP50" s="488">
        <v>1</v>
      </c>
      <c r="GQ50" s="488">
        <v>4</v>
      </c>
      <c r="GR50" s="488">
        <v>0</v>
      </c>
      <c r="GS50" s="488">
        <v>5</v>
      </c>
      <c r="GT50" s="489">
        <v>363</v>
      </c>
      <c r="GU50" s="488">
        <v>0</v>
      </c>
      <c r="GV50" s="490">
        <v>0</v>
      </c>
      <c r="GW50" s="490">
        <v>0</v>
      </c>
      <c r="GX50" s="490">
        <v>0</v>
      </c>
      <c r="GY50" s="491">
        <v>2</v>
      </c>
      <c r="GZ50" s="491">
        <v>2</v>
      </c>
      <c r="HA50" s="491">
        <v>4</v>
      </c>
      <c r="HB50" s="475">
        <v>0</v>
      </c>
      <c r="HC50" s="475">
        <v>0</v>
      </c>
      <c r="HD50" s="475">
        <v>0</v>
      </c>
      <c r="HE50" s="475">
        <v>0</v>
      </c>
      <c r="HF50" s="475">
        <v>0</v>
      </c>
      <c r="HG50" s="475">
        <v>0</v>
      </c>
      <c r="HH50" s="475">
        <v>0</v>
      </c>
      <c r="HI50" s="475">
        <v>0</v>
      </c>
      <c r="HJ50" s="475">
        <v>0</v>
      </c>
      <c r="HK50" s="475">
        <v>0</v>
      </c>
      <c r="HL50" s="475">
        <v>0</v>
      </c>
      <c r="HM50" s="475">
        <v>1</v>
      </c>
      <c r="HN50" s="475">
        <v>0</v>
      </c>
      <c r="HO50" s="475">
        <v>1</v>
      </c>
      <c r="HP50" s="475">
        <v>0</v>
      </c>
      <c r="HQ50" s="475">
        <v>0</v>
      </c>
      <c r="HR50" s="475">
        <v>0</v>
      </c>
      <c r="HS50" s="475">
        <v>0</v>
      </c>
      <c r="HT50" s="475">
        <v>0</v>
      </c>
      <c r="HU50" s="475">
        <v>0</v>
      </c>
      <c r="HV50" s="475">
        <v>0</v>
      </c>
      <c r="HW50" s="475">
        <v>0</v>
      </c>
      <c r="HX50" s="475">
        <v>0</v>
      </c>
      <c r="HY50" s="475">
        <v>0</v>
      </c>
      <c r="HZ50" s="475">
        <v>18</v>
      </c>
      <c r="IA50" s="475" t="s">
        <v>721</v>
      </c>
      <c r="IB50" s="475" t="s">
        <v>721</v>
      </c>
      <c r="IC50" s="475" t="s">
        <v>721</v>
      </c>
      <c r="ID50" s="475" t="s">
        <v>721</v>
      </c>
      <c r="IE50" s="475" t="s">
        <v>721</v>
      </c>
      <c r="IF50" s="475" t="s">
        <v>721</v>
      </c>
      <c r="IG50" s="475" t="s">
        <v>721</v>
      </c>
      <c r="IH50" s="475" t="s">
        <v>721</v>
      </c>
      <c r="II50" s="475" t="s">
        <v>721</v>
      </c>
      <c r="IJ50" s="475" t="s">
        <v>721</v>
      </c>
      <c r="IK50" s="475" t="s">
        <v>721</v>
      </c>
      <c r="IL50" s="475" t="s">
        <v>721</v>
      </c>
      <c r="IM50" s="475" t="s">
        <v>721</v>
      </c>
      <c r="IN50" s="475" t="s">
        <v>721</v>
      </c>
      <c r="IO50" s="475" t="s">
        <v>721</v>
      </c>
      <c r="IP50" s="475" t="s">
        <v>721</v>
      </c>
      <c r="IQ50" s="475" t="s">
        <v>721</v>
      </c>
      <c r="IR50" s="475" t="s">
        <v>721</v>
      </c>
      <c r="IS50" s="475" t="s">
        <v>721</v>
      </c>
      <c r="IT50" s="475" t="s">
        <v>721</v>
      </c>
      <c r="IU50" s="475" t="s">
        <v>721</v>
      </c>
      <c r="IV50" s="475" t="s">
        <v>721</v>
      </c>
      <c r="IW50" s="475" t="s">
        <v>721</v>
      </c>
      <c r="IX50" s="475" t="s">
        <v>721</v>
      </c>
      <c r="IY50" s="475" t="s">
        <v>721</v>
      </c>
      <c r="IZ50" s="475" t="s">
        <v>721</v>
      </c>
      <c r="JA50" s="475" t="s">
        <v>721</v>
      </c>
      <c r="JB50" s="475" t="s">
        <v>721</v>
      </c>
      <c r="JC50" s="475" t="s">
        <v>721</v>
      </c>
      <c r="JD50" s="475" t="s">
        <v>721</v>
      </c>
      <c r="JE50" s="475" t="s">
        <v>721</v>
      </c>
      <c r="JF50" s="475" t="s">
        <v>721</v>
      </c>
      <c r="JG50" s="475" t="s">
        <v>721</v>
      </c>
      <c r="JH50" s="475" t="s">
        <v>721</v>
      </c>
      <c r="JI50" s="475" t="s">
        <v>721</v>
      </c>
      <c r="JJ50" s="475" t="s">
        <v>721</v>
      </c>
      <c r="JK50" s="475" t="s">
        <v>721</v>
      </c>
      <c r="JL50" s="755">
        <v>44727.4</v>
      </c>
      <c r="JM50" s="755">
        <v>3625.9</v>
      </c>
      <c r="JN50" s="755">
        <v>1571.8</v>
      </c>
      <c r="JO50" s="755">
        <v>293.89999999999998</v>
      </c>
      <c r="JP50" s="755">
        <v>2867.4</v>
      </c>
      <c r="JQ50" s="755">
        <v>51.6</v>
      </c>
      <c r="JR50" s="755">
        <v>1972.7</v>
      </c>
      <c r="JS50" s="755" t="s">
        <v>721</v>
      </c>
      <c r="JT50" s="755">
        <v>46.3</v>
      </c>
      <c r="JU50" s="755" t="s">
        <v>721</v>
      </c>
      <c r="JV50" s="755">
        <v>22</v>
      </c>
      <c r="JW50" s="755">
        <v>53.4</v>
      </c>
      <c r="JX50" s="755" t="s">
        <v>721</v>
      </c>
      <c r="JY50" s="755" t="s">
        <v>721</v>
      </c>
      <c r="JZ50" s="755" t="s">
        <v>721</v>
      </c>
      <c r="KA50" s="755" t="s">
        <v>721</v>
      </c>
      <c r="KB50" s="755">
        <v>399</v>
      </c>
      <c r="KC50" s="755" t="s">
        <v>721</v>
      </c>
      <c r="KD50" s="755">
        <v>736.6</v>
      </c>
      <c r="KE50" s="475">
        <v>72</v>
      </c>
      <c r="KF50" s="475" t="s">
        <v>721</v>
      </c>
      <c r="KG50" s="475" t="s">
        <v>721</v>
      </c>
      <c r="KH50" s="475" t="s">
        <v>721</v>
      </c>
      <c r="KI50" s="475" t="s">
        <v>721</v>
      </c>
      <c r="KJ50" s="475" t="s">
        <v>721</v>
      </c>
      <c r="KK50" s="475" t="s">
        <v>721</v>
      </c>
      <c r="KL50" s="475" t="s">
        <v>721</v>
      </c>
      <c r="KM50" s="475" t="s">
        <v>721</v>
      </c>
      <c r="KN50" s="475" t="s">
        <v>721</v>
      </c>
      <c r="KO50" s="475" t="s">
        <v>721</v>
      </c>
      <c r="KP50" s="475" t="s">
        <v>721</v>
      </c>
      <c r="KQ50" s="475" t="s">
        <v>721</v>
      </c>
      <c r="KR50" s="475" t="s">
        <v>721</v>
      </c>
      <c r="KS50" s="475" t="s">
        <v>721</v>
      </c>
      <c r="KT50" s="475" t="s">
        <v>721</v>
      </c>
      <c r="KU50" s="475" t="s">
        <v>721</v>
      </c>
      <c r="KV50" s="475" t="s">
        <v>721</v>
      </c>
      <c r="KW50" s="475" t="s">
        <v>721</v>
      </c>
      <c r="KX50" s="475">
        <v>40</v>
      </c>
      <c r="KY50" s="475" t="s">
        <v>721</v>
      </c>
      <c r="KZ50" s="475" t="s">
        <v>721</v>
      </c>
      <c r="LA50" s="475" t="s">
        <v>721</v>
      </c>
      <c r="LB50" s="475" t="s">
        <v>721</v>
      </c>
      <c r="LC50" s="475" t="s">
        <v>721</v>
      </c>
      <c r="LD50" s="475" t="s">
        <v>721</v>
      </c>
      <c r="LE50" s="475" t="s">
        <v>721</v>
      </c>
      <c r="LF50" s="475" t="s">
        <v>721</v>
      </c>
      <c r="LG50" s="475" t="s">
        <v>721</v>
      </c>
      <c r="LH50" s="475" t="s">
        <v>721</v>
      </c>
      <c r="LI50" s="475" t="s">
        <v>721</v>
      </c>
      <c r="LJ50" s="475" t="s">
        <v>721</v>
      </c>
      <c r="LK50" s="475" t="s">
        <v>721</v>
      </c>
      <c r="LL50" s="475" t="s">
        <v>721</v>
      </c>
      <c r="LM50" s="475" t="s">
        <v>721</v>
      </c>
      <c r="LN50" s="475" t="s">
        <v>721</v>
      </c>
      <c r="LO50" s="475" t="s">
        <v>721</v>
      </c>
      <c r="LP50" s="475" t="s">
        <v>721</v>
      </c>
      <c r="LQ50" s="475">
        <v>415</v>
      </c>
      <c r="LR50" s="475">
        <v>29</v>
      </c>
      <c r="LS50" s="475" t="s">
        <v>721</v>
      </c>
      <c r="LT50" s="475" t="s">
        <v>721</v>
      </c>
      <c r="LU50" s="475">
        <v>29</v>
      </c>
      <c r="LV50" s="475" t="s">
        <v>721</v>
      </c>
      <c r="LW50" s="475">
        <v>19</v>
      </c>
      <c r="LX50" s="475" t="s">
        <v>721</v>
      </c>
      <c r="LY50" s="475" t="s">
        <v>721</v>
      </c>
      <c r="LZ50" s="475" t="s">
        <v>721</v>
      </c>
      <c r="MA50" s="475" t="s">
        <v>721</v>
      </c>
      <c r="MB50" s="475" t="s">
        <v>721</v>
      </c>
      <c r="MC50" s="475" t="s">
        <v>721</v>
      </c>
      <c r="MD50" s="475" t="s">
        <v>721</v>
      </c>
      <c r="ME50" s="475" t="s">
        <v>721</v>
      </c>
      <c r="MF50" s="475" t="s">
        <v>721</v>
      </c>
      <c r="MG50" s="475" t="s">
        <v>721</v>
      </c>
      <c r="MH50" s="475" t="s">
        <v>721</v>
      </c>
      <c r="MI50" s="475" t="s">
        <v>721</v>
      </c>
      <c r="MJ50" s="475">
        <v>64</v>
      </c>
      <c r="MK50" s="475" t="s">
        <v>721</v>
      </c>
      <c r="ML50" s="475" t="s">
        <v>721</v>
      </c>
      <c r="MM50" s="475" t="s">
        <v>721</v>
      </c>
      <c r="MN50" s="475" t="s">
        <v>721</v>
      </c>
      <c r="MO50" s="475" t="s">
        <v>721</v>
      </c>
      <c r="MP50" s="475" t="s">
        <v>721</v>
      </c>
      <c r="MQ50" s="475" t="s">
        <v>721</v>
      </c>
      <c r="MR50" s="475" t="s">
        <v>721</v>
      </c>
      <c r="MS50" s="475" t="s">
        <v>721</v>
      </c>
      <c r="MT50" s="475" t="s">
        <v>721</v>
      </c>
      <c r="MU50" s="475" t="s">
        <v>721</v>
      </c>
      <c r="MV50" s="475" t="s">
        <v>721</v>
      </c>
      <c r="MW50" s="475" t="s">
        <v>721</v>
      </c>
      <c r="MX50" s="475" t="s">
        <v>721</v>
      </c>
      <c r="MY50" s="475" t="s">
        <v>721</v>
      </c>
      <c r="MZ50" s="475" t="s">
        <v>721</v>
      </c>
      <c r="NA50" s="475" t="s">
        <v>721</v>
      </c>
      <c r="NB50" s="475" t="s">
        <v>721</v>
      </c>
      <c r="NC50" s="476">
        <v>0.60799999999999998</v>
      </c>
      <c r="ND50" s="476">
        <v>0.39200000000000002</v>
      </c>
      <c r="NE50" s="476">
        <v>0.79600000000000004</v>
      </c>
      <c r="NF50" s="476">
        <v>5.8999999999999997E-2</v>
      </c>
      <c r="NG50" s="476">
        <v>2.4E-2</v>
      </c>
      <c r="NH50" s="476" t="s">
        <v>721</v>
      </c>
      <c r="NI50" s="476">
        <v>5.2999999999999999E-2</v>
      </c>
      <c r="NJ50" s="476" t="s">
        <v>721</v>
      </c>
      <c r="NK50" s="476">
        <v>3.3000000000000002E-2</v>
      </c>
      <c r="NL50" s="476" t="s">
        <v>721</v>
      </c>
      <c r="NM50" s="476" t="s">
        <v>721</v>
      </c>
      <c r="NN50" s="476" t="s">
        <v>721</v>
      </c>
      <c r="NO50" s="476" t="s">
        <v>721</v>
      </c>
      <c r="NP50" s="476" t="s">
        <v>721</v>
      </c>
      <c r="NQ50" s="476" t="s">
        <v>721</v>
      </c>
      <c r="NR50" s="476" t="s">
        <v>721</v>
      </c>
      <c r="NS50" s="476" t="s">
        <v>721</v>
      </c>
      <c r="NT50" s="476" t="s">
        <v>721</v>
      </c>
      <c r="NU50" s="476" t="s">
        <v>721</v>
      </c>
      <c r="NV50" s="476" t="s">
        <v>721</v>
      </c>
      <c r="NW50" s="476" t="s">
        <v>721</v>
      </c>
      <c r="NX50" s="476" t="s">
        <v>721</v>
      </c>
      <c r="NY50" s="476" t="s">
        <v>721</v>
      </c>
      <c r="NZ50" s="476" t="s">
        <v>721</v>
      </c>
      <c r="OA50" s="476" t="s">
        <v>721</v>
      </c>
      <c r="OB50" s="476" t="s">
        <v>721</v>
      </c>
      <c r="OC50" s="476" t="s">
        <v>721</v>
      </c>
      <c r="OD50" s="476" t="s">
        <v>721</v>
      </c>
      <c r="OE50" s="476">
        <v>0.96399999999999997</v>
      </c>
      <c r="OF50" s="476" t="s">
        <v>721</v>
      </c>
      <c r="OG50" s="476" t="s">
        <v>721</v>
      </c>
      <c r="OH50" s="476" t="s">
        <v>721</v>
      </c>
      <c r="OI50" s="476" t="s">
        <v>721</v>
      </c>
      <c r="OJ50" s="476" t="s">
        <v>721</v>
      </c>
      <c r="OK50" s="476" t="s">
        <v>721</v>
      </c>
      <c r="OL50" s="476" t="s">
        <v>721</v>
      </c>
      <c r="OM50" s="476" t="s">
        <v>721</v>
      </c>
      <c r="ON50" s="476" t="s">
        <v>721</v>
      </c>
      <c r="OO50" s="476" t="s">
        <v>721</v>
      </c>
      <c r="OP50" s="476" t="s">
        <v>721</v>
      </c>
      <c r="OQ50" s="476" t="s">
        <v>721</v>
      </c>
      <c r="OR50" s="476" t="s">
        <v>721</v>
      </c>
      <c r="OS50" s="476" t="s">
        <v>721</v>
      </c>
      <c r="OT50" s="476" t="s">
        <v>721</v>
      </c>
      <c r="OU50" s="476" t="s">
        <v>721</v>
      </c>
      <c r="OV50" s="476" t="s">
        <v>721</v>
      </c>
      <c r="OW50" s="476" t="s">
        <v>721</v>
      </c>
      <c r="OX50" s="476" t="s">
        <v>721</v>
      </c>
      <c r="OY50" s="476" t="s">
        <v>721</v>
      </c>
      <c r="OZ50" s="476" t="s">
        <v>721</v>
      </c>
      <c r="PA50" s="476" t="s">
        <v>721</v>
      </c>
      <c r="PB50" s="476" t="s">
        <v>721</v>
      </c>
      <c r="PC50" s="476" t="s">
        <v>721</v>
      </c>
      <c r="PD50" s="476" t="s">
        <v>721</v>
      </c>
      <c r="PE50" s="476" t="s">
        <v>721</v>
      </c>
      <c r="PF50" s="476" t="s">
        <v>721</v>
      </c>
      <c r="PG50" s="476" t="s">
        <v>721</v>
      </c>
      <c r="PH50" s="476" t="s">
        <v>721</v>
      </c>
      <c r="PI50" s="476" t="s">
        <v>721</v>
      </c>
      <c r="PJ50" s="476" t="s">
        <v>721</v>
      </c>
      <c r="PK50" s="476" t="s">
        <v>721</v>
      </c>
      <c r="PL50" s="476">
        <v>0.96499999999999997</v>
      </c>
      <c r="PM50" s="476" t="s">
        <v>721</v>
      </c>
      <c r="PN50" s="476" t="s">
        <v>721</v>
      </c>
      <c r="PO50" s="476" t="s">
        <v>721</v>
      </c>
      <c r="PP50" s="476" t="s">
        <v>721</v>
      </c>
      <c r="PQ50" s="476" t="s">
        <v>721</v>
      </c>
      <c r="PR50" s="476" t="s">
        <v>721</v>
      </c>
      <c r="PS50" s="476" t="s">
        <v>721</v>
      </c>
      <c r="PT50" s="476" t="s">
        <v>721</v>
      </c>
      <c r="PU50" s="476" t="s">
        <v>721</v>
      </c>
      <c r="PV50" s="476" t="s">
        <v>721</v>
      </c>
      <c r="PW50" s="476" t="s">
        <v>721</v>
      </c>
      <c r="PX50" s="476" t="s">
        <v>721</v>
      </c>
      <c r="PY50" s="476" t="s">
        <v>721</v>
      </c>
      <c r="PZ50" s="476" t="s">
        <v>721</v>
      </c>
      <c r="QA50" s="476" t="s">
        <v>721</v>
      </c>
      <c r="QB50" s="476" t="s">
        <v>721</v>
      </c>
      <c r="QC50" s="476" t="s">
        <v>721</v>
      </c>
      <c r="QD50" s="476" t="s">
        <v>721</v>
      </c>
      <c r="QE50" s="476" t="s">
        <v>721</v>
      </c>
      <c r="QF50" s="476" t="s">
        <v>721</v>
      </c>
      <c r="QG50" s="476" t="s">
        <v>721</v>
      </c>
      <c r="QH50" s="476" t="s">
        <v>721</v>
      </c>
      <c r="QI50" s="476" t="s">
        <v>721</v>
      </c>
      <c r="QJ50" s="476" t="s">
        <v>721</v>
      </c>
      <c r="QK50" s="476" t="s">
        <v>721</v>
      </c>
      <c r="QL50" s="476">
        <v>0.81799999999999995</v>
      </c>
      <c r="QM50" s="476" t="s">
        <v>721</v>
      </c>
      <c r="QN50" s="476" t="s">
        <v>721</v>
      </c>
      <c r="QO50" s="476" t="s">
        <v>721</v>
      </c>
      <c r="QP50" s="476" t="s">
        <v>721</v>
      </c>
      <c r="QQ50" s="476" t="s">
        <v>721</v>
      </c>
      <c r="QR50" s="476" t="s">
        <v>721</v>
      </c>
      <c r="QS50" s="476" t="s">
        <v>721</v>
      </c>
      <c r="QT50" s="476" t="s">
        <v>721</v>
      </c>
      <c r="QU50" s="476" t="s">
        <v>721</v>
      </c>
      <c r="QV50" s="476" t="s">
        <v>721</v>
      </c>
      <c r="QW50" s="476" t="s">
        <v>721</v>
      </c>
      <c r="QX50" s="476" t="s">
        <v>721</v>
      </c>
      <c r="QY50" s="476" t="s">
        <v>721</v>
      </c>
      <c r="QZ50" s="476" t="s">
        <v>721</v>
      </c>
      <c r="RA50" s="476" t="s">
        <v>721</v>
      </c>
      <c r="RB50" s="476" t="s">
        <v>721</v>
      </c>
      <c r="RC50" s="476" t="s">
        <v>721</v>
      </c>
      <c r="RD50" s="476" t="s">
        <v>721</v>
      </c>
      <c r="RE50" s="476" t="s">
        <v>721</v>
      </c>
      <c r="RF50" s="476" t="s">
        <v>721</v>
      </c>
      <c r="RG50" s="476" t="s">
        <v>721</v>
      </c>
      <c r="RH50" s="476" t="s">
        <v>721</v>
      </c>
      <c r="RI50" s="476" t="s">
        <v>721</v>
      </c>
      <c r="RJ50" s="476" t="s">
        <v>721</v>
      </c>
      <c r="RK50" s="476" t="s">
        <v>721</v>
      </c>
      <c r="RL50" s="476" t="s">
        <v>721</v>
      </c>
      <c r="RM50" s="476" t="s">
        <v>721</v>
      </c>
      <c r="RN50" s="476" t="s">
        <v>721</v>
      </c>
      <c r="RO50" s="476" t="s">
        <v>721</v>
      </c>
      <c r="RP50" s="476" t="s">
        <v>721</v>
      </c>
      <c r="RQ50" s="476" t="s">
        <v>721</v>
      </c>
      <c r="RR50" s="476" t="s">
        <v>721</v>
      </c>
      <c r="RS50" s="476" t="s">
        <v>721</v>
      </c>
      <c r="RT50" s="476" t="s">
        <v>721</v>
      </c>
      <c r="RU50" s="476" t="s">
        <v>721</v>
      </c>
      <c r="RV50" s="476" t="s">
        <v>721</v>
      </c>
      <c r="RW50" s="476" t="s">
        <v>721</v>
      </c>
      <c r="RX50" s="476">
        <v>0.79300000000000004</v>
      </c>
      <c r="RY50" s="476">
        <v>6.4000000000000001E-2</v>
      </c>
      <c r="RZ50" s="476">
        <v>2.8000000000000001E-2</v>
      </c>
      <c r="SA50" s="476">
        <v>5.0000000000000001E-3</v>
      </c>
      <c r="SB50" s="476">
        <v>5.0999999999999997E-2</v>
      </c>
      <c r="SC50" s="476">
        <v>1E-3</v>
      </c>
      <c r="SD50" s="476">
        <v>3.5000000000000003E-2</v>
      </c>
      <c r="SE50" s="476" t="s">
        <v>721</v>
      </c>
      <c r="SF50" s="476">
        <v>1E-3</v>
      </c>
      <c r="SG50" s="476" t="s">
        <v>721</v>
      </c>
      <c r="SH50" s="476">
        <v>0</v>
      </c>
      <c r="SI50" s="476">
        <v>1E-3</v>
      </c>
      <c r="SJ50" s="476" t="s">
        <v>721</v>
      </c>
      <c r="SK50" s="476" t="s">
        <v>721</v>
      </c>
      <c r="SL50" s="476" t="s">
        <v>721</v>
      </c>
      <c r="SM50" s="476" t="s">
        <v>721</v>
      </c>
      <c r="SN50" s="476">
        <v>7.0000000000000001E-3</v>
      </c>
      <c r="SO50" s="476" t="s">
        <v>721</v>
      </c>
      <c r="SP50" s="476">
        <v>1.2999999999999999E-2</v>
      </c>
      <c r="SQ50" s="476">
        <v>0.77400000000000002</v>
      </c>
      <c r="SR50" s="476" t="s">
        <v>721</v>
      </c>
      <c r="SS50" s="476" t="s">
        <v>721</v>
      </c>
      <c r="ST50" s="476" t="s">
        <v>721</v>
      </c>
      <c r="SU50" s="476" t="s">
        <v>721</v>
      </c>
      <c r="SV50" s="476" t="s">
        <v>721</v>
      </c>
      <c r="SW50" s="476" t="s">
        <v>721</v>
      </c>
      <c r="SX50" s="476" t="s">
        <v>721</v>
      </c>
      <c r="SY50" s="476" t="s">
        <v>721</v>
      </c>
      <c r="SZ50" s="476" t="s">
        <v>721</v>
      </c>
      <c r="TA50" s="476" t="s">
        <v>721</v>
      </c>
      <c r="TB50" s="476" t="s">
        <v>721</v>
      </c>
      <c r="TC50" s="476" t="s">
        <v>721</v>
      </c>
      <c r="TD50" s="476" t="s">
        <v>721</v>
      </c>
      <c r="TE50" s="476" t="s">
        <v>721</v>
      </c>
      <c r="TF50" s="476" t="s">
        <v>721</v>
      </c>
      <c r="TG50" s="476" t="s">
        <v>721</v>
      </c>
      <c r="TH50" s="476" t="s">
        <v>721</v>
      </c>
      <c r="TI50" s="476" t="s">
        <v>721</v>
      </c>
      <c r="TJ50" s="476">
        <v>0.72699999999999998</v>
      </c>
      <c r="TK50" s="476" t="s">
        <v>721</v>
      </c>
      <c r="TL50" s="476" t="s">
        <v>721</v>
      </c>
      <c r="TM50" s="476" t="s">
        <v>721</v>
      </c>
      <c r="TN50" s="476" t="s">
        <v>721</v>
      </c>
      <c r="TO50" s="476" t="s">
        <v>721</v>
      </c>
      <c r="TP50" s="476" t="s">
        <v>721</v>
      </c>
      <c r="TQ50" s="476" t="s">
        <v>721</v>
      </c>
      <c r="TR50" s="476" t="s">
        <v>721</v>
      </c>
      <c r="TS50" s="476" t="s">
        <v>721</v>
      </c>
      <c r="TT50" s="476" t="s">
        <v>721</v>
      </c>
      <c r="TU50" s="476" t="s">
        <v>721</v>
      </c>
      <c r="TV50" s="476" t="s">
        <v>721</v>
      </c>
      <c r="TW50" s="476" t="s">
        <v>721</v>
      </c>
      <c r="TX50" s="476" t="s">
        <v>721</v>
      </c>
      <c r="TY50" s="476" t="s">
        <v>721</v>
      </c>
      <c r="TZ50" s="476" t="s">
        <v>721</v>
      </c>
      <c r="UA50" s="476" t="s">
        <v>721</v>
      </c>
      <c r="UB50" s="476" t="s">
        <v>721</v>
      </c>
      <c r="UC50" s="476">
        <v>0.79500000000000004</v>
      </c>
      <c r="UD50" s="476">
        <v>5.6000000000000001E-2</v>
      </c>
      <c r="UE50" s="476" t="s">
        <v>721</v>
      </c>
      <c r="UF50" s="476" t="s">
        <v>721</v>
      </c>
      <c r="UG50" s="476">
        <v>5.6000000000000001E-2</v>
      </c>
      <c r="UH50" s="476" t="s">
        <v>721</v>
      </c>
      <c r="UI50" s="476">
        <v>3.5999999999999997E-2</v>
      </c>
      <c r="UJ50" s="476" t="s">
        <v>721</v>
      </c>
      <c r="UK50" s="476" t="s">
        <v>721</v>
      </c>
      <c r="UL50" s="476" t="s">
        <v>721</v>
      </c>
      <c r="UM50" s="476" t="s">
        <v>721</v>
      </c>
      <c r="UN50" s="476" t="s">
        <v>721</v>
      </c>
      <c r="UO50" s="476" t="s">
        <v>721</v>
      </c>
      <c r="UP50" s="476" t="s">
        <v>721</v>
      </c>
      <c r="UQ50" s="476" t="s">
        <v>721</v>
      </c>
      <c r="UR50" s="476" t="s">
        <v>721</v>
      </c>
      <c r="US50" s="476" t="s">
        <v>721</v>
      </c>
      <c r="UT50" s="476" t="s">
        <v>721</v>
      </c>
      <c r="UU50" s="476" t="s">
        <v>721</v>
      </c>
      <c r="UV50" s="476">
        <v>0.79</v>
      </c>
      <c r="UW50" s="476" t="s">
        <v>721</v>
      </c>
      <c r="UX50" s="476" t="s">
        <v>721</v>
      </c>
      <c r="UY50" s="476" t="s">
        <v>721</v>
      </c>
      <c r="UZ50" s="476" t="s">
        <v>721</v>
      </c>
      <c r="VA50" s="476" t="s">
        <v>721</v>
      </c>
      <c r="VB50" s="476" t="s">
        <v>721</v>
      </c>
      <c r="VC50" s="476" t="s">
        <v>721</v>
      </c>
      <c r="VD50" s="476" t="s">
        <v>721</v>
      </c>
      <c r="VE50" s="476" t="s">
        <v>721</v>
      </c>
      <c r="VF50" s="476" t="s">
        <v>721</v>
      </c>
      <c r="VG50" s="476" t="s">
        <v>721</v>
      </c>
      <c r="VH50" s="476" t="s">
        <v>721</v>
      </c>
      <c r="VI50" s="476" t="s">
        <v>721</v>
      </c>
      <c r="VJ50" s="476" t="s">
        <v>721</v>
      </c>
      <c r="VK50" s="476" t="s">
        <v>721</v>
      </c>
      <c r="VL50" s="476" t="s">
        <v>721</v>
      </c>
      <c r="VM50" s="476" t="s">
        <v>721</v>
      </c>
      <c r="VN50" s="476" t="s">
        <v>721</v>
      </c>
      <c r="VO50" s="28"/>
      <c r="VP50" s="28"/>
      <c r="VQ50" s="28"/>
      <c r="VR50" s="28"/>
      <c r="VS50" s="28"/>
      <c r="VT50" s="28"/>
      <c r="VU50" s="28"/>
      <c r="VV50" s="28"/>
      <c r="VW50" s="28"/>
      <c r="VX50" s="28"/>
      <c r="VY50" s="28"/>
      <c r="VZ50" s="28"/>
      <c r="WA50" s="28"/>
      <c r="WB50" s="28"/>
      <c r="WC50" s="28"/>
      <c r="WD50" s="28"/>
      <c r="WE50" s="28"/>
      <c r="WF50" s="28"/>
      <c r="WG50" s="28"/>
      <c r="WH50" s="28"/>
      <c r="WI50" s="28"/>
      <c r="WJ50" s="28"/>
      <c r="WK50" s="28"/>
      <c r="WL50" s="28"/>
      <c r="WM50" s="28"/>
      <c r="WN50" s="28"/>
      <c r="WO50" s="28"/>
      <c r="WP50" s="28"/>
      <c r="WQ50" s="28"/>
      <c r="WR50" s="28"/>
      <c r="WS50" s="28"/>
      <c r="WT50" s="28"/>
      <c r="WU50" s="28"/>
      <c r="WV50" s="28"/>
      <c r="WW50" s="28"/>
    </row>
    <row r="51" spans="1:621" s="151" customFormat="1" ht="15.75" customHeight="1" x14ac:dyDescent="0.35">
      <c r="A51" s="477" t="s">
        <v>55</v>
      </c>
      <c r="B51" s="492" t="s">
        <v>17</v>
      </c>
      <c r="C51" s="493">
        <v>16.7</v>
      </c>
      <c r="D51" s="494">
        <v>6037</v>
      </c>
      <c r="E51" s="473">
        <v>725145.59999999998</v>
      </c>
      <c r="F51" s="473">
        <v>120.1</v>
      </c>
      <c r="G51" s="474">
        <v>6030</v>
      </c>
      <c r="H51" s="474">
        <v>5895</v>
      </c>
      <c r="I51" s="474">
        <v>3554</v>
      </c>
      <c r="J51" s="474">
        <v>2867</v>
      </c>
      <c r="K51" s="474">
        <v>2141</v>
      </c>
      <c r="L51" s="473">
        <v>359338.2</v>
      </c>
      <c r="M51" s="474">
        <v>3852</v>
      </c>
      <c r="N51" s="473">
        <v>365807.4</v>
      </c>
      <c r="O51" s="494">
        <v>726</v>
      </c>
      <c r="P51" s="495">
        <v>130185.7</v>
      </c>
      <c r="Q51" s="494">
        <v>948</v>
      </c>
      <c r="R51" s="495">
        <v>25818.799999999999</v>
      </c>
      <c r="S51" s="480">
        <v>1876</v>
      </c>
      <c r="T51" s="481">
        <v>208358.39999999999</v>
      </c>
      <c r="U51" s="480">
        <v>70</v>
      </c>
      <c r="V51" s="481">
        <v>8902.2999999999993</v>
      </c>
      <c r="W51" s="480">
        <v>4091</v>
      </c>
      <c r="X51" s="481">
        <v>507884.9</v>
      </c>
      <c r="Y51" s="494">
        <v>5902</v>
      </c>
      <c r="Z51" s="494">
        <v>3553</v>
      </c>
      <c r="AA51" s="494">
        <v>4302</v>
      </c>
      <c r="AB51" s="494">
        <v>3084</v>
      </c>
      <c r="AC51" s="494">
        <v>257</v>
      </c>
      <c r="AD51" s="494">
        <v>1215</v>
      </c>
      <c r="AE51" s="494">
        <v>2575</v>
      </c>
      <c r="AF51" s="495">
        <v>183405.4</v>
      </c>
      <c r="AG51" s="494">
        <v>3084</v>
      </c>
      <c r="AH51" s="495">
        <v>515798.9</v>
      </c>
      <c r="AI51" s="494">
        <v>163</v>
      </c>
      <c r="AJ51" s="495">
        <v>6916.6</v>
      </c>
      <c r="AK51" s="494">
        <v>171</v>
      </c>
      <c r="AL51" s="495">
        <v>19024.7</v>
      </c>
      <c r="AM51" s="496">
        <v>3607</v>
      </c>
      <c r="AN51" s="496">
        <v>2430</v>
      </c>
      <c r="AO51" s="496">
        <v>1446</v>
      </c>
      <c r="AP51" s="496">
        <v>1066</v>
      </c>
      <c r="AQ51" s="496">
        <v>1844</v>
      </c>
      <c r="AR51" s="496">
        <v>164</v>
      </c>
      <c r="AS51" s="496">
        <v>20</v>
      </c>
      <c r="AT51" s="496">
        <v>847</v>
      </c>
      <c r="AU51" s="496">
        <v>138</v>
      </c>
      <c r="AV51" s="496" t="s">
        <v>721</v>
      </c>
      <c r="AW51" s="496">
        <v>68</v>
      </c>
      <c r="AX51" s="496" t="s">
        <v>721</v>
      </c>
      <c r="AY51" s="496" t="s">
        <v>721</v>
      </c>
      <c r="AZ51" s="496">
        <v>28</v>
      </c>
      <c r="BA51" s="496">
        <v>25</v>
      </c>
      <c r="BB51" s="496">
        <v>144</v>
      </c>
      <c r="BC51" s="496" t="s">
        <v>721</v>
      </c>
      <c r="BD51" s="496" t="s">
        <v>721</v>
      </c>
      <c r="BE51" s="496">
        <v>28</v>
      </c>
      <c r="BF51" s="496">
        <v>39</v>
      </c>
      <c r="BG51" s="496">
        <v>148</v>
      </c>
      <c r="BH51" s="496">
        <v>17</v>
      </c>
      <c r="BI51" s="496">
        <v>638</v>
      </c>
      <c r="BJ51" s="496">
        <v>30</v>
      </c>
      <c r="BK51" s="496" t="s">
        <v>721</v>
      </c>
      <c r="BL51" s="496">
        <v>18</v>
      </c>
      <c r="BM51" s="496">
        <v>501</v>
      </c>
      <c r="BN51" s="496">
        <v>118</v>
      </c>
      <c r="BO51" s="496">
        <v>4487</v>
      </c>
      <c r="BP51" s="496">
        <v>15</v>
      </c>
      <c r="BQ51" s="496" t="s">
        <v>721</v>
      </c>
      <c r="BR51" s="496">
        <v>16</v>
      </c>
      <c r="BS51" s="496" t="s">
        <v>721</v>
      </c>
      <c r="BT51" s="496" t="s">
        <v>721</v>
      </c>
      <c r="BU51" s="496" t="s">
        <v>721</v>
      </c>
      <c r="BV51" s="496" t="s">
        <v>721</v>
      </c>
      <c r="BW51" s="496">
        <v>17</v>
      </c>
      <c r="BX51" s="496" t="s">
        <v>721</v>
      </c>
      <c r="BY51" s="496">
        <v>15</v>
      </c>
      <c r="BZ51" s="496" t="s">
        <v>721</v>
      </c>
      <c r="CA51" s="496" t="s">
        <v>721</v>
      </c>
      <c r="CB51" s="496" t="s">
        <v>721</v>
      </c>
      <c r="CC51" s="496" t="s">
        <v>721</v>
      </c>
      <c r="CD51" s="496">
        <v>18</v>
      </c>
      <c r="CE51" s="496" t="s">
        <v>721</v>
      </c>
      <c r="CF51" s="496" t="s">
        <v>721</v>
      </c>
      <c r="CG51" s="496">
        <v>29</v>
      </c>
      <c r="CH51" s="496" t="s">
        <v>721</v>
      </c>
      <c r="CI51" s="496" t="s">
        <v>721</v>
      </c>
      <c r="CJ51" s="496">
        <v>25</v>
      </c>
      <c r="CK51" s="496">
        <v>36</v>
      </c>
      <c r="CL51" s="496" t="s">
        <v>721</v>
      </c>
      <c r="CM51" s="496">
        <v>18</v>
      </c>
      <c r="CN51" s="496" t="s">
        <v>721</v>
      </c>
      <c r="CO51" s="496" t="s">
        <v>721</v>
      </c>
      <c r="CP51" s="496">
        <v>447</v>
      </c>
      <c r="CQ51" s="496">
        <v>19</v>
      </c>
      <c r="CR51" s="496" t="s">
        <v>721</v>
      </c>
      <c r="CS51" s="496">
        <v>12</v>
      </c>
      <c r="CT51" s="496">
        <v>238</v>
      </c>
      <c r="CU51" s="496">
        <v>42</v>
      </c>
      <c r="CV51" s="496">
        <v>4864</v>
      </c>
      <c r="CW51" s="496">
        <v>159</v>
      </c>
      <c r="CX51" s="496" t="s">
        <v>721</v>
      </c>
      <c r="CY51" s="496">
        <v>14</v>
      </c>
      <c r="CZ51" s="496" t="s">
        <v>721</v>
      </c>
      <c r="DA51" s="496" t="s">
        <v>721</v>
      </c>
      <c r="DB51" s="496" t="s">
        <v>721</v>
      </c>
      <c r="DC51" s="496" t="s">
        <v>721</v>
      </c>
      <c r="DD51" s="496" t="s">
        <v>721</v>
      </c>
      <c r="DE51" s="496" t="s">
        <v>721</v>
      </c>
      <c r="DF51" s="496" t="s">
        <v>721</v>
      </c>
      <c r="DG51" s="496" t="s">
        <v>721</v>
      </c>
      <c r="DH51" s="496" t="s">
        <v>721</v>
      </c>
      <c r="DI51" s="496" t="s">
        <v>721</v>
      </c>
      <c r="DJ51" s="496" t="s">
        <v>721</v>
      </c>
      <c r="DK51" s="496" t="s">
        <v>721</v>
      </c>
      <c r="DL51" s="496" t="s">
        <v>721</v>
      </c>
      <c r="DM51" s="496" t="s">
        <v>721</v>
      </c>
      <c r="DN51" s="496">
        <v>14</v>
      </c>
      <c r="DO51" s="496" t="s">
        <v>721</v>
      </c>
      <c r="DP51" s="496" t="s">
        <v>721</v>
      </c>
      <c r="DQ51" s="496" t="s">
        <v>721</v>
      </c>
      <c r="DR51" s="496">
        <v>28</v>
      </c>
      <c r="DS51" s="483" t="s">
        <v>721</v>
      </c>
      <c r="DT51" s="483" t="s">
        <v>721</v>
      </c>
      <c r="DU51" s="483" t="s">
        <v>721</v>
      </c>
      <c r="DV51" s="496">
        <v>567</v>
      </c>
      <c r="DW51" s="497">
        <v>92481.3</v>
      </c>
      <c r="DX51" s="496">
        <v>1067</v>
      </c>
      <c r="DY51" s="497">
        <v>161089.20000000001</v>
      </c>
      <c r="DZ51" s="496">
        <v>1415</v>
      </c>
      <c r="EA51" s="497">
        <v>147446.9</v>
      </c>
      <c r="EB51" s="496">
        <v>1240</v>
      </c>
      <c r="EC51" s="497">
        <v>125257</v>
      </c>
      <c r="ED51" s="496">
        <v>980</v>
      </c>
      <c r="EE51" s="497">
        <v>102629.1</v>
      </c>
      <c r="EF51" s="496">
        <v>768</v>
      </c>
      <c r="EG51" s="497">
        <v>96242.1</v>
      </c>
      <c r="EH51" s="485">
        <v>5032</v>
      </c>
      <c r="EI51" s="486">
        <v>15543.2</v>
      </c>
      <c r="EJ51" s="485">
        <v>5063</v>
      </c>
      <c r="EK51" s="486">
        <v>116274.4</v>
      </c>
      <c r="EL51" s="485">
        <v>5005</v>
      </c>
      <c r="EM51" s="486">
        <v>48023.6</v>
      </c>
      <c r="EN51" s="485">
        <v>5208</v>
      </c>
      <c r="EO51" s="486">
        <v>26537.8</v>
      </c>
      <c r="EP51" s="485">
        <v>5026</v>
      </c>
      <c r="EQ51" s="486">
        <v>13908.6</v>
      </c>
      <c r="ER51" s="485">
        <v>4996</v>
      </c>
      <c r="ES51" s="486">
        <v>10112.4</v>
      </c>
      <c r="ET51" s="485">
        <v>0</v>
      </c>
      <c r="EU51" s="485">
        <v>4318</v>
      </c>
      <c r="EV51" s="486">
        <v>71308</v>
      </c>
      <c r="EW51" s="485">
        <v>864</v>
      </c>
      <c r="EX51" s="486">
        <v>3426.5</v>
      </c>
      <c r="EY51" s="485">
        <v>1852</v>
      </c>
      <c r="EZ51" s="486">
        <v>25614.400000000001</v>
      </c>
      <c r="FA51" s="485">
        <v>615</v>
      </c>
      <c r="FB51" s="486">
        <v>7375.5</v>
      </c>
      <c r="FC51" s="485">
        <v>5406</v>
      </c>
      <c r="FD51" s="486">
        <v>69758.5</v>
      </c>
      <c r="FE51" s="485">
        <v>5296</v>
      </c>
      <c r="FF51" s="486">
        <v>43266</v>
      </c>
      <c r="FG51" s="485">
        <v>2665</v>
      </c>
      <c r="FH51" s="486">
        <v>24262.400000000001</v>
      </c>
      <c r="FI51" s="485">
        <v>3831</v>
      </c>
      <c r="FJ51" s="486">
        <v>24936.2</v>
      </c>
      <c r="FK51" s="485">
        <v>4328</v>
      </c>
      <c r="FL51" s="486">
        <v>15128.4</v>
      </c>
      <c r="FM51" s="485">
        <v>294</v>
      </c>
      <c r="FN51" s="486">
        <v>758.8</v>
      </c>
      <c r="FO51" s="485">
        <v>4676</v>
      </c>
      <c r="FP51" s="486">
        <v>37476.9</v>
      </c>
      <c r="FQ51" s="485">
        <v>4869</v>
      </c>
      <c r="FR51" s="486">
        <v>14958.8</v>
      </c>
      <c r="FS51" s="485">
        <v>70</v>
      </c>
      <c r="FT51" s="486">
        <v>592.20000000000005</v>
      </c>
      <c r="FU51" s="485">
        <v>1</v>
      </c>
      <c r="FV51" s="486">
        <v>6</v>
      </c>
      <c r="FW51" s="485">
        <v>0</v>
      </c>
      <c r="FX51" s="486">
        <v>0</v>
      </c>
      <c r="FY51" s="485">
        <v>0</v>
      </c>
      <c r="FZ51" s="486">
        <v>0</v>
      </c>
      <c r="GA51" s="485">
        <v>0</v>
      </c>
      <c r="GB51" s="485">
        <v>0</v>
      </c>
      <c r="GC51" s="487">
        <v>0</v>
      </c>
      <c r="GD51" s="488">
        <v>5</v>
      </c>
      <c r="GE51" s="488">
        <v>140</v>
      </c>
      <c r="GF51" s="488">
        <v>2441</v>
      </c>
      <c r="GG51" s="488">
        <v>13</v>
      </c>
      <c r="GH51" s="488">
        <v>3</v>
      </c>
      <c r="GI51" s="488">
        <v>1</v>
      </c>
      <c r="GJ51" s="488">
        <v>0</v>
      </c>
      <c r="GK51" s="488">
        <v>1025</v>
      </c>
      <c r="GL51" s="488">
        <v>1544</v>
      </c>
      <c r="GM51" s="488">
        <v>2586</v>
      </c>
      <c r="GN51" s="488">
        <v>1085</v>
      </c>
      <c r="GO51" s="488">
        <v>225</v>
      </c>
      <c r="GP51" s="488">
        <v>4</v>
      </c>
      <c r="GQ51" s="488">
        <v>88</v>
      </c>
      <c r="GR51" s="488">
        <v>8</v>
      </c>
      <c r="GS51" s="488">
        <v>100</v>
      </c>
      <c r="GT51" s="489">
        <v>4354</v>
      </c>
      <c r="GU51" s="488">
        <v>5</v>
      </c>
      <c r="GV51" s="490">
        <v>1</v>
      </c>
      <c r="GW51" s="490">
        <v>2</v>
      </c>
      <c r="GX51" s="490">
        <v>8</v>
      </c>
      <c r="GY51" s="491">
        <v>13</v>
      </c>
      <c r="GZ51" s="491">
        <v>1</v>
      </c>
      <c r="HA51" s="491">
        <v>14</v>
      </c>
      <c r="HB51" s="475">
        <v>0</v>
      </c>
      <c r="HC51" s="475">
        <v>4</v>
      </c>
      <c r="HD51" s="475">
        <v>0</v>
      </c>
      <c r="HE51" s="475">
        <v>0</v>
      </c>
      <c r="HF51" s="475">
        <v>1</v>
      </c>
      <c r="HG51" s="475">
        <v>1</v>
      </c>
      <c r="HH51" s="475">
        <v>1</v>
      </c>
      <c r="HI51" s="475">
        <v>0</v>
      </c>
      <c r="HJ51" s="475">
        <v>0</v>
      </c>
      <c r="HK51" s="475">
        <v>0</v>
      </c>
      <c r="HL51" s="475">
        <v>4</v>
      </c>
      <c r="HM51" s="475">
        <v>0</v>
      </c>
      <c r="HN51" s="475">
        <v>0</v>
      </c>
      <c r="HO51" s="475">
        <v>0</v>
      </c>
      <c r="HP51" s="475">
        <v>0</v>
      </c>
      <c r="HQ51" s="475">
        <v>3</v>
      </c>
      <c r="HR51" s="475">
        <v>28</v>
      </c>
      <c r="HS51" s="475">
        <v>0</v>
      </c>
      <c r="HT51" s="475">
        <v>0</v>
      </c>
      <c r="HU51" s="475">
        <v>0</v>
      </c>
      <c r="HV51" s="475">
        <v>0</v>
      </c>
      <c r="HW51" s="475">
        <v>0</v>
      </c>
      <c r="HX51" s="475">
        <v>0</v>
      </c>
      <c r="HY51" s="475">
        <v>0</v>
      </c>
      <c r="HZ51" s="475">
        <v>72</v>
      </c>
      <c r="IA51" s="475">
        <v>32</v>
      </c>
      <c r="IB51" s="475">
        <v>64</v>
      </c>
      <c r="IC51" s="475" t="s">
        <v>721</v>
      </c>
      <c r="ID51" s="475" t="s">
        <v>721</v>
      </c>
      <c r="IE51" s="475">
        <v>19</v>
      </c>
      <c r="IF51" s="475">
        <v>17</v>
      </c>
      <c r="IG51" s="475" t="s">
        <v>721</v>
      </c>
      <c r="IH51" s="475" t="s">
        <v>721</v>
      </c>
      <c r="II51" s="475" t="s">
        <v>721</v>
      </c>
      <c r="IJ51" s="475" t="s">
        <v>721</v>
      </c>
      <c r="IK51" s="475" t="s">
        <v>721</v>
      </c>
      <c r="IL51" s="475" t="s">
        <v>721</v>
      </c>
      <c r="IM51" s="475" t="s">
        <v>721</v>
      </c>
      <c r="IN51" s="475" t="s">
        <v>721</v>
      </c>
      <c r="IO51" s="475" t="s">
        <v>721</v>
      </c>
      <c r="IP51" s="475" t="s">
        <v>721</v>
      </c>
      <c r="IQ51" s="475" t="s">
        <v>721</v>
      </c>
      <c r="IR51" s="475" t="s">
        <v>721</v>
      </c>
      <c r="IS51" s="475">
        <v>32</v>
      </c>
      <c r="IT51" s="475" t="s">
        <v>721</v>
      </c>
      <c r="IU51" s="475">
        <v>32</v>
      </c>
      <c r="IV51" s="475" t="s">
        <v>721</v>
      </c>
      <c r="IW51" s="475" t="s">
        <v>721</v>
      </c>
      <c r="IX51" s="475" t="s">
        <v>721</v>
      </c>
      <c r="IY51" s="475" t="s">
        <v>721</v>
      </c>
      <c r="IZ51" s="475" t="s">
        <v>721</v>
      </c>
      <c r="JA51" s="475" t="s">
        <v>721</v>
      </c>
      <c r="JB51" s="475" t="s">
        <v>721</v>
      </c>
      <c r="JC51" s="475" t="s">
        <v>721</v>
      </c>
      <c r="JD51" s="475" t="s">
        <v>721</v>
      </c>
      <c r="JE51" s="475" t="s">
        <v>721</v>
      </c>
      <c r="JF51" s="475" t="s">
        <v>721</v>
      </c>
      <c r="JG51" s="475" t="s">
        <v>721</v>
      </c>
      <c r="JH51" s="475" t="s">
        <v>721</v>
      </c>
      <c r="JI51" s="475" t="s">
        <v>721</v>
      </c>
      <c r="JJ51" s="475" t="s">
        <v>721</v>
      </c>
      <c r="JK51" s="475" t="s">
        <v>721</v>
      </c>
      <c r="JL51" s="755">
        <v>178749.2</v>
      </c>
      <c r="JM51" s="755">
        <v>143488.6</v>
      </c>
      <c r="JN51" s="755">
        <v>209504.3</v>
      </c>
      <c r="JO51" s="755">
        <v>17426.7</v>
      </c>
      <c r="JP51" s="755">
        <v>2218.3000000000002</v>
      </c>
      <c r="JQ51" s="755">
        <v>100929.60000000001</v>
      </c>
      <c r="JR51" s="755">
        <v>13656.7</v>
      </c>
      <c r="JS51" s="755">
        <v>638.79999999999995</v>
      </c>
      <c r="JT51" s="755">
        <v>8132.5</v>
      </c>
      <c r="JU51" s="755">
        <v>912</v>
      </c>
      <c r="JV51" s="755">
        <v>892.1</v>
      </c>
      <c r="JW51" s="755">
        <v>3811.7</v>
      </c>
      <c r="JX51" s="755">
        <v>2901.7</v>
      </c>
      <c r="JY51" s="755">
        <v>15409.9</v>
      </c>
      <c r="JZ51" s="755">
        <v>808.3</v>
      </c>
      <c r="KA51" s="755">
        <v>884.1</v>
      </c>
      <c r="KB51" s="755">
        <v>3305.8</v>
      </c>
      <c r="KC51" s="755">
        <v>4671.2</v>
      </c>
      <c r="KD51" s="755">
        <v>16804.099999999999</v>
      </c>
      <c r="KE51" s="475">
        <v>223</v>
      </c>
      <c r="KF51" s="475">
        <v>168</v>
      </c>
      <c r="KG51" s="475">
        <v>152</v>
      </c>
      <c r="KH51" s="475">
        <v>14</v>
      </c>
      <c r="KI51" s="475" t="s">
        <v>721</v>
      </c>
      <c r="KJ51" s="475">
        <v>88</v>
      </c>
      <c r="KK51" s="475" t="s">
        <v>721</v>
      </c>
      <c r="KL51" s="475" t="s">
        <v>721</v>
      </c>
      <c r="KM51" s="475" t="s">
        <v>721</v>
      </c>
      <c r="KN51" s="475" t="s">
        <v>721</v>
      </c>
      <c r="KO51" s="475" t="s">
        <v>721</v>
      </c>
      <c r="KP51" s="475" t="s">
        <v>721</v>
      </c>
      <c r="KQ51" s="475" t="s">
        <v>721</v>
      </c>
      <c r="KR51" s="475" t="s">
        <v>721</v>
      </c>
      <c r="KS51" s="475" t="s">
        <v>721</v>
      </c>
      <c r="KT51" s="475" t="s">
        <v>721</v>
      </c>
      <c r="KU51" s="475" t="s">
        <v>721</v>
      </c>
      <c r="KV51" s="475" t="s">
        <v>721</v>
      </c>
      <c r="KW51" s="475">
        <v>30</v>
      </c>
      <c r="KX51" s="475">
        <v>238</v>
      </c>
      <c r="KY51" s="475">
        <v>199</v>
      </c>
      <c r="KZ51" s="475">
        <v>253</v>
      </c>
      <c r="LA51" s="475">
        <v>26</v>
      </c>
      <c r="LB51" s="475" t="s">
        <v>721</v>
      </c>
      <c r="LC51" s="475">
        <v>149</v>
      </c>
      <c r="LD51" s="475">
        <v>11</v>
      </c>
      <c r="LE51" s="475" t="s">
        <v>721</v>
      </c>
      <c r="LF51" s="475" t="s">
        <v>721</v>
      </c>
      <c r="LG51" s="475" t="s">
        <v>721</v>
      </c>
      <c r="LH51" s="475" t="s">
        <v>721</v>
      </c>
      <c r="LI51" s="475" t="s">
        <v>721</v>
      </c>
      <c r="LJ51" s="475" t="s">
        <v>721</v>
      </c>
      <c r="LK51" s="475">
        <v>26</v>
      </c>
      <c r="LL51" s="475" t="s">
        <v>721</v>
      </c>
      <c r="LM51" s="475" t="s">
        <v>721</v>
      </c>
      <c r="LN51" s="475" t="s">
        <v>721</v>
      </c>
      <c r="LO51" s="475" t="s">
        <v>721</v>
      </c>
      <c r="LP51" s="475">
        <v>19</v>
      </c>
      <c r="LQ51" s="475">
        <v>950</v>
      </c>
      <c r="LR51" s="475">
        <v>606</v>
      </c>
      <c r="LS51" s="475">
        <v>1243</v>
      </c>
      <c r="LT51" s="475">
        <v>105</v>
      </c>
      <c r="LU51" s="475">
        <v>13</v>
      </c>
      <c r="LV51" s="475">
        <v>487</v>
      </c>
      <c r="LW51" s="475">
        <v>103</v>
      </c>
      <c r="LX51" s="475" t="s">
        <v>721</v>
      </c>
      <c r="LY51" s="475">
        <v>43</v>
      </c>
      <c r="LZ51" s="475" t="s">
        <v>721</v>
      </c>
      <c r="MA51" s="475" t="s">
        <v>721</v>
      </c>
      <c r="MB51" s="475">
        <v>17</v>
      </c>
      <c r="MC51" s="475">
        <v>13</v>
      </c>
      <c r="MD51" s="475">
        <v>92</v>
      </c>
      <c r="ME51" s="475" t="s">
        <v>721</v>
      </c>
      <c r="MF51" s="475" t="s">
        <v>721</v>
      </c>
      <c r="MG51" s="475">
        <v>21</v>
      </c>
      <c r="MH51" s="475">
        <v>22</v>
      </c>
      <c r="MI51" s="475">
        <v>111</v>
      </c>
      <c r="MJ51" s="475">
        <v>480</v>
      </c>
      <c r="MK51" s="475">
        <v>453</v>
      </c>
      <c r="ML51" s="475">
        <v>590</v>
      </c>
      <c r="MM51" s="475">
        <v>59</v>
      </c>
      <c r="MN51" s="475" t="s">
        <v>721</v>
      </c>
      <c r="MO51" s="475">
        <v>352</v>
      </c>
      <c r="MP51" s="475">
        <v>35</v>
      </c>
      <c r="MQ51" s="475" t="s">
        <v>721</v>
      </c>
      <c r="MR51" s="475">
        <v>25</v>
      </c>
      <c r="MS51" s="475" t="s">
        <v>721</v>
      </c>
      <c r="MT51" s="475" t="s">
        <v>721</v>
      </c>
      <c r="MU51" s="475">
        <v>11</v>
      </c>
      <c r="MV51" s="475">
        <v>12</v>
      </c>
      <c r="MW51" s="475">
        <v>51</v>
      </c>
      <c r="MX51" s="475" t="s">
        <v>721</v>
      </c>
      <c r="MY51" s="475" t="s">
        <v>721</v>
      </c>
      <c r="MZ51" s="475" t="s">
        <v>721</v>
      </c>
      <c r="NA51" s="475">
        <v>17</v>
      </c>
      <c r="NB51" s="475">
        <v>36</v>
      </c>
      <c r="NC51" s="476">
        <v>0.59699999999999998</v>
      </c>
      <c r="ND51" s="476">
        <v>0.40300000000000002</v>
      </c>
      <c r="NE51" s="476">
        <v>0.24</v>
      </c>
      <c r="NF51" s="476">
        <v>0.17699999999999999</v>
      </c>
      <c r="NG51" s="476">
        <v>0.307</v>
      </c>
      <c r="NH51" s="476">
        <v>2.7E-2</v>
      </c>
      <c r="NI51" s="476">
        <v>3.0000000000000001E-3</v>
      </c>
      <c r="NJ51" s="476">
        <v>0.14000000000000001</v>
      </c>
      <c r="NK51" s="476">
        <v>2.3E-2</v>
      </c>
      <c r="NL51" s="476" t="s">
        <v>721</v>
      </c>
      <c r="NM51" s="476">
        <v>1.0999999999999999E-2</v>
      </c>
      <c r="NN51" s="476" t="s">
        <v>721</v>
      </c>
      <c r="NO51" s="476" t="s">
        <v>721</v>
      </c>
      <c r="NP51" s="476">
        <v>5.0000000000000001E-3</v>
      </c>
      <c r="NQ51" s="476">
        <v>4.0000000000000001E-3</v>
      </c>
      <c r="NR51" s="476">
        <v>2.4E-2</v>
      </c>
      <c r="NS51" s="476" t="s">
        <v>721</v>
      </c>
      <c r="NT51" s="476" t="s">
        <v>721</v>
      </c>
      <c r="NU51" s="476">
        <v>5.0000000000000001E-3</v>
      </c>
      <c r="NV51" s="476">
        <v>6.0000000000000001E-3</v>
      </c>
      <c r="NW51" s="476">
        <v>2.5000000000000001E-2</v>
      </c>
      <c r="NX51" s="476">
        <v>3.0000000000000001E-3</v>
      </c>
      <c r="NY51" s="476">
        <v>0.106</v>
      </c>
      <c r="NZ51" s="476">
        <v>5.0000000000000001E-3</v>
      </c>
      <c r="OA51" s="476" t="s">
        <v>721</v>
      </c>
      <c r="OB51" s="476">
        <v>3.0000000000000001E-3</v>
      </c>
      <c r="OC51" s="476">
        <v>8.3000000000000004E-2</v>
      </c>
      <c r="OD51" s="476">
        <v>0.02</v>
      </c>
      <c r="OE51" s="476">
        <v>0.74299999999999999</v>
      </c>
      <c r="OF51" s="476">
        <v>2E-3</v>
      </c>
      <c r="OG51" s="476" t="s">
        <v>721</v>
      </c>
      <c r="OH51" s="476">
        <v>3.0000000000000001E-3</v>
      </c>
      <c r="OI51" s="476" t="s">
        <v>721</v>
      </c>
      <c r="OJ51" s="476" t="s">
        <v>721</v>
      </c>
      <c r="OK51" s="476" t="s">
        <v>721</v>
      </c>
      <c r="OL51" s="476" t="s">
        <v>721</v>
      </c>
      <c r="OM51" s="476">
        <v>3.0000000000000001E-3</v>
      </c>
      <c r="ON51" s="476" t="s">
        <v>721</v>
      </c>
      <c r="OO51" s="476">
        <v>2E-3</v>
      </c>
      <c r="OP51" s="476" t="s">
        <v>721</v>
      </c>
      <c r="OQ51" s="476" t="s">
        <v>721</v>
      </c>
      <c r="OR51" s="476" t="s">
        <v>721</v>
      </c>
      <c r="OS51" s="476" t="s">
        <v>721</v>
      </c>
      <c r="OT51" s="476">
        <v>3.0000000000000001E-3</v>
      </c>
      <c r="OU51" s="476" t="s">
        <v>721</v>
      </c>
      <c r="OV51" s="476" t="s">
        <v>721</v>
      </c>
      <c r="OW51" s="476">
        <v>5.0000000000000001E-3</v>
      </c>
      <c r="OX51" s="476" t="s">
        <v>721</v>
      </c>
      <c r="OY51" s="476" t="s">
        <v>721</v>
      </c>
      <c r="OZ51" s="476">
        <v>4.0000000000000001E-3</v>
      </c>
      <c r="PA51" s="476">
        <v>6.0000000000000001E-3</v>
      </c>
      <c r="PB51" s="476" t="s">
        <v>721</v>
      </c>
      <c r="PC51" s="476">
        <v>3.0000000000000001E-3</v>
      </c>
      <c r="PD51" s="476" t="s">
        <v>721</v>
      </c>
      <c r="PE51" s="476" t="s">
        <v>721</v>
      </c>
      <c r="PF51" s="476">
        <v>7.5999999999999998E-2</v>
      </c>
      <c r="PG51" s="476">
        <v>3.0000000000000001E-3</v>
      </c>
      <c r="PH51" s="476" t="s">
        <v>721</v>
      </c>
      <c r="PI51" s="476">
        <v>2E-3</v>
      </c>
      <c r="PJ51" s="476">
        <v>0.04</v>
      </c>
      <c r="PK51" s="476">
        <v>7.0000000000000001E-3</v>
      </c>
      <c r="PL51" s="476">
        <v>0.82399999999999995</v>
      </c>
      <c r="PM51" s="476">
        <v>2.7E-2</v>
      </c>
      <c r="PN51" s="476" t="s">
        <v>721</v>
      </c>
      <c r="PO51" s="476">
        <v>2E-3</v>
      </c>
      <c r="PP51" s="476" t="s">
        <v>721</v>
      </c>
      <c r="PQ51" s="476" t="s">
        <v>721</v>
      </c>
      <c r="PR51" s="476" t="s">
        <v>721</v>
      </c>
      <c r="PS51" s="476" t="s">
        <v>721</v>
      </c>
      <c r="PT51" s="476" t="s">
        <v>721</v>
      </c>
      <c r="PU51" s="476" t="s">
        <v>721</v>
      </c>
      <c r="PV51" s="476" t="s">
        <v>721</v>
      </c>
      <c r="PW51" s="476" t="s">
        <v>721</v>
      </c>
      <c r="PX51" s="476" t="s">
        <v>721</v>
      </c>
      <c r="PY51" s="476" t="s">
        <v>721</v>
      </c>
      <c r="PZ51" s="476" t="s">
        <v>721</v>
      </c>
      <c r="QA51" s="476" t="s">
        <v>721</v>
      </c>
      <c r="QB51" s="476" t="s">
        <v>721</v>
      </c>
      <c r="QC51" s="476" t="s">
        <v>721</v>
      </c>
      <c r="QD51" s="476">
        <v>2E-3</v>
      </c>
      <c r="QE51" s="476" t="s">
        <v>721</v>
      </c>
      <c r="QF51" s="476" t="s">
        <v>721</v>
      </c>
      <c r="QG51" s="476" t="s">
        <v>721</v>
      </c>
      <c r="QH51" s="476">
        <v>5.0000000000000001E-3</v>
      </c>
      <c r="QI51" s="476" t="s">
        <v>721</v>
      </c>
      <c r="QJ51" s="476" t="s">
        <v>721</v>
      </c>
      <c r="QK51" s="476" t="s">
        <v>721</v>
      </c>
      <c r="QL51" s="476">
        <v>0.32</v>
      </c>
      <c r="QM51" s="476">
        <v>0.14199999999999999</v>
      </c>
      <c r="QN51" s="476">
        <v>0.28399999999999997</v>
      </c>
      <c r="QO51" s="476" t="s">
        <v>721</v>
      </c>
      <c r="QP51" s="476" t="s">
        <v>721</v>
      </c>
      <c r="QQ51" s="476">
        <v>8.4000000000000005E-2</v>
      </c>
      <c r="QR51" s="476">
        <v>7.5999999999999998E-2</v>
      </c>
      <c r="QS51" s="476" t="s">
        <v>721</v>
      </c>
      <c r="QT51" s="476" t="s">
        <v>721</v>
      </c>
      <c r="QU51" s="476" t="s">
        <v>721</v>
      </c>
      <c r="QV51" s="476" t="s">
        <v>721</v>
      </c>
      <c r="QW51" s="476" t="s">
        <v>721</v>
      </c>
      <c r="QX51" s="476" t="s">
        <v>721</v>
      </c>
      <c r="QY51" s="476" t="s">
        <v>721</v>
      </c>
      <c r="QZ51" s="476" t="s">
        <v>721</v>
      </c>
      <c r="RA51" s="476" t="s">
        <v>721</v>
      </c>
      <c r="RB51" s="476" t="s">
        <v>721</v>
      </c>
      <c r="RC51" s="476" t="s">
        <v>721</v>
      </c>
      <c r="RD51" s="476" t="s">
        <v>721</v>
      </c>
      <c r="RE51" s="476">
        <v>0.32</v>
      </c>
      <c r="RF51" s="476" t="s">
        <v>721</v>
      </c>
      <c r="RG51" s="476">
        <v>0.32</v>
      </c>
      <c r="RH51" s="476" t="s">
        <v>721</v>
      </c>
      <c r="RI51" s="476" t="s">
        <v>721</v>
      </c>
      <c r="RJ51" s="476" t="s">
        <v>721</v>
      </c>
      <c r="RK51" s="476" t="s">
        <v>721</v>
      </c>
      <c r="RL51" s="476" t="s">
        <v>721</v>
      </c>
      <c r="RM51" s="476" t="s">
        <v>721</v>
      </c>
      <c r="RN51" s="476" t="s">
        <v>721</v>
      </c>
      <c r="RO51" s="476" t="s">
        <v>721</v>
      </c>
      <c r="RP51" s="476" t="s">
        <v>721</v>
      </c>
      <c r="RQ51" s="476" t="s">
        <v>721</v>
      </c>
      <c r="RR51" s="476" t="s">
        <v>721</v>
      </c>
      <c r="RS51" s="476" t="s">
        <v>721</v>
      </c>
      <c r="RT51" s="476" t="s">
        <v>721</v>
      </c>
      <c r="RU51" s="476" t="s">
        <v>721</v>
      </c>
      <c r="RV51" s="476" t="s">
        <v>721</v>
      </c>
      <c r="RW51" s="476" t="s">
        <v>721</v>
      </c>
      <c r="RX51" s="476">
        <v>0.247</v>
      </c>
      <c r="RY51" s="476">
        <v>0.19800000000000001</v>
      </c>
      <c r="RZ51" s="476">
        <v>0.28899999999999998</v>
      </c>
      <c r="SA51" s="476">
        <v>2.4E-2</v>
      </c>
      <c r="SB51" s="476">
        <v>3.0000000000000001E-3</v>
      </c>
      <c r="SC51" s="476">
        <v>0.13900000000000001</v>
      </c>
      <c r="SD51" s="476">
        <v>1.9E-2</v>
      </c>
      <c r="SE51" s="476">
        <v>1E-3</v>
      </c>
      <c r="SF51" s="476">
        <v>1.0999999999999999E-2</v>
      </c>
      <c r="SG51" s="476">
        <v>1E-3</v>
      </c>
      <c r="SH51" s="476">
        <v>1E-3</v>
      </c>
      <c r="SI51" s="476">
        <v>5.0000000000000001E-3</v>
      </c>
      <c r="SJ51" s="476">
        <v>4.0000000000000001E-3</v>
      </c>
      <c r="SK51" s="476">
        <v>2.1000000000000001E-2</v>
      </c>
      <c r="SL51" s="476">
        <v>1E-3</v>
      </c>
      <c r="SM51" s="476">
        <v>1E-3</v>
      </c>
      <c r="SN51" s="476">
        <v>5.0000000000000001E-3</v>
      </c>
      <c r="SO51" s="476">
        <v>6.0000000000000001E-3</v>
      </c>
      <c r="SP51" s="476">
        <v>2.3E-2</v>
      </c>
      <c r="SQ51" s="476">
        <v>0.307</v>
      </c>
      <c r="SR51" s="476">
        <v>0.23100000000000001</v>
      </c>
      <c r="SS51" s="476">
        <v>0.20899999999999999</v>
      </c>
      <c r="ST51" s="476">
        <v>1.9E-2</v>
      </c>
      <c r="SU51" s="476" t="s">
        <v>721</v>
      </c>
      <c r="SV51" s="476">
        <v>0.121</v>
      </c>
      <c r="SW51" s="476" t="s">
        <v>721</v>
      </c>
      <c r="SX51" s="476" t="s">
        <v>721</v>
      </c>
      <c r="SY51" s="476" t="s">
        <v>721</v>
      </c>
      <c r="SZ51" s="476" t="s">
        <v>721</v>
      </c>
      <c r="TA51" s="476" t="s">
        <v>721</v>
      </c>
      <c r="TB51" s="476" t="s">
        <v>721</v>
      </c>
      <c r="TC51" s="476" t="s">
        <v>721</v>
      </c>
      <c r="TD51" s="476" t="s">
        <v>721</v>
      </c>
      <c r="TE51" s="476" t="s">
        <v>721</v>
      </c>
      <c r="TF51" s="476" t="s">
        <v>721</v>
      </c>
      <c r="TG51" s="476" t="s">
        <v>721</v>
      </c>
      <c r="TH51" s="476" t="s">
        <v>721</v>
      </c>
      <c r="TI51" s="476">
        <v>4.1000000000000002E-2</v>
      </c>
      <c r="TJ51" s="476">
        <v>0.251</v>
      </c>
      <c r="TK51" s="476">
        <v>0.21</v>
      </c>
      <c r="TL51" s="476">
        <v>0.26700000000000002</v>
      </c>
      <c r="TM51" s="476">
        <v>2.7E-2</v>
      </c>
      <c r="TN51" s="476" t="s">
        <v>721</v>
      </c>
      <c r="TO51" s="476">
        <v>0.157</v>
      </c>
      <c r="TP51" s="476">
        <v>1.2E-2</v>
      </c>
      <c r="TQ51" s="476" t="s">
        <v>721</v>
      </c>
      <c r="TR51" s="476" t="s">
        <v>721</v>
      </c>
      <c r="TS51" s="476" t="s">
        <v>721</v>
      </c>
      <c r="TT51" s="476" t="s">
        <v>721</v>
      </c>
      <c r="TU51" s="476" t="s">
        <v>721</v>
      </c>
      <c r="TV51" s="476" t="s">
        <v>721</v>
      </c>
      <c r="TW51" s="476">
        <v>2.7E-2</v>
      </c>
      <c r="TX51" s="476" t="s">
        <v>721</v>
      </c>
      <c r="TY51" s="476" t="s">
        <v>721</v>
      </c>
      <c r="TZ51" s="476" t="s">
        <v>721</v>
      </c>
      <c r="UA51" s="476" t="s">
        <v>721</v>
      </c>
      <c r="UB51" s="476">
        <v>0.02</v>
      </c>
      <c r="UC51" s="476">
        <v>0.247</v>
      </c>
      <c r="UD51" s="476">
        <v>0.157</v>
      </c>
      <c r="UE51" s="476">
        <v>0.32300000000000001</v>
      </c>
      <c r="UF51" s="476">
        <v>2.7E-2</v>
      </c>
      <c r="UG51" s="476">
        <v>3.0000000000000001E-3</v>
      </c>
      <c r="UH51" s="476">
        <v>0.126</v>
      </c>
      <c r="UI51" s="476">
        <v>2.7E-2</v>
      </c>
      <c r="UJ51" s="476" t="s">
        <v>721</v>
      </c>
      <c r="UK51" s="476">
        <v>1.0999999999999999E-2</v>
      </c>
      <c r="UL51" s="476" t="s">
        <v>721</v>
      </c>
      <c r="UM51" s="476" t="s">
        <v>721</v>
      </c>
      <c r="UN51" s="476">
        <v>4.0000000000000001E-3</v>
      </c>
      <c r="UO51" s="476">
        <v>3.0000000000000001E-3</v>
      </c>
      <c r="UP51" s="476">
        <v>2.4E-2</v>
      </c>
      <c r="UQ51" s="476" t="s">
        <v>721</v>
      </c>
      <c r="UR51" s="476" t="s">
        <v>721</v>
      </c>
      <c r="US51" s="476">
        <v>5.0000000000000001E-3</v>
      </c>
      <c r="UT51" s="476">
        <v>6.0000000000000001E-3</v>
      </c>
      <c r="UU51" s="476">
        <v>2.9000000000000001E-2</v>
      </c>
      <c r="UV51" s="476">
        <v>0.224</v>
      </c>
      <c r="UW51" s="476">
        <v>0.21199999999999999</v>
      </c>
      <c r="UX51" s="476">
        <v>0.27600000000000002</v>
      </c>
      <c r="UY51" s="476">
        <v>2.8000000000000001E-2</v>
      </c>
      <c r="UZ51" s="476" t="s">
        <v>721</v>
      </c>
      <c r="VA51" s="476">
        <v>0.16400000000000001</v>
      </c>
      <c r="VB51" s="476">
        <v>1.6E-2</v>
      </c>
      <c r="VC51" s="476" t="s">
        <v>721</v>
      </c>
      <c r="VD51" s="476">
        <v>1.2E-2</v>
      </c>
      <c r="VE51" s="476" t="s">
        <v>721</v>
      </c>
      <c r="VF51" s="476" t="s">
        <v>721</v>
      </c>
      <c r="VG51" s="476">
        <v>5.0000000000000001E-3</v>
      </c>
      <c r="VH51" s="476">
        <v>6.0000000000000001E-3</v>
      </c>
      <c r="VI51" s="476">
        <v>2.4E-2</v>
      </c>
      <c r="VJ51" s="476" t="s">
        <v>721</v>
      </c>
      <c r="VK51" s="476" t="s">
        <v>721</v>
      </c>
      <c r="VL51" s="476" t="s">
        <v>721</v>
      </c>
      <c r="VM51" s="476">
        <v>8.0000000000000002E-3</v>
      </c>
      <c r="VN51" s="476">
        <v>1.7000000000000001E-2</v>
      </c>
      <c r="VO51" s="28"/>
      <c r="VP51" s="28"/>
      <c r="VQ51" s="28"/>
      <c r="VR51" s="28"/>
      <c r="VS51" s="28"/>
      <c r="VT51" s="28"/>
      <c r="VU51" s="28"/>
      <c r="VV51" s="28"/>
      <c r="VW51" s="28"/>
      <c r="VX51" s="28"/>
      <c r="VY51" s="28"/>
      <c r="VZ51" s="28"/>
      <c r="WA51" s="28"/>
      <c r="WB51" s="28"/>
      <c r="WC51" s="28"/>
      <c r="WD51" s="28"/>
      <c r="WE51" s="28"/>
      <c r="WF51" s="28"/>
      <c r="WG51" s="28"/>
      <c r="WH51" s="28"/>
      <c r="WI51" s="28"/>
      <c r="WJ51" s="28"/>
      <c r="WK51" s="28"/>
      <c r="WL51" s="28"/>
      <c r="WM51" s="28"/>
      <c r="WN51" s="28"/>
      <c r="WO51" s="28"/>
      <c r="WP51" s="28"/>
      <c r="WQ51" s="28"/>
      <c r="WR51" s="28"/>
      <c r="WS51" s="28"/>
      <c r="WT51" s="28"/>
      <c r="WU51" s="28"/>
      <c r="WV51" s="28"/>
      <c r="WW51" s="28"/>
    </row>
    <row r="52" spans="1:621" s="151" customFormat="1" ht="15.75" customHeight="1" x14ac:dyDescent="0.35">
      <c r="A52" s="477" t="s">
        <v>56</v>
      </c>
      <c r="B52" s="492" t="s">
        <v>17</v>
      </c>
      <c r="C52" s="493">
        <v>16.850000000000001</v>
      </c>
      <c r="D52" s="494">
        <v>7454</v>
      </c>
      <c r="E52" s="473">
        <v>903207.2</v>
      </c>
      <c r="F52" s="473">
        <v>121.2</v>
      </c>
      <c r="G52" s="474">
        <v>7414</v>
      </c>
      <c r="H52" s="474">
        <v>6604</v>
      </c>
      <c r="I52" s="474">
        <v>4803</v>
      </c>
      <c r="J52" s="474">
        <v>3474</v>
      </c>
      <c r="K52" s="474">
        <v>2310</v>
      </c>
      <c r="L52" s="473">
        <v>423792.3</v>
      </c>
      <c r="M52" s="474">
        <v>5075</v>
      </c>
      <c r="N52" s="473">
        <v>479414.9</v>
      </c>
      <c r="O52" s="494">
        <v>1131</v>
      </c>
      <c r="P52" s="495">
        <v>199716.2</v>
      </c>
      <c r="Q52" s="494">
        <v>1260</v>
      </c>
      <c r="R52" s="495">
        <v>37827.300000000003</v>
      </c>
      <c r="S52" s="494">
        <v>1829</v>
      </c>
      <c r="T52" s="495">
        <v>191169.4</v>
      </c>
      <c r="U52" s="494">
        <v>61</v>
      </c>
      <c r="V52" s="495">
        <v>8914.2000000000007</v>
      </c>
      <c r="W52" s="494">
        <v>5564</v>
      </c>
      <c r="X52" s="495">
        <v>703123.6</v>
      </c>
      <c r="Y52" s="494">
        <v>6609</v>
      </c>
      <c r="Z52" s="494">
        <v>3370</v>
      </c>
      <c r="AA52" s="494">
        <v>3822</v>
      </c>
      <c r="AB52" s="494">
        <v>2521</v>
      </c>
      <c r="AC52" s="494">
        <v>246</v>
      </c>
      <c r="AD52" s="494">
        <v>1573</v>
      </c>
      <c r="AE52" s="494">
        <v>3586</v>
      </c>
      <c r="AF52" s="495">
        <v>245578.7</v>
      </c>
      <c r="AG52" s="494">
        <v>3407</v>
      </c>
      <c r="AH52" s="495">
        <v>624706</v>
      </c>
      <c r="AI52" s="494">
        <v>156</v>
      </c>
      <c r="AJ52" s="495">
        <v>6984</v>
      </c>
      <c r="AK52" s="494">
        <v>236</v>
      </c>
      <c r="AL52" s="495">
        <v>25938.5</v>
      </c>
      <c r="AM52" s="496">
        <v>4215</v>
      </c>
      <c r="AN52" s="496">
        <v>3239</v>
      </c>
      <c r="AO52" s="496">
        <v>4170</v>
      </c>
      <c r="AP52" s="496">
        <v>1677</v>
      </c>
      <c r="AQ52" s="496">
        <v>279</v>
      </c>
      <c r="AR52" s="496">
        <v>114</v>
      </c>
      <c r="AS52" s="496">
        <v>150</v>
      </c>
      <c r="AT52" s="496">
        <v>36</v>
      </c>
      <c r="AU52" s="496">
        <v>295</v>
      </c>
      <c r="AV52" s="496" t="s">
        <v>721</v>
      </c>
      <c r="AW52" s="496">
        <v>47</v>
      </c>
      <c r="AX52" s="496">
        <v>75</v>
      </c>
      <c r="AY52" s="496" t="s">
        <v>721</v>
      </c>
      <c r="AZ52" s="496">
        <v>11</v>
      </c>
      <c r="BA52" s="496" t="s">
        <v>721</v>
      </c>
      <c r="BB52" s="496">
        <v>41</v>
      </c>
      <c r="BC52" s="496" t="s">
        <v>721</v>
      </c>
      <c r="BD52" s="496" t="s">
        <v>721</v>
      </c>
      <c r="BE52" s="496">
        <v>85</v>
      </c>
      <c r="BF52" s="496">
        <v>83</v>
      </c>
      <c r="BG52" s="496">
        <v>367</v>
      </c>
      <c r="BH52" s="496" t="s">
        <v>721</v>
      </c>
      <c r="BI52" s="496">
        <v>1147</v>
      </c>
      <c r="BJ52" s="496">
        <v>18</v>
      </c>
      <c r="BK52" s="496" t="s">
        <v>721</v>
      </c>
      <c r="BL52" s="496" t="s">
        <v>721</v>
      </c>
      <c r="BM52" s="496">
        <v>11</v>
      </c>
      <c r="BN52" s="496">
        <v>91</v>
      </c>
      <c r="BO52" s="496">
        <v>5819</v>
      </c>
      <c r="BP52" s="496" t="s">
        <v>721</v>
      </c>
      <c r="BQ52" s="496" t="s">
        <v>721</v>
      </c>
      <c r="BR52" s="496">
        <v>24</v>
      </c>
      <c r="BS52" s="496" t="s">
        <v>721</v>
      </c>
      <c r="BT52" s="496">
        <v>65</v>
      </c>
      <c r="BU52" s="496" t="s">
        <v>721</v>
      </c>
      <c r="BV52" s="496" t="s">
        <v>721</v>
      </c>
      <c r="BW52" s="496" t="s">
        <v>721</v>
      </c>
      <c r="BX52" s="496" t="s">
        <v>721</v>
      </c>
      <c r="BY52" s="496">
        <v>82</v>
      </c>
      <c r="BZ52" s="496" t="s">
        <v>721</v>
      </c>
      <c r="CA52" s="496" t="s">
        <v>721</v>
      </c>
      <c r="CB52" s="496" t="s">
        <v>721</v>
      </c>
      <c r="CC52" s="496" t="s">
        <v>721</v>
      </c>
      <c r="CD52" s="496">
        <v>31</v>
      </c>
      <c r="CE52" s="496" t="s">
        <v>721</v>
      </c>
      <c r="CF52" s="496" t="s">
        <v>721</v>
      </c>
      <c r="CG52" s="496">
        <v>22</v>
      </c>
      <c r="CH52" s="496" t="s">
        <v>721</v>
      </c>
      <c r="CI52" s="496" t="s">
        <v>721</v>
      </c>
      <c r="CJ52" s="496">
        <v>17</v>
      </c>
      <c r="CK52" s="496">
        <v>68</v>
      </c>
      <c r="CL52" s="496" t="s">
        <v>721</v>
      </c>
      <c r="CM52" s="496" t="s">
        <v>721</v>
      </c>
      <c r="CN52" s="496" t="s">
        <v>721</v>
      </c>
      <c r="CO52" s="496" t="s">
        <v>721</v>
      </c>
      <c r="CP52" s="496">
        <v>699</v>
      </c>
      <c r="CQ52" s="496" t="s">
        <v>721</v>
      </c>
      <c r="CR52" s="496" t="s">
        <v>721</v>
      </c>
      <c r="CS52" s="496" t="s">
        <v>721</v>
      </c>
      <c r="CT52" s="496" t="s">
        <v>721</v>
      </c>
      <c r="CU52" s="496" t="s">
        <v>721</v>
      </c>
      <c r="CV52" s="496">
        <v>5781</v>
      </c>
      <c r="CW52" s="496">
        <v>70</v>
      </c>
      <c r="CX52" s="496" t="s">
        <v>721</v>
      </c>
      <c r="CY52" s="496" t="s">
        <v>721</v>
      </c>
      <c r="CZ52" s="496" t="s">
        <v>721</v>
      </c>
      <c r="DA52" s="496" t="s">
        <v>721</v>
      </c>
      <c r="DB52" s="496" t="s">
        <v>721</v>
      </c>
      <c r="DC52" s="496" t="s">
        <v>721</v>
      </c>
      <c r="DD52" s="496" t="s">
        <v>721</v>
      </c>
      <c r="DE52" s="496" t="s">
        <v>721</v>
      </c>
      <c r="DF52" s="496" t="s">
        <v>721</v>
      </c>
      <c r="DG52" s="496" t="s">
        <v>721</v>
      </c>
      <c r="DH52" s="496" t="s">
        <v>721</v>
      </c>
      <c r="DI52" s="496" t="s">
        <v>721</v>
      </c>
      <c r="DJ52" s="496" t="s">
        <v>721</v>
      </c>
      <c r="DK52" s="496">
        <v>12</v>
      </c>
      <c r="DL52" s="496" t="s">
        <v>721</v>
      </c>
      <c r="DM52" s="496" t="s">
        <v>721</v>
      </c>
      <c r="DN52" s="496" t="s">
        <v>721</v>
      </c>
      <c r="DO52" s="496" t="s">
        <v>721</v>
      </c>
      <c r="DP52" s="496" t="s">
        <v>721</v>
      </c>
      <c r="DQ52" s="496" t="s">
        <v>721</v>
      </c>
      <c r="DR52" s="496" t="s">
        <v>721</v>
      </c>
      <c r="DS52" s="483" t="s">
        <v>721</v>
      </c>
      <c r="DT52" s="483" t="s">
        <v>721</v>
      </c>
      <c r="DU52" s="483" t="s">
        <v>721</v>
      </c>
      <c r="DV52" s="496">
        <v>902</v>
      </c>
      <c r="DW52" s="497">
        <v>172287</v>
      </c>
      <c r="DX52" s="496">
        <v>1288</v>
      </c>
      <c r="DY52" s="497">
        <v>186122.4</v>
      </c>
      <c r="DZ52" s="496">
        <v>1787</v>
      </c>
      <c r="EA52" s="497">
        <v>181923.6</v>
      </c>
      <c r="EB52" s="496">
        <v>1589</v>
      </c>
      <c r="EC52" s="497">
        <v>155908.20000000001</v>
      </c>
      <c r="ED52" s="496">
        <v>1189</v>
      </c>
      <c r="EE52" s="497">
        <v>121388.1</v>
      </c>
      <c r="EF52" s="496">
        <v>699</v>
      </c>
      <c r="EG52" s="497">
        <v>85577.9</v>
      </c>
      <c r="EH52" s="485">
        <v>6089</v>
      </c>
      <c r="EI52" s="486">
        <v>26699.4</v>
      </c>
      <c r="EJ52" s="485">
        <v>6063</v>
      </c>
      <c r="EK52" s="486">
        <v>147725.1</v>
      </c>
      <c r="EL52" s="485">
        <v>6010</v>
      </c>
      <c r="EM52" s="486">
        <v>71756.5</v>
      </c>
      <c r="EN52" s="485">
        <v>6419</v>
      </c>
      <c r="EO52" s="486">
        <v>33082</v>
      </c>
      <c r="EP52" s="485">
        <v>6056</v>
      </c>
      <c r="EQ52" s="486">
        <v>20966.5</v>
      </c>
      <c r="ER52" s="485">
        <v>6024</v>
      </c>
      <c r="ES52" s="486">
        <v>13325.9</v>
      </c>
      <c r="ET52" s="485">
        <v>1</v>
      </c>
      <c r="EU52" s="485">
        <v>4292</v>
      </c>
      <c r="EV52" s="486">
        <v>65253.5</v>
      </c>
      <c r="EW52" s="485">
        <v>1151</v>
      </c>
      <c r="EX52" s="486">
        <v>5090.8</v>
      </c>
      <c r="EY52" s="485">
        <v>2732</v>
      </c>
      <c r="EZ52" s="486">
        <v>28244.7</v>
      </c>
      <c r="FA52" s="485">
        <v>937</v>
      </c>
      <c r="FB52" s="486">
        <v>8684</v>
      </c>
      <c r="FC52" s="485">
        <v>5958</v>
      </c>
      <c r="FD52" s="486">
        <v>70542.8</v>
      </c>
      <c r="FE52" s="485">
        <v>5766</v>
      </c>
      <c r="FF52" s="486">
        <v>47048.2</v>
      </c>
      <c r="FG52" s="485">
        <v>2554</v>
      </c>
      <c r="FH52" s="486">
        <v>21774.6</v>
      </c>
      <c r="FI52" s="485">
        <v>3997</v>
      </c>
      <c r="FJ52" s="486">
        <v>26195.7</v>
      </c>
      <c r="FK52" s="485">
        <v>5099</v>
      </c>
      <c r="FL52" s="486">
        <v>18315.5</v>
      </c>
      <c r="FM52" s="485">
        <v>326</v>
      </c>
      <c r="FN52" s="486">
        <v>735.5</v>
      </c>
      <c r="FO52" s="485">
        <v>5502</v>
      </c>
      <c r="FP52" s="486">
        <v>38678.5</v>
      </c>
      <c r="FQ52" s="485">
        <v>5795</v>
      </c>
      <c r="FR52" s="486">
        <v>21401.7</v>
      </c>
      <c r="FS52" s="485">
        <v>57</v>
      </c>
      <c r="FT52" s="486">
        <v>284.8</v>
      </c>
      <c r="FU52" s="485">
        <v>1</v>
      </c>
      <c r="FV52" s="486">
        <v>130.6</v>
      </c>
      <c r="FW52" s="485">
        <v>0</v>
      </c>
      <c r="FX52" s="486">
        <v>0</v>
      </c>
      <c r="FY52" s="485">
        <v>0</v>
      </c>
      <c r="FZ52" s="486">
        <v>0</v>
      </c>
      <c r="GA52" s="485">
        <v>0</v>
      </c>
      <c r="GB52" s="485">
        <v>0</v>
      </c>
      <c r="GC52" s="487">
        <v>0</v>
      </c>
      <c r="GD52" s="488">
        <v>41</v>
      </c>
      <c r="GE52" s="488">
        <v>109</v>
      </c>
      <c r="GF52" s="488">
        <v>1767</v>
      </c>
      <c r="GG52" s="488">
        <v>9</v>
      </c>
      <c r="GH52" s="488">
        <v>8</v>
      </c>
      <c r="GI52" s="488">
        <v>2</v>
      </c>
      <c r="GJ52" s="488">
        <v>0</v>
      </c>
      <c r="GK52" s="488">
        <v>764</v>
      </c>
      <c r="GL52" s="488">
        <v>1134</v>
      </c>
      <c r="GM52" s="488">
        <v>1917</v>
      </c>
      <c r="GN52" s="488">
        <v>1816</v>
      </c>
      <c r="GO52" s="488">
        <v>222</v>
      </c>
      <c r="GP52" s="488">
        <v>5</v>
      </c>
      <c r="GQ52" s="488">
        <v>86</v>
      </c>
      <c r="GR52" s="488">
        <v>24</v>
      </c>
      <c r="GS52" s="488">
        <v>115</v>
      </c>
      <c r="GT52" s="489">
        <v>4481</v>
      </c>
      <c r="GU52" s="488">
        <v>12</v>
      </c>
      <c r="GV52" s="490">
        <v>0</v>
      </c>
      <c r="GW52" s="490">
        <v>9</v>
      </c>
      <c r="GX52" s="490">
        <v>21</v>
      </c>
      <c r="GY52" s="491">
        <v>15</v>
      </c>
      <c r="GZ52" s="491">
        <v>26</v>
      </c>
      <c r="HA52" s="491">
        <v>41</v>
      </c>
      <c r="HB52" s="475">
        <v>1</v>
      </c>
      <c r="HC52" s="475">
        <v>1</v>
      </c>
      <c r="HD52" s="475">
        <v>0</v>
      </c>
      <c r="HE52" s="475">
        <v>0</v>
      </c>
      <c r="HF52" s="475">
        <v>0</v>
      </c>
      <c r="HG52" s="475">
        <v>3</v>
      </c>
      <c r="HH52" s="475">
        <v>5</v>
      </c>
      <c r="HI52" s="475">
        <v>0</v>
      </c>
      <c r="HJ52" s="475">
        <v>0</v>
      </c>
      <c r="HK52" s="475">
        <v>0</v>
      </c>
      <c r="HL52" s="475">
        <v>0</v>
      </c>
      <c r="HM52" s="475">
        <v>0</v>
      </c>
      <c r="HN52" s="475">
        <v>0</v>
      </c>
      <c r="HO52" s="475">
        <v>4</v>
      </c>
      <c r="HP52" s="475">
        <v>0</v>
      </c>
      <c r="HQ52" s="475">
        <v>0</v>
      </c>
      <c r="HR52" s="475">
        <v>31</v>
      </c>
      <c r="HS52" s="475">
        <v>0</v>
      </c>
      <c r="HT52" s="475">
        <v>0</v>
      </c>
      <c r="HU52" s="475">
        <v>0</v>
      </c>
      <c r="HV52" s="475">
        <v>0</v>
      </c>
      <c r="HW52" s="475">
        <v>0</v>
      </c>
      <c r="HX52" s="475">
        <v>0</v>
      </c>
      <c r="HY52" s="475">
        <v>0</v>
      </c>
      <c r="HZ52" s="475">
        <v>109</v>
      </c>
      <c r="IA52" s="475">
        <v>51</v>
      </c>
      <c r="IB52" s="475" t="s">
        <v>721</v>
      </c>
      <c r="IC52" s="475" t="s">
        <v>721</v>
      </c>
      <c r="ID52" s="475" t="s">
        <v>721</v>
      </c>
      <c r="IE52" s="475" t="s">
        <v>721</v>
      </c>
      <c r="IF52" s="475" t="s">
        <v>721</v>
      </c>
      <c r="IG52" s="475" t="s">
        <v>721</v>
      </c>
      <c r="IH52" s="475" t="s">
        <v>721</v>
      </c>
      <c r="II52" s="475" t="s">
        <v>721</v>
      </c>
      <c r="IJ52" s="475" t="s">
        <v>721</v>
      </c>
      <c r="IK52" s="475" t="s">
        <v>721</v>
      </c>
      <c r="IL52" s="475" t="s">
        <v>721</v>
      </c>
      <c r="IM52" s="475" t="s">
        <v>721</v>
      </c>
      <c r="IN52" s="475" t="s">
        <v>721</v>
      </c>
      <c r="IO52" s="475" t="s">
        <v>721</v>
      </c>
      <c r="IP52" s="475" t="s">
        <v>721</v>
      </c>
      <c r="IQ52" s="475" t="s">
        <v>721</v>
      </c>
      <c r="IR52" s="475">
        <v>36</v>
      </c>
      <c r="IS52" s="475">
        <v>67</v>
      </c>
      <c r="IT52" s="475">
        <v>17</v>
      </c>
      <c r="IU52" s="475" t="s">
        <v>721</v>
      </c>
      <c r="IV52" s="475" t="s">
        <v>721</v>
      </c>
      <c r="IW52" s="475" t="s">
        <v>721</v>
      </c>
      <c r="IX52" s="475" t="s">
        <v>721</v>
      </c>
      <c r="IY52" s="475" t="s">
        <v>721</v>
      </c>
      <c r="IZ52" s="475" t="s">
        <v>721</v>
      </c>
      <c r="JA52" s="475" t="s">
        <v>721</v>
      </c>
      <c r="JB52" s="475" t="s">
        <v>721</v>
      </c>
      <c r="JC52" s="475" t="s">
        <v>721</v>
      </c>
      <c r="JD52" s="475" t="s">
        <v>721</v>
      </c>
      <c r="JE52" s="475" t="s">
        <v>721</v>
      </c>
      <c r="JF52" s="475" t="s">
        <v>721</v>
      </c>
      <c r="JG52" s="475" t="s">
        <v>721</v>
      </c>
      <c r="JH52" s="475" t="s">
        <v>721</v>
      </c>
      <c r="JI52" s="475" t="s">
        <v>721</v>
      </c>
      <c r="JJ52" s="475" t="s">
        <v>721</v>
      </c>
      <c r="JK52" s="475">
        <v>20</v>
      </c>
      <c r="JL52" s="755">
        <v>487813.9</v>
      </c>
      <c r="JM52" s="755">
        <v>218517.5</v>
      </c>
      <c r="JN52" s="755">
        <v>38029.599999999999</v>
      </c>
      <c r="JO52" s="755">
        <v>14928.3</v>
      </c>
      <c r="JP52" s="755">
        <v>17916.400000000001</v>
      </c>
      <c r="JQ52" s="755">
        <v>5035.2</v>
      </c>
      <c r="JR52" s="755">
        <v>34111</v>
      </c>
      <c r="JS52" s="755">
        <v>236.7</v>
      </c>
      <c r="JT52" s="755">
        <v>5629.5</v>
      </c>
      <c r="JU52" s="755">
        <v>8031.9</v>
      </c>
      <c r="JV52" s="755">
        <v>1300.0999999999999</v>
      </c>
      <c r="JW52" s="755">
        <v>1644.4</v>
      </c>
      <c r="JX52" s="755">
        <v>814</v>
      </c>
      <c r="JY52" s="755">
        <v>5315.1</v>
      </c>
      <c r="JZ52" s="755">
        <v>224.4</v>
      </c>
      <c r="KA52" s="755">
        <v>176.2</v>
      </c>
      <c r="KB52" s="755">
        <v>11331.2</v>
      </c>
      <c r="KC52" s="755">
        <v>9129.7999999999993</v>
      </c>
      <c r="KD52" s="755">
        <v>43022</v>
      </c>
      <c r="KE52" s="475">
        <v>544</v>
      </c>
      <c r="KF52" s="475">
        <v>316</v>
      </c>
      <c r="KG52" s="475">
        <v>44</v>
      </c>
      <c r="KH52" s="475">
        <v>22</v>
      </c>
      <c r="KI52" s="475">
        <v>19</v>
      </c>
      <c r="KJ52" s="475">
        <v>11</v>
      </c>
      <c r="KK52" s="475">
        <v>55</v>
      </c>
      <c r="KL52" s="475" t="s">
        <v>721</v>
      </c>
      <c r="KM52" s="475" t="s">
        <v>721</v>
      </c>
      <c r="KN52" s="475" t="s">
        <v>721</v>
      </c>
      <c r="KO52" s="475" t="s">
        <v>721</v>
      </c>
      <c r="KP52" s="475" t="s">
        <v>721</v>
      </c>
      <c r="KQ52" s="475" t="s">
        <v>721</v>
      </c>
      <c r="KR52" s="475" t="s">
        <v>721</v>
      </c>
      <c r="KS52" s="475" t="s">
        <v>721</v>
      </c>
      <c r="KT52" s="475" t="s">
        <v>721</v>
      </c>
      <c r="KU52" s="475">
        <v>11</v>
      </c>
      <c r="KV52" s="475" t="s">
        <v>721</v>
      </c>
      <c r="KW52" s="475">
        <v>80</v>
      </c>
      <c r="KX52" s="475">
        <v>587</v>
      </c>
      <c r="KY52" s="475">
        <v>406</v>
      </c>
      <c r="KZ52" s="475">
        <v>50</v>
      </c>
      <c r="LA52" s="475">
        <v>18</v>
      </c>
      <c r="LB52" s="475">
        <v>29</v>
      </c>
      <c r="LC52" s="475" t="s">
        <v>721</v>
      </c>
      <c r="LD52" s="475">
        <v>32</v>
      </c>
      <c r="LE52" s="475" t="s">
        <v>721</v>
      </c>
      <c r="LF52" s="475" t="s">
        <v>721</v>
      </c>
      <c r="LG52" s="475">
        <v>22</v>
      </c>
      <c r="LH52" s="475" t="s">
        <v>721</v>
      </c>
      <c r="LI52" s="475" t="s">
        <v>721</v>
      </c>
      <c r="LJ52" s="475" t="s">
        <v>721</v>
      </c>
      <c r="LK52" s="475">
        <v>14</v>
      </c>
      <c r="LL52" s="475" t="s">
        <v>721</v>
      </c>
      <c r="LM52" s="475" t="s">
        <v>721</v>
      </c>
      <c r="LN52" s="475">
        <v>22</v>
      </c>
      <c r="LO52" s="475">
        <v>21</v>
      </c>
      <c r="LP52" s="475">
        <v>38</v>
      </c>
      <c r="LQ52" s="475">
        <v>2943</v>
      </c>
      <c r="LR52" s="475">
        <v>1033</v>
      </c>
      <c r="LS52" s="475">
        <v>164</v>
      </c>
      <c r="LT52" s="475">
        <v>68</v>
      </c>
      <c r="LU52" s="475">
        <v>100</v>
      </c>
      <c r="LV52" s="475">
        <v>24</v>
      </c>
      <c r="LW52" s="475">
        <v>237</v>
      </c>
      <c r="LX52" s="475" t="s">
        <v>721</v>
      </c>
      <c r="LY52" s="475">
        <v>26</v>
      </c>
      <c r="LZ52" s="475">
        <v>49</v>
      </c>
      <c r="MA52" s="475" t="s">
        <v>721</v>
      </c>
      <c r="MB52" s="475" t="s">
        <v>721</v>
      </c>
      <c r="MC52" s="475" t="s">
        <v>721</v>
      </c>
      <c r="MD52" s="475">
        <v>25</v>
      </c>
      <c r="ME52" s="475" t="s">
        <v>721</v>
      </c>
      <c r="MF52" s="475" t="s">
        <v>721</v>
      </c>
      <c r="MG52" s="475">
        <v>41</v>
      </c>
      <c r="MH52" s="475">
        <v>49</v>
      </c>
      <c r="MI52" s="475">
        <v>291</v>
      </c>
      <c r="MJ52" s="475">
        <v>1180</v>
      </c>
      <c r="MK52" s="475">
        <v>633</v>
      </c>
      <c r="ML52" s="475">
        <v>112</v>
      </c>
      <c r="MM52" s="475">
        <v>45</v>
      </c>
      <c r="MN52" s="475">
        <v>49</v>
      </c>
      <c r="MO52" s="475">
        <v>12</v>
      </c>
      <c r="MP52" s="475">
        <v>57</v>
      </c>
      <c r="MQ52" s="475" t="s">
        <v>721</v>
      </c>
      <c r="MR52" s="475">
        <v>21</v>
      </c>
      <c r="MS52" s="475">
        <v>26</v>
      </c>
      <c r="MT52" s="475" t="s">
        <v>721</v>
      </c>
      <c r="MU52" s="475" t="s">
        <v>721</v>
      </c>
      <c r="MV52" s="475" t="s">
        <v>721</v>
      </c>
      <c r="MW52" s="475">
        <v>16</v>
      </c>
      <c r="MX52" s="475" t="s">
        <v>721</v>
      </c>
      <c r="MY52" s="475" t="s">
        <v>721</v>
      </c>
      <c r="MZ52" s="475">
        <v>42</v>
      </c>
      <c r="NA52" s="475">
        <v>33</v>
      </c>
      <c r="NB52" s="475">
        <v>74</v>
      </c>
      <c r="NC52" s="476">
        <v>0.56499999999999995</v>
      </c>
      <c r="ND52" s="476">
        <v>0.435</v>
      </c>
      <c r="NE52" s="476">
        <v>0.55900000000000005</v>
      </c>
      <c r="NF52" s="476">
        <v>0.22500000000000001</v>
      </c>
      <c r="NG52" s="476">
        <v>3.7999999999999999E-2</v>
      </c>
      <c r="NH52" s="476">
        <v>1.4999999999999999E-2</v>
      </c>
      <c r="NI52" s="476">
        <v>0.02</v>
      </c>
      <c r="NJ52" s="476">
        <v>5.0000000000000001E-3</v>
      </c>
      <c r="NK52" s="476">
        <v>0.04</v>
      </c>
      <c r="NL52" s="476" t="s">
        <v>721</v>
      </c>
      <c r="NM52" s="476">
        <v>6.0000000000000001E-3</v>
      </c>
      <c r="NN52" s="476">
        <v>0.01</v>
      </c>
      <c r="NO52" s="476" t="s">
        <v>721</v>
      </c>
      <c r="NP52" s="476">
        <v>1E-3</v>
      </c>
      <c r="NQ52" s="476" t="s">
        <v>721</v>
      </c>
      <c r="NR52" s="476">
        <v>6.0000000000000001E-3</v>
      </c>
      <c r="NS52" s="476" t="s">
        <v>721</v>
      </c>
      <c r="NT52" s="476" t="s">
        <v>721</v>
      </c>
      <c r="NU52" s="476">
        <v>1.0999999999999999E-2</v>
      </c>
      <c r="NV52" s="476">
        <v>1.0999999999999999E-2</v>
      </c>
      <c r="NW52" s="476">
        <v>4.9000000000000002E-2</v>
      </c>
      <c r="NX52" s="476" t="s">
        <v>721</v>
      </c>
      <c r="NY52" s="476">
        <v>0.154</v>
      </c>
      <c r="NZ52" s="476">
        <v>2E-3</v>
      </c>
      <c r="OA52" s="476" t="s">
        <v>721</v>
      </c>
      <c r="OB52" s="476" t="s">
        <v>721</v>
      </c>
      <c r="OC52" s="476">
        <v>1E-3</v>
      </c>
      <c r="OD52" s="476">
        <v>1.2E-2</v>
      </c>
      <c r="OE52" s="476">
        <v>0.78100000000000003</v>
      </c>
      <c r="OF52" s="476" t="s">
        <v>721</v>
      </c>
      <c r="OG52" s="476" t="s">
        <v>721</v>
      </c>
      <c r="OH52" s="476">
        <v>3.0000000000000001E-3</v>
      </c>
      <c r="OI52" s="476" t="s">
        <v>721</v>
      </c>
      <c r="OJ52" s="476">
        <v>8.9999999999999993E-3</v>
      </c>
      <c r="OK52" s="476" t="s">
        <v>721</v>
      </c>
      <c r="OL52" s="476" t="s">
        <v>721</v>
      </c>
      <c r="OM52" s="476" t="s">
        <v>721</v>
      </c>
      <c r="ON52" s="476" t="s">
        <v>721</v>
      </c>
      <c r="OO52" s="476">
        <v>1.0999999999999999E-2</v>
      </c>
      <c r="OP52" s="476" t="s">
        <v>721</v>
      </c>
      <c r="OQ52" s="476" t="s">
        <v>721</v>
      </c>
      <c r="OR52" s="476" t="s">
        <v>721</v>
      </c>
      <c r="OS52" s="476" t="s">
        <v>721</v>
      </c>
      <c r="OT52" s="476">
        <v>4.0000000000000001E-3</v>
      </c>
      <c r="OU52" s="476" t="s">
        <v>721</v>
      </c>
      <c r="OV52" s="476" t="s">
        <v>721</v>
      </c>
      <c r="OW52" s="476">
        <v>3.0000000000000001E-3</v>
      </c>
      <c r="OX52" s="476" t="s">
        <v>721</v>
      </c>
      <c r="OY52" s="476" t="s">
        <v>721</v>
      </c>
      <c r="OZ52" s="476">
        <v>2E-3</v>
      </c>
      <c r="PA52" s="476">
        <v>8.9999999999999993E-3</v>
      </c>
      <c r="PB52" s="476" t="s">
        <v>721</v>
      </c>
      <c r="PC52" s="476" t="s">
        <v>721</v>
      </c>
      <c r="PD52" s="476" t="s">
        <v>721</v>
      </c>
      <c r="PE52" s="476" t="s">
        <v>721</v>
      </c>
      <c r="PF52" s="476">
        <v>0.106</v>
      </c>
      <c r="PG52" s="476" t="s">
        <v>721</v>
      </c>
      <c r="PH52" s="476" t="s">
        <v>721</v>
      </c>
      <c r="PI52" s="476" t="s">
        <v>721</v>
      </c>
      <c r="PJ52" s="476" t="s">
        <v>721</v>
      </c>
      <c r="PK52" s="476" t="s">
        <v>721</v>
      </c>
      <c r="PL52" s="476">
        <v>0.875</v>
      </c>
      <c r="PM52" s="476">
        <v>1.0999999999999999E-2</v>
      </c>
      <c r="PN52" s="476" t="s">
        <v>721</v>
      </c>
      <c r="PO52" s="476" t="s">
        <v>721</v>
      </c>
      <c r="PP52" s="476" t="s">
        <v>721</v>
      </c>
      <c r="PQ52" s="476" t="s">
        <v>721</v>
      </c>
      <c r="PR52" s="476" t="s">
        <v>721</v>
      </c>
      <c r="PS52" s="476" t="s">
        <v>721</v>
      </c>
      <c r="PT52" s="476" t="s">
        <v>721</v>
      </c>
      <c r="PU52" s="476" t="s">
        <v>721</v>
      </c>
      <c r="PV52" s="476" t="s">
        <v>721</v>
      </c>
      <c r="PW52" s="476" t="s">
        <v>721</v>
      </c>
      <c r="PX52" s="476" t="s">
        <v>721</v>
      </c>
      <c r="PY52" s="476" t="s">
        <v>721</v>
      </c>
      <c r="PZ52" s="476" t="s">
        <v>721</v>
      </c>
      <c r="QA52" s="476">
        <v>2E-3</v>
      </c>
      <c r="QB52" s="476" t="s">
        <v>721</v>
      </c>
      <c r="QC52" s="476" t="s">
        <v>721</v>
      </c>
      <c r="QD52" s="476" t="s">
        <v>721</v>
      </c>
      <c r="QE52" s="476" t="s">
        <v>721</v>
      </c>
      <c r="QF52" s="476" t="s">
        <v>721</v>
      </c>
      <c r="QG52" s="476" t="s">
        <v>721</v>
      </c>
      <c r="QH52" s="476" t="s">
        <v>721</v>
      </c>
      <c r="QI52" s="476" t="s">
        <v>721</v>
      </c>
      <c r="QJ52" s="476" t="s">
        <v>721</v>
      </c>
      <c r="QK52" s="476" t="s">
        <v>721</v>
      </c>
      <c r="QL52" s="476">
        <v>0.49099999999999999</v>
      </c>
      <c r="QM52" s="476">
        <v>0.23</v>
      </c>
      <c r="QN52" s="476" t="s">
        <v>721</v>
      </c>
      <c r="QO52" s="476" t="s">
        <v>721</v>
      </c>
      <c r="QP52" s="476" t="s">
        <v>721</v>
      </c>
      <c r="QQ52" s="476" t="s">
        <v>721</v>
      </c>
      <c r="QR52" s="476" t="s">
        <v>721</v>
      </c>
      <c r="QS52" s="476" t="s">
        <v>721</v>
      </c>
      <c r="QT52" s="476" t="s">
        <v>721</v>
      </c>
      <c r="QU52" s="476" t="s">
        <v>721</v>
      </c>
      <c r="QV52" s="476" t="s">
        <v>721</v>
      </c>
      <c r="QW52" s="476" t="s">
        <v>721</v>
      </c>
      <c r="QX52" s="476" t="s">
        <v>721</v>
      </c>
      <c r="QY52" s="476" t="s">
        <v>721</v>
      </c>
      <c r="QZ52" s="476" t="s">
        <v>721</v>
      </c>
      <c r="RA52" s="476" t="s">
        <v>721</v>
      </c>
      <c r="RB52" s="476" t="s">
        <v>721</v>
      </c>
      <c r="RC52" s="476" t="s">
        <v>721</v>
      </c>
      <c r="RD52" s="476">
        <v>0.16200000000000001</v>
      </c>
      <c r="RE52" s="476">
        <v>0.58299999999999996</v>
      </c>
      <c r="RF52" s="476">
        <v>0.14799999999999999</v>
      </c>
      <c r="RG52" s="476" t="s">
        <v>721</v>
      </c>
      <c r="RH52" s="476" t="s">
        <v>721</v>
      </c>
      <c r="RI52" s="476" t="s">
        <v>721</v>
      </c>
      <c r="RJ52" s="476" t="s">
        <v>721</v>
      </c>
      <c r="RK52" s="476" t="s">
        <v>721</v>
      </c>
      <c r="RL52" s="476" t="s">
        <v>721</v>
      </c>
      <c r="RM52" s="476" t="s">
        <v>721</v>
      </c>
      <c r="RN52" s="476" t="s">
        <v>721</v>
      </c>
      <c r="RO52" s="476" t="s">
        <v>721</v>
      </c>
      <c r="RP52" s="476" t="s">
        <v>721</v>
      </c>
      <c r="RQ52" s="476" t="s">
        <v>721</v>
      </c>
      <c r="RR52" s="476" t="s">
        <v>721</v>
      </c>
      <c r="RS52" s="476" t="s">
        <v>721</v>
      </c>
      <c r="RT52" s="476" t="s">
        <v>721</v>
      </c>
      <c r="RU52" s="476" t="s">
        <v>721</v>
      </c>
      <c r="RV52" s="476" t="s">
        <v>721</v>
      </c>
      <c r="RW52" s="476">
        <v>0.17399999999999999</v>
      </c>
      <c r="RX52" s="476">
        <v>0.54</v>
      </c>
      <c r="RY52" s="476">
        <v>0.24199999999999999</v>
      </c>
      <c r="RZ52" s="476">
        <v>4.2000000000000003E-2</v>
      </c>
      <c r="SA52" s="476">
        <v>1.7000000000000001E-2</v>
      </c>
      <c r="SB52" s="476">
        <v>0.02</v>
      </c>
      <c r="SC52" s="476">
        <v>6.0000000000000001E-3</v>
      </c>
      <c r="SD52" s="476">
        <v>3.7999999999999999E-2</v>
      </c>
      <c r="SE52" s="476">
        <v>0</v>
      </c>
      <c r="SF52" s="476">
        <v>6.0000000000000001E-3</v>
      </c>
      <c r="SG52" s="476">
        <v>8.9999999999999993E-3</v>
      </c>
      <c r="SH52" s="476">
        <v>1E-3</v>
      </c>
      <c r="SI52" s="476">
        <v>2E-3</v>
      </c>
      <c r="SJ52" s="476">
        <v>1E-3</v>
      </c>
      <c r="SK52" s="476">
        <v>6.0000000000000001E-3</v>
      </c>
      <c r="SL52" s="476">
        <v>0</v>
      </c>
      <c r="SM52" s="476">
        <v>0</v>
      </c>
      <c r="SN52" s="476">
        <v>1.2999999999999999E-2</v>
      </c>
      <c r="SO52" s="476">
        <v>0.01</v>
      </c>
      <c r="SP52" s="476">
        <v>4.8000000000000001E-2</v>
      </c>
      <c r="SQ52" s="476">
        <v>0.48099999999999998</v>
      </c>
      <c r="SR52" s="476">
        <v>0.27900000000000003</v>
      </c>
      <c r="SS52" s="476">
        <v>3.9E-2</v>
      </c>
      <c r="ST52" s="476">
        <v>1.9E-2</v>
      </c>
      <c r="SU52" s="476">
        <v>1.7000000000000001E-2</v>
      </c>
      <c r="SV52" s="476">
        <v>0.01</v>
      </c>
      <c r="SW52" s="476">
        <v>4.9000000000000002E-2</v>
      </c>
      <c r="SX52" s="476" t="s">
        <v>721</v>
      </c>
      <c r="SY52" s="476" t="s">
        <v>721</v>
      </c>
      <c r="SZ52" s="476" t="s">
        <v>721</v>
      </c>
      <c r="TA52" s="476" t="s">
        <v>721</v>
      </c>
      <c r="TB52" s="476" t="s">
        <v>721</v>
      </c>
      <c r="TC52" s="476" t="s">
        <v>721</v>
      </c>
      <c r="TD52" s="476" t="s">
        <v>721</v>
      </c>
      <c r="TE52" s="476" t="s">
        <v>721</v>
      </c>
      <c r="TF52" s="476" t="s">
        <v>721</v>
      </c>
      <c r="TG52" s="476">
        <v>0.01</v>
      </c>
      <c r="TH52" s="476" t="s">
        <v>721</v>
      </c>
      <c r="TI52" s="476">
        <v>7.0999999999999994E-2</v>
      </c>
      <c r="TJ52" s="476">
        <v>0.46600000000000003</v>
      </c>
      <c r="TK52" s="476">
        <v>0.32200000000000001</v>
      </c>
      <c r="TL52" s="476">
        <v>0.04</v>
      </c>
      <c r="TM52" s="476">
        <v>1.4E-2</v>
      </c>
      <c r="TN52" s="476">
        <v>2.3E-2</v>
      </c>
      <c r="TO52" s="476" t="s">
        <v>721</v>
      </c>
      <c r="TP52" s="476">
        <v>2.5000000000000001E-2</v>
      </c>
      <c r="TQ52" s="476" t="s">
        <v>721</v>
      </c>
      <c r="TR52" s="476" t="s">
        <v>721</v>
      </c>
      <c r="TS52" s="476">
        <v>1.7000000000000001E-2</v>
      </c>
      <c r="TT52" s="476" t="s">
        <v>721</v>
      </c>
      <c r="TU52" s="476" t="s">
        <v>721</v>
      </c>
      <c r="TV52" s="476" t="s">
        <v>721</v>
      </c>
      <c r="TW52" s="476">
        <v>1.0999999999999999E-2</v>
      </c>
      <c r="TX52" s="476" t="s">
        <v>721</v>
      </c>
      <c r="TY52" s="476" t="s">
        <v>721</v>
      </c>
      <c r="TZ52" s="476">
        <v>1.7000000000000001E-2</v>
      </c>
      <c r="UA52" s="476">
        <v>1.7000000000000001E-2</v>
      </c>
      <c r="UB52" s="476">
        <v>0.03</v>
      </c>
      <c r="UC52" s="476">
        <v>0.57999999999999996</v>
      </c>
      <c r="UD52" s="476">
        <v>0.20399999999999999</v>
      </c>
      <c r="UE52" s="476">
        <v>3.2000000000000001E-2</v>
      </c>
      <c r="UF52" s="476">
        <v>1.2999999999999999E-2</v>
      </c>
      <c r="UG52" s="476">
        <v>0.02</v>
      </c>
      <c r="UH52" s="476">
        <v>5.0000000000000001E-3</v>
      </c>
      <c r="UI52" s="476">
        <v>4.7E-2</v>
      </c>
      <c r="UJ52" s="476" t="s">
        <v>721</v>
      </c>
      <c r="UK52" s="476">
        <v>5.0000000000000001E-3</v>
      </c>
      <c r="UL52" s="476">
        <v>0.01</v>
      </c>
      <c r="UM52" s="476" t="s">
        <v>721</v>
      </c>
      <c r="UN52" s="476" t="s">
        <v>721</v>
      </c>
      <c r="UO52" s="476" t="s">
        <v>721</v>
      </c>
      <c r="UP52" s="476">
        <v>5.0000000000000001E-3</v>
      </c>
      <c r="UQ52" s="476" t="s">
        <v>721</v>
      </c>
      <c r="UR52" s="476" t="s">
        <v>721</v>
      </c>
      <c r="US52" s="476">
        <v>8.0000000000000002E-3</v>
      </c>
      <c r="UT52" s="476">
        <v>0.01</v>
      </c>
      <c r="UU52" s="476">
        <v>5.7000000000000002E-2</v>
      </c>
      <c r="UV52" s="476">
        <v>0.51100000000000001</v>
      </c>
      <c r="UW52" s="476">
        <v>0.27400000000000002</v>
      </c>
      <c r="UX52" s="476">
        <v>4.8000000000000001E-2</v>
      </c>
      <c r="UY52" s="476">
        <v>1.9E-2</v>
      </c>
      <c r="UZ52" s="476">
        <v>2.1000000000000001E-2</v>
      </c>
      <c r="VA52" s="476">
        <v>5.0000000000000001E-3</v>
      </c>
      <c r="VB52" s="476">
        <v>2.5000000000000001E-2</v>
      </c>
      <c r="VC52" s="476" t="s">
        <v>721</v>
      </c>
      <c r="VD52" s="476">
        <v>8.9999999999999993E-3</v>
      </c>
      <c r="VE52" s="476">
        <v>1.0999999999999999E-2</v>
      </c>
      <c r="VF52" s="476" t="s">
        <v>721</v>
      </c>
      <c r="VG52" s="476" t="s">
        <v>721</v>
      </c>
      <c r="VH52" s="476" t="s">
        <v>721</v>
      </c>
      <c r="VI52" s="476">
        <v>7.0000000000000001E-3</v>
      </c>
      <c r="VJ52" s="476" t="s">
        <v>721</v>
      </c>
      <c r="VK52" s="476" t="s">
        <v>721</v>
      </c>
      <c r="VL52" s="476">
        <v>1.7999999999999999E-2</v>
      </c>
      <c r="VM52" s="476">
        <v>1.4E-2</v>
      </c>
      <c r="VN52" s="476">
        <v>3.2000000000000001E-2</v>
      </c>
      <c r="VO52" s="28"/>
      <c r="VP52" s="28"/>
      <c r="VQ52" s="28"/>
      <c r="VR52" s="28"/>
      <c r="VS52" s="28"/>
      <c r="VT52" s="28"/>
      <c r="VU52" s="28"/>
      <c r="VV52" s="28"/>
      <c r="VW52" s="28"/>
      <c r="VX52" s="28"/>
      <c r="VY52" s="28"/>
      <c r="VZ52" s="28"/>
      <c r="WA52" s="28"/>
      <c r="WB52" s="28"/>
      <c r="WC52" s="28"/>
      <c r="WD52" s="28"/>
      <c r="WE52" s="28"/>
      <c r="WF52" s="28"/>
      <c r="WG52" s="28"/>
      <c r="WH52" s="28"/>
      <c r="WI52" s="28"/>
      <c r="WJ52" s="28"/>
      <c r="WK52" s="28"/>
      <c r="WL52" s="28"/>
      <c r="WM52" s="28"/>
      <c r="WN52" s="28"/>
      <c r="WO52" s="28"/>
      <c r="WP52" s="28"/>
      <c r="WQ52" s="28"/>
      <c r="WR52" s="28"/>
      <c r="WS52" s="28"/>
      <c r="WT52" s="28"/>
      <c r="WU52" s="28"/>
      <c r="WV52" s="28"/>
      <c r="WW52" s="28"/>
    </row>
    <row r="53" spans="1:621" s="151" customFormat="1" ht="15.75" customHeight="1" x14ac:dyDescent="0.35">
      <c r="A53" s="477" t="s">
        <v>57</v>
      </c>
      <c r="B53" s="492" t="s">
        <v>17</v>
      </c>
      <c r="C53" s="493">
        <v>16.75</v>
      </c>
      <c r="D53" s="494">
        <v>7852</v>
      </c>
      <c r="E53" s="473">
        <v>799822.6</v>
      </c>
      <c r="F53" s="473">
        <v>101.9</v>
      </c>
      <c r="G53" s="474">
        <v>7817</v>
      </c>
      <c r="H53" s="474">
        <v>6966</v>
      </c>
      <c r="I53" s="474">
        <v>5124</v>
      </c>
      <c r="J53" s="474">
        <v>3976</v>
      </c>
      <c r="K53" s="474">
        <v>2211</v>
      </c>
      <c r="L53" s="473">
        <v>362635.1</v>
      </c>
      <c r="M53" s="474">
        <v>5590</v>
      </c>
      <c r="N53" s="473">
        <v>437187.5</v>
      </c>
      <c r="O53" s="494">
        <v>549</v>
      </c>
      <c r="P53" s="495">
        <v>96756.9</v>
      </c>
      <c r="Q53" s="494">
        <v>1297</v>
      </c>
      <c r="R53" s="495">
        <v>33063.1</v>
      </c>
      <c r="S53" s="494">
        <v>2012</v>
      </c>
      <c r="T53" s="495">
        <v>190349.7</v>
      </c>
      <c r="U53" s="494">
        <v>114</v>
      </c>
      <c r="V53" s="495">
        <v>11683.3</v>
      </c>
      <c r="W53" s="494">
        <v>5726</v>
      </c>
      <c r="X53" s="495">
        <v>597789.6</v>
      </c>
      <c r="Y53" s="494">
        <v>7014</v>
      </c>
      <c r="Z53" s="494">
        <v>4147</v>
      </c>
      <c r="AA53" s="494">
        <v>5310</v>
      </c>
      <c r="AB53" s="494">
        <v>3707</v>
      </c>
      <c r="AC53" s="494">
        <v>380</v>
      </c>
      <c r="AD53" s="494">
        <v>1307</v>
      </c>
      <c r="AE53" s="480">
        <v>4359</v>
      </c>
      <c r="AF53" s="481">
        <v>289811.90000000002</v>
      </c>
      <c r="AG53" s="480">
        <v>3084</v>
      </c>
      <c r="AH53" s="481">
        <v>489762.7</v>
      </c>
      <c r="AI53" s="480">
        <v>257</v>
      </c>
      <c r="AJ53" s="481">
        <v>11018.8</v>
      </c>
      <c r="AK53" s="480">
        <v>101</v>
      </c>
      <c r="AL53" s="481">
        <v>9229.2000000000007</v>
      </c>
      <c r="AM53" s="496">
        <v>4741</v>
      </c>
      <c r="AN53" s="496">
        <v>3111</v>
      </c>
      <c r="AO53" s="496">
        <v>3410</v>
      </c>
      <c r="AP53" s="496">
        <v>2373</v>
      </c>
      <c r="AQ53" s="496">
        <v>527</v>
      </c>
      <c r="AR53" s="496">
        <v>188</v>
      </c>
      <c r="AS53" s="496">
        <v>41</v>
      </c>
      <c r="AT53" s="496">
        <v>56</v>
      </c>
      <c r="AU53" s="496">
        <v>157</v>
      </c>
      <c r="AV53" s="496" t="s">
        <v>721</v>
      </c>
      <c r="AW53" s="496">
        <v>41</v>
      </c>
      <c r="AX53" s="496">
        <v>188</v>
      </c>
      <c r="AY53" s="496" t="s">
        <v>721</v>
      </c>
      <c r="AZ53" s="496" t="s">
        <v>721</v>
      </c>
      <c r="BA53" s="496">
        <v>14</v>
      </c>
      <c r="BB53" s="496">
        <v>215</v>
      </c>
      <c r="BC53" s="496" t="s">
        <v>721</v>
      </c>
      <c r="BD53" s="496" t="s">
        <v>721</v>
      </c>
      <c r="BE53" s="496">
        <v>85</v>
      </c>
      <c r="BF53" s="496">
        <v>33</v>
      </c>
      <c r="BG53" s="496">
        <v>513</v>
      </c>
      <c r="BH53" s="496" t="s">
        <v>721</v>
      </c>
      <c r="BI53" s="496">
        <v>1183</v>
      </c>
      <c r="BJ53" s="496">
        <v>25</v>
      </c>
      <c r="BK53" s="496" t="s">
        <v>721</v>
      </c>
      <c r="BL53" s="496" t="s">
        <v>721</v>
      </c>
      <c r="BM53" s="496">
        <v>22</v>
      </c>
      <c r="BN53" s="496">
        <v>1105</v>
      </c>
      <c r="BO53" s="496">
        <v>4882</v>
      </c>
      <c r="BP53" s="496" t="s">
        <v>721</v>
      </c>
      <c r="BQ53" s="496" t="s">
        <v>721</v>
      </c>
      <c r="BR53" s="496" t="s">
        <v>721</v>
      </c>
      <c r="BS53" s="496" t="s">
        <v>721</v>
      </c>
      <c r="BT53" s="496">
        <v>179</v>
      </c>
      <c r="BU53" s="496">
        <v>12</v>
      </c>
      <c r="BV53" s="496" t="s">
        <v>721</v>
      </c>
      <c r="BW53" s="496" t="s">
        <v>721</v>
      </c>
      <c r="BX53" s="496" t="s">
        <v>721</v>
      </c>
      <c r="BY53" s="496">
        <v>74</v>
      </c>
      <c r="BZ53" s="496" t="s">
        <v>721</v>
      </c>
      <c r="CA53" s="496" t="s">
        <v>721</v>
      </c>
      <c r="CB53" s="496" t="s">
        <v>721</v>
      </c>
      <c r="CC53" s="496" t="s">
        <v>721</v>
      </c>
      <c r="CD53" s="496">
        <v>19</v>
      </c>
      <c r="CE53" s="496">
        <v>45</v>
      </c>
      <c r="CF53" s="496" t="s">
        <v>721</v>
      </c>
      <c r="CG53" s="496">
        <v>76</v>
      </c>
      <c r="CH53" s="496" t="s">
        <v>721</v>
      </c>
      <c r="CI53" s="496" t="s">
        <v>721</v>
      </c>
      <c r="CJ53" s="496">
        <v>104</v>
      </c>
      <c r="CK53" s="496">
        <v>37</v>
      </c>
      <c r="CL53" s="496" t="s">
        <v>721</v>
      </c>
      <c r="CM53" s="496">
        <v>32</v>
      </c>
      <c r="CN53" s="496" t="s">
        <v>721</v>
      </c>
      <c r="CO53" s="496" t="s">
        <v>721</v>
      </c>
      <c r="CP53" s="496">
        <v>539</v>
      </c>
      <c r="CQ53" s="496" t="s">
        <v>721</v>
      </c>
      <c r="CR53" s="496" t="s">
        <v>721</v>
      </c>
      <c r="CS53" s="496" t="s">
        <v>721</v>
      </c>
      <c r="CT53" s="496" t="s">
        <v>721</v>
      </c>
      <c r="CU53" s="496">
        <v>204</v>
      </c>
      <c r="CV53" s="496">
        <v>6042</v>
      </c>
      <c r="CW53" s="496">
        <v>89</v>
      </c>
      <c r="CX53" s="496" t="s">
        <v>721</v>
      </c>
      <c r="CY53" s="496" t="s">
        <v>721</v>
      </c>
      <c r="CZ53" s="496" t="s">
        <v>721</v>
      </c>
      <c r="DA53" s="496">
        <v>12</v>
      </c>
      <c r="DB53" s="496" t="s">
        <v>721</v>
      </c>
      <c r="DC53" s="496" t="s">
        <v>721</v>
      </c>
      <c r="DD53" s="496" t="s">
        <v>721</v>
      </c>
      <c r="DE53" s="496" t="s">
        <v>721</v>
      </c>
      <c r="DF53" s="496" t="s">
        <v>721</v>
      </c>
      <c r="DG53" s="496" t="s">
        <v>721</v>
      </c>
      <c r="DH53" s="496" t="s">
        <v>721</v>
      </c>
      <c r="DI53" s="496" t="s">
        <v>721</v>
      </c>
      <c r="DJ53" s="496" t="s">
        <v>721</v>
      </c>
      <c r="DK53" s="496" t="s">
        <v>721</v>
      </c>
      <c r="DL53" s="496" t="s">
        <v>721</v>
      </c>
      <c r="DM53" s="496" t="s">
        <v>721</v>
      </c>
      <c r="DN53" s="496">
        <v>23</v>
      </c>
      <c r="DO53" s="496" t="s">
        <v>721</v>
      </c>
      <c r="DP53" s="496" t="s">
        <v>721</v>
      </c>
      <c r="DQ53" s="496">
        <v>36</v>
      </c>
      <c r="DR53" s="496">
        <v>14</v>
      </c>
      <c r="DS53" s="483" t="s">
        <v>721</v>
      </c>
      <c r="DT53" s="483">
        <v>13</v>
      </c>
      <c r="DU53" s="483" t="s">
        <v>721</v>
      </c>
      <c r="DV53" s="496">
        <v>546</v>
      </c>
      <c r="DW53" s="497">
        <v>72145.399999999994</v>
      </c>
      <c r="DX53" s="496">
        <v>1214</v>
      </c>
      <c r="DY53" s="497">
        <v>166009.9</v>
      </c>
      <c r="DZ53" s="496">
        <v>1814</v>
      </c>
      <c r="EA53" s="497">
        <v>169630.1</v>
      </c>
      <c r="EB53" s="496">
        <v>1692</v>
      </c>
      <c r="EC53" s="497">
        <v>142273.1</v>
      </c>
      <c r="ED53" s="496">
        <v>1604</v>
      </c>
      <c r="EE53" s="497">
        <v>145499.70000000001</v>
      </c>
      <c r="EF53" s="496">
        <v>982</v>
      </c>
      <c r="EG53" s="497">
        <v>104264.4</v>
      </c>
      <c r="EH53" s="485">
        <v>6629</v>
      </c>
      <c r="EI53" s="486">
        <v>23975</v>
      </c>
      <c r="EJ53" s="485">
        <v>6598</v>
      </c>
      <c r="EK53" s="486">
        <v>151988.4</v>
      </c>
      <c r="EL53" s="485">
        <v>6539</v>
      </c>
      <c r="EM53" s="486">
        <v>55553.7</v>
      </c>
      <c r="EN53" s="485">
        <v>6728</v>
      </c>
      <c r="EO53" s="486">
        <v>34756.1</v>
      </c>
      <c r="EP53" s="485">
        <v>6585</v>
      </c>
      <c r="EQ53" s="486">
        <v>17821.8</v>
      </c>
      <c r="ER53" s="485">
        <v>6570</v>
      </c>
      <c r="ES53" s="486">
        <v>13185.3</v>
      </c>
      <c r="ET53" s="485">
        <v>0</v>
      </c>
      <c r="EU53" s="485">
        <v>4818</v>
      </c>
      <c r="EV53" s="486">
        <v>75342</v>
      </c>
      <c r="EW53" s="485">
        <v>1115</v>
      </c>
      <c r="EX53" s="486">
        <v>5067.6000000000004</v>
      </c>
      <c r="EY53" s="485">
        <v>1694</v>
      </c>
      <c r="EZ53" s="486">
        <v>24748.799999999999</v>
      </c>
      <c r="FA53" s="485">
        <v>1173</v>
      </c>
      <c r="FB53" s="486">
        <v>11733.4</v>
      </c>
      <c r="FC53" s="485">
        <v>6580</v>
      </c>
      <c r="FD53" s="486">
        <v>79637.600000000006</v>
      </c>
      <c r="FE53" s="485">
        <v>6556</v>
      </c>
      <c r="FF53" s="486">
        <v>53855.7</v>
      </c>
      <c r="FG53" s="485">
        <v>3515</v>
      </c>
      <c r="FH53" s="486">
        <v>29664.5</v>
      </c>
      <c r="FI53" s="485">
        <v>4492</v>
      </c>
      <c r="FJ53" s="486">
        <v>26449.3</v>
      </c>
      <c r="FK53" s="485">
        <v>5843</v>
      </c>
      <c r="FL53" s="486">
        <v>19057</v>
      </c>
      <c r="FM53" s="485">
        <v>335</v>
      </c>
      <c r="FN53" s="486">
        <v>873.6</v>
      </c>
      <c r="FO53" s="485">
        <v>6479</v>
      </c>
      <c r="FP53" s="486">
        <v>29376.400000000001</v>
      </c>
      <c r="FQ53" s="485">
        <v>6075</v>
      </c>
      <c r="FR53" s="486">
        <v>16904.5</v>
      </c>
      <c r="FS53" s="485">
        <v>61</v>
      </c>
      <c r="FT53" s="486">
        <v>437.8</v>
      </c>
      <c r="FU53" s="485">
        <v>0</v>
      </c>
      <c r="FV53" s="486">
        <v>0</v>
      </c>
      <c r="FW53" s="485">
        <v>0</v>
      </c>
      <c r="FX53" s="486">
        <v>0</v>
      </c>
      <c r="FY53" s="485">
        <v>0</v>
      </c>
      <c r="FZ53" s="486">
        <v>0</v>
      </c>
      <c r="GA53" s="485">
        <v>0</v>
      </c>
      <c r="GB53" s="485">
        <v>0</v>
      </c>
      <c r="GC53" s="487">
        <v>0</v>
      </c>
      <c r="GD53" s="488">
        <v>3</v>
      </c>
      <c r="GE53" s="488">
        <v>335</v>
      </c>
      <c r="GF53" s="488">
        <v>3384</v>
      </c>
      <c r="GG53" s="488">
        <v>12</v>
      </c>
      <c r="GH53" s="488">
        <v>3</v>
      </c>
      <c r="GI53" s="488">
        <v>2</v>
      </c>
      <c r="GJ53" s="488">
        <v>0</v>
      </c>
      <c r="GK53" s="488">
        <v>1492</v>
      </c>
      <c r="GL53" s="488">
        <v>2213</v>
      </c>
      <c r="GM53" s="488">
        <v>3722</v>
      </c>
      <c r="GN53" s="488">
        <v>1422</v>
      </c>
      <c r="GO53" s="488">
        <v>271</v>
      </c>
      <c r="GP53" s="488">
        <v>27</v>
      </c>
      <c r="GQ53" s="488">
        <v>96</v>
      </c>
      <c r="GR53" s="488">
        <v>29</v>
      </c>
      <c r="GS53" s="488">
        <v>152</v>
      </c>
      <c r="GT53" s="489">
        <v>5144</v>
      </c>
      <c r="GU53" s="488">
        <v>8</v>
      </c>
      <c r="GV53" s="490">
        <v>1</v>
      </c>
      <c r="GW53" s="490">
        <v>8</v>
      </c>
      <c r="GX53" s="490">
        <v>17</v>
      </c>
      <c r="GY53" s="491">
        <v>10</v>
      </c>
      <c r="GZ53" s="491">
        <v>15</v>
      </c>
      <c r="HA53" s="491">
        <v>25</v>
      </c>
      <c r="HB53" s="475">
        <v>1</v>
      </c>
      <c r="HC53" s="475">
        <v>3</v>
      </c>
      <c r="HD53" s="475">
        <v>0</v>
      </c>
      <c r="HE53" s="475">
        <v>1</v>
      </c>
      <c r="HF53" s="475">
        <v>2</v>
      </c>
      <c r="HG53" s="475">
        <v>0</v>
      </c>
      <c r="HH53" s="475">
        <v>0</v>
      </c>
      <c r="HI53" s="475">
        <v>0</v>
      </c>
      <c r="HJ53" s="475">
        <v>0</v>
      </c>
      <c r="HK53" s="475">
        <v>0</v>
      </c>
      <c r="HL53" s="475">
        <v>0</v>
      </c>
      <c r="HM53" s="475">
        <v>1</v>
      </c>
      <c r="HN53" s="475">
        <v>0</v>
      </c>
      <c r="HO53" s="475">
        <v>3</v>
      </c>
      <c r="HP53" s="475">
        <v>0</v>
      </c>
      <c r="HQ53" s="475">
        <v>0</v>
      </c>
      <c r="HR53" s="475">
        <v>30</v>
      </c>
      <c r="HS53" s="475">
        <v>0</v>
      </c>
      <c r="HT53" s="475">
        <v>0</v>
      </c>
      <c r="HU53" s="475">
        <v>0</v>
      </c>
      <c r="HV53" s="475">
        <v>0</v>
      </c>
      <c r="HW53" s="475">
        <v>0</v>
      </c>
      <c r="HX53" s="475">
        <v>0</v>
      </c>
      <c r="HY53" s="475">
        <v>0</v>
      </c>
      <c r="HZ53" s="475">
        <v>107</v>
      </c>
      <c r="IA53" s="475">
        <v>101</v>
      </c>
      <c r="IB53" s="475" t="s">
        <v>721</v>
      </c>
      <c r="IC53" s="475" t="s">
        <v>721</v>
      </c>
      <c r="ID53" s="475" t="s">
        <v>721</v>
      </c>
      <c r="IE53" s="475" t="s">
        <v>721</v>
      </c>
      <c r="IF53" s="475">
        <v>16</v>
      </c>
      <c r="IG53" s="475" t="s">
        <v>721</v>
      </c>
      <c r="IH53" s="475" t="s">
        <v>721</v>
      </c>
      <c r="II53" s="475" t="s">
        <v>721</v>
      </c>
      <c r="IJ53" s="475" t="s">
        <v>721</v>
      </c>
      <c r="IK53" s="475" t="s">
        <v>721</v>
      </c>
      <c r="IL53" s="475" t="s">
        <v>721</v>
      </c>
      <c r="IM53" s="475">
        <v>13</v>
      </c>
      <c r="IN53" s="475" t="s">
        <v>721</v>
      </c>
      <c r="IO53" s="475" t="s">
        <v>721</v>
      </c>
      <c r="IP53" s="475" t="s">
        <v>721</v>
      </c>
      <c r="IQ53" s="475" t="s">
        <v>721</v>
      </c>
      <c r="IR53" s="475">
        <v>13</v>
      </c>
      <c r="IS53" s="475">
        <v>54</v>
      </c>
      <c r="IT53" s="475">
        <v>52</v>
      </c>
      <c r="IU53" s="475" t="s">
        <v>721</v>
      </c>
      <c r="IV53" s="475" t="s">
        <v>721</v>
      </c>
      <c r="IW53" s="475" t="s">
        <v>721</v>
      </c>
      <c r="IX53" s="475" t="s">
        <v>721</v>
      </c>
      <c r="IY53" s="475">
        <v>25</v>
      </c>
      <c r="IZ53" s="475" t="s">
        <v>721</v>
      </c>
      <c r="JA53" s="475" t="s">
        <v>721</v>
      </c>
      <c r="JB53" s="475" t="s">
        <v>721</v>
      </c>
      <c r="JC53" s="475" t="s">
        <v>721</v>
      </c>
      <c r="JD53" s="475" t="s">
        <v>721</v>
      </c>
      <c r="JE53" s="475" t="s">
        <v>721</v>
      </c>
      <c r="JF53" s="475" t="s">
        <v>721</v>
      </c>
      <c r="JG53" s="475" t="s">
        <v>721</v>
      </c>
      <c r="JH53" s="475" t="s">
        <v>721</v>
      </c>
      <c r="JI53" s="475" t="s">
        <v>721</v>
      </c>
      <c r="JJ53" s="475" t="s">
        <v>721</v>
      </c>
      <c r="JK53" s="475" t="s">
        <v>721</v>
      </c>
      <c r="JL53" s="755">
        <v>348119.1</v>
      </c>
      <c r="JM53" s="755">
        <v>251653.7</v>
      </c>
      <c r="JN53" s="755">
        <v>54080.7</v>
      </c>
      <c r="JO53" s="755">
        <v>17417.7</v>
      </c>
      <c r="JP53" s="755">
        <v>3860.5</v>
      </c>
      <c r="JQ53" s="755">
        <v>6080</v>
      </c>
      <c r="JR53" s="755">
        <v>13696.9</v>
      </c>
      <c r="JS53" s="755">
        <v>32.5</v>
      </c>
      <c r="JT53" s="755">
        <v>4084.5</v>
      </c>
      <c r="JU53" s="755">
        <v>18849.3</v>
      </c>
      <c r="JV53" s="755">
        <v>492.5</v>
      </c>
      <c r="JW53" s="755">
        <v>528.5</v>
      </c>
      <c r="JX53" s="755">
        <v>1606.9</v>
      </c>
      <c r="JY53" s="755">
        <v>20547</v>
      </c>
      <c r="JZ53" s="755">
        <v>179.2</v>
      </c>
      <c r="KA53" s="755">
        <v>83.3</v>
      </c>
      <c r="KB53" s="755">
        <v>8964.7999999999993</v>
      </c>
      <c r="KC53" s="755">
        <v>3285.2</v>
      </c>
      <c r="KD53" s="755">
        <v>46260.3</v>
      </c>
      <c r="KE53" s="475">
        <v>235</v>
      </c>
      <c r="KF53" s="475">
        <v>197</v>
      </c>
      <c r="KG53" s="475">
        <v>33</v>
      </c>
      <c r="KH53" s="475" t="s">
        <v>721</v>
      </c>
      <c r="KI53" s="475" t="s">
        <v>721</v>
      </c>
      <c r="KJ53" s="475" t="s">
        <v>721</v>
      </c>
      <c r="KK53" s="475" t="s">
        <v>721</v>
      </c>
      <c r="KL53" s="475" t="s">
        <v>721</v>
      </c>
      <c r="KM53" s="475" t="s">
        <v>721</v>
      </c>
      <c r="KN53" s="475" t="s">
        <v>721</v>
      </c>
      <c r="KO53" s="475" t="s">
        <v>721</v>
      </c>
      <c r="KP53" s="475" t="s">
        <v>721</v>
      </c>
      <c r="KQ53" s="475" t="s">
        <v>721</v>
      </c>
      <c r="KR53" s="475">
        <v>11</v>
      </c>
      <c r="KS53" s="475" t="s">
        <v>721</v>
      </c>
      <c r="KT53" s="475" t="s">
        <v>721</v>
      </c>
      <c r="KU53" s="475" t="s">
        <v>721</v>
      </c>
      <c r="KV53" s="475" t="s">
        <v>721</v>
      </c>
      <c r="KW53" s="475">
        <v>32</v>
      </c>
      <c r="KX53" s="475">
        <v>557</v>
      </c>
      <c r="KY53" s="475">
        <v>404</v>
      </c>
      <c r="KZ53" s="475">
        <v>57</v>
      </c>
      <c r="LA53" s="475">
        <v>36</v>
      </c>
      <c r="LB53" s="475" t="s">
        <v>721</v>
      </c>
      <c r="LC53" s="475" t="s">
        <v>721</v>
      </c>
      <c r="LD53" s="475">
        <v>18</v>
      </c>
      <c r="LE53" s="475" t="s">
        <v>721</v>
      </c>
      <c r="LF53" s="475" t="s">
        <v>721</v>
      </c>
      <c r="LG53" s="475">
        <v>47</v>
      </c>
      <c r="LH53" s="475" t="s">
        <v>721</v>
      </c>
      <c r="LI53" s="475" t="s">
        <v>721</v>
      </c>
      <c r="LJ53" s="475" t="s">
        <v>721</v>
      </c>
      <c r="LK53" s="475">
        <v>48</v>
      </c>
      <c r="LL53" s="475" t="s">
        <v>721</v>
      </c>
      <c r="LM53" s="475" t="s">
        <v>721</v>
      </c>
      <c r="LN53" s="475">
        <v>13</v>
      </c>
      <c r="LO53" s="475" t="s">
        <v>721</v>
      </c>
      <c r="LP53" s="475">
        <v>86</v>
      </c>
      <c r="LQ53" s="475">
        <v>2478</v>
      </c>
      <c r="LR53" s="475">
        <v>1618</v>
      </c>
      <c r="LS53" s="475">
        <v>378</v>
      </c>
      <c r="LT53" s="475">
        <v>131</v>
      </c>
      <c r="LU53" s="475">
        <v>31</v>
      </c>
      <c r="LV53" s="475">
        <v>37</v>
      </c>
      <c r="LW53" s="475">
        <v>121</v>
      </c>
      <c r="LX53" s="475" t="s">
        <v>721</v>
      </c>
      <c r="LY53" s="475">
        <v>29</v>
      </c>
      <c r="LZ53" s="475">
        <v>115</v>
      </c>
      <c r="MA53" s="475" t="s">
        <v>721</v>
      </c>
      <c r="MB53" s="475" t="s">
        <v>721</v>
      </c>
      <c r="MC53" s="475" t="s">
        <v>721</v>
      </c>
      <c r="MD53" s="475">
        <v>153</v>
      </c>
      <c r="ME53" s="475" t="s">
        <v>721</v>
      </c>
      <c r="MF53" s="475" t="s">
        <v>721</v>
      </c>
      <c r="MG53" s="475">
        <v>61</v>
      </c>
      <c r="MH53" s="475">
        <v>19</v>
      </c>
      <c r="MI53" s="475">
        <v>402</v>
      </c>
      <c r="MJ53" s="475">
        <v>903</v>
      </c>
      <c r="MK53" s="475">
        <v>743</v>
      </c>
      <c r="ML53" s="475">
        <v>145</v>
      </c>
      <c r="MM53" s="475">
        <v>56</v>
      </c>
      <c r="MN53" s="475" t="s">
        <v>721</v>
      </c>
      <c r="MO53" s="475">
        <v>19</v>
      </c>
      <c r="MP53" s="475">
        <v>35</v>
      </c>
      <c r="MQ53" s="475" t="s">
        <v>721</v>
      </c>
      <c r="MR53" s="475">
        <v>12</v>
      </c>
      <c r="MS53" s="475">
        <v>73</v>
      </c>
      <c r="MT53" s="475" t="s">
        <v>721</v>
      </c>
      <c r="MU53" s="475" t="s">
        <v>721</v>
      </c>
      <c r="MV53" s="475" t="s">
        <v>721</v>
      </c>
      <c r="MW53" s="475">
        <v>62</v>
      </c>
      <c r="MX53" s="475" t="s">
        <v>721</v>
      </c>
      <c r="MY53" s="475" t="s">
        <v>721</v>
      </c>
      <c r="MZ53" s="475">
        <v>23</v>
      </c>
      <c r="NA53" s="475">
        <v>14</v>
      </c>
      <c r="NB53" s="475">
        <v>109</v>
      </c>
      <c r="NC53" s="476">
        <v>0.60399999999999998</v>
      </c>
      <c r="ND53" s="476">
        <v>0.39600000000000002</v>
      </c>
      <c r="NE53" s="476">
        <v>0.434</v>
      </c>
      <c r="NF53" s="476">
        <v>0.30199999999999999</v>
      </c>
      <c r="NG53" s="476">
        <v>6.7000000000000004E-2</v>
      </c>
      <c r="NH53" s="476">
        <v>2.4E-2</v>
      </c>
      <c r="NI53" s="476">
        <v>5.0000000000000001E-3</v>
      </c>
      <c r="NJ53" s="476">
        <v>7.0000000000000001E-3</v>
      </c>
      <c r="NK53" s="476">
        <v>0.02</v>
      </c>
      <c r="NL53" s="476" t="s">
        <v>721</v>
      </c>
      <c r="NM53" s="476">
        <v>5.0000000000000001E-3</v>
      </c>
      <c r="NN53" s="476">
        <v>2.4E-2</v>
      </c>
      <c r="NO53" s="476" t="s">
        <v>721</v>
      </c>
      <c r="NP53" s="476" t="s">
        <v>721</v>
      </c>
      <c r="NQ53" s="476">
        <v>2E-3</v>
      </c>
      <c r="NR53" s="476">
        <v>2.7E-2</v>
      </c>
      <c r="NS53" s="476" t="s">
        <v>721</v>
      </c>
      <c r="NT53" s="476" t="s">
        <v>721</v>
      </c>
      <c r="NU53" s="476">
        <v>1.0999999999999999E-2</v>
      </c>
      <c r="NV53" s="476">
        <v>4.0000000000000001E-3</v>
      </c>
      <c r="NW53" s="476">
        <v>6.5000000000000002E-2</v>
      </c>
      <c r="NX53" s="476" t="s">
        <v>721</v>
      </c>
      <c r="NY53" s="476">
        <v>0.151</v>
      </c>
      <c r="NZ53" s="476">
        <v>3.0000000000000001E-3</v>
      </c>
      <c r="OA53" s="476" t="s">
        <v>721</v>
      </c>
      <c r="OB53" s="476" t="s">
        <v>721</v>
      </c>
      <c r="OC53" s="476">
        <v>3.0000000000000001E-3</v>
      </c>
      <c r="OD53" s="476">
        <v>0.14099999999999999</v>
      </c>
      <c r="OE53" s="476">
        <v>0.622</v>
      </c>
      <c r="OF53" s="476" t="s">
        <v>721</v>
      </c>
      <c r="OG53" s="476" t="s">
        <v>721</v>
      </c>
      <c r="OH53" s="476" t="s">
        <v>721</v>
      </c>
      <c r="OI53" s="476" t="s">
        <v>721</v>
      </c>
      <c r="OJ53" s="476">
        <v>2.3E-2</v>
      </c>
      <c r="OK53" s="476">
        <v>2E-3</v>
      </c>
      <c r="OL53" s="476" t="s">
        <v>721</v>
      </c>
      <c r="OM53" s="476" t="s">
        <v>721</v>
      </c>
      <c r="ON53" s="476" t="s">
        <v>721</v>
      </c>
      <c r="OO53" s="476">
        <v>8.9999999999999993E-3</v>
      </c>
      <c r="OP53" s="476" t="s">
        <v>721</v>
      </c>
      <c r="OQ53" s="476" t="s">
        <v>721</v>
      </c>
      <c r="OR53" s="476" t="s">
        <v>721</v>
      </c>
      <c r="OS53" s="476" t="s">
        <v>721</v>
      </c>
      <c r="OT53" s="476">
        <v>2E-3</v>
      </c>
      <c r="OU53" s="476">
        <v>6.0000000000000001E-3</v>
      </c>
      <c r="OV53" s="476" t="s">
        <v>721</v>
      </c>
      <c r="OW53" s="476">
        <v>0.01</v>
      </c>
      <c r="OX53" s="476" t="s">
        <v>721</v>
      </c>
      <c r="OY53" s="476" t="s">
        <v>721</v>
      </c>
      <c r="OZ53" s="476">
        <v>1.2999999999999999E-2</v>
      </c>
      <c r="PA53" s="476">
        <v>5.0000000000000001E-3</v>
      </c>
      <c r="PB53" s="476" t="s">
        <v>721</v>
      </c>
      <c r="PC53" s="476">
        <v>4.0000000000000001E-3</v>
      </c>
      <c r="PD53" s="476" t="s">
        <v>721</v>
      </c>
      <c r="PE53" s="476" t="s">
        <v>721</v>
      </c>
      <c r="PF53" s="476">
        <v>7.6999999999999999E-2</v>
      </c>
      <c r="PG53" s="476" t="s">
        <v>721</v>
      </c>
      <c r="PH53" s="476" t="s">
        <v>721</v>
      </c>
      <c r="PI53" s="476" t="s">
        <v>721</v>
      </c>
      <c r="PJ53" s="476" t="s">
        <v>721</v>
      </c>
      <c r="PK53" s="476">
        <v>2.9000000000000001E-2</v>
      </c>
      <c r="PL53" s="476">
        <v>0.86099999999999999</v>
      </c>
      <c r="PM53" s="476">
        <v>1.2999999999999999E-2</v>
      </c>
      <c r="PN53" s="476" t="s">
        <v>721</v>
      </c>
      <c r="PO53" s="476" t="s">
        <v>721</v>
      </c>
      <c r="PP53" s="476" t="s">
        <v>721</v>
      </c>
      <c r="PQ53" s="476">
        <v>2E-3</v>
      </c>
      <c r="PR53" s="476" t="s">
        <v>721</v>
      </c>
      <c r="PS53" s="476" t="s">
        <v>721</v>
      </c>
      <c r="PT53" s="476" t="s">
        <v>721</v>
      </c>
      <c r="PU53" s="476" t="s">
        <v>721</v>
      </c>
      <c r="PV53" s="476" t="s">
        <v>721</v>
      </c>
      <c r="PW53" s="476" t="s">
        <v>721</v>
      </c>
      <c r="PX53" s="476" t="s">
        <v>721</v>
      </c>
      <c r="PY53" s="476" t="s">
        <v>721</v>
      </c>
      <c r="PZ53" s="476" t="s">
        <v>721</v>
      </c>
      <c r="QA53" s="476" t="s">
        <v>721</v>
      </c>
      <c r="QB53" s="476" t="s">
        <v>721</v>
      </c>
      <c r="QC53" s="476" t="s">
        <v>721</v>
      </c>
      <c r="QD53" s="476">
        <v>3.0000000000000001E-3</v>
      </c>
      <c r="QE53" s="476" t="s">
        <v>721</v>
      </c>
      <c r="QF53" s="476" t="s">
        <v>721</v>
      </c>
      <c r="QG53" s="476">
        <v>5.0000000000000001E-3</v>
      </c>
      <c r="QH53" s="476">
        <v>2E-3</v>
      </c>
      <c r="QI53" s="476" t="s">
        <v>721</v>
      </c>
      <c r="QJ53" s="476">
        <v>2E-3</v>
      </c>
      <c r="QK53" s="476" t="s">
        <v>721</v>
      </c>
      <c r="QL53" s="476">
        <v>0.39500000000000002</v>
      </c>
      <c r="QM53" s="476">
        <v>0.373</v>
      </c>
      <c r="QN53" s="476" t="s">
        <v>721</v>
      </c>
      <c r="QO53" s="476" t="s">
        <v>721</v>
      </c>
      <c r="QP53" s="476" t="s">
        <v>721</v>
      </c>
      <c r="QQ53" s="476" t="s">
        <v>721</v>
      </c>
      <c r="QR53" s="476">
        <v>5.8999999999999997E-2</v>
      </c>
      <c r="QS53" s="476" t="s">
        <v>721</v>
      </c>
      <c r="QT53" s="476" t="s">
        <v>721</v>
      </c>
      <c r="QU53" s="476" t="s">
        <v>721</v>
      </c>
      <c r="QV53" s="476" t="s">
        <v>721</v>
      </c>
      <c r="QW53" s="476" t="s">
        <v>721</v>
      </c>
      <c r="QX53" s="476" t="s">
        <v>721</v>
      </c>
      <c r="QY53" s="476">
        <v>4.8000000000000001E-2</v>
      </c>
      <c r="QZ53" s="476" t="s">
        <v>721</v>
      </c>
      <c r="RA53" s="476" t="s">
        <v>721</v>
      </c>
      <c r="RB53" s="476" t="s">
        <v>721</v>
      </c>
      <c r="RC53" s="476" t="s">
        <v>721</v>
      </c>
      <c r="RD53" s="476">
        <v>4.8000000000000001E-2</v>
      </c>
      <c r="RE53" s="476">
        <v>0.35499999999999998</v>
      </c>
      <c r="RF53" s="476">
        <v>0.34200000000000003</v>
      </c>
      <c r="RG53" s="476" t="s">
        <v>721</v>
      </c>
      <c r="RH53" s="476" t="s">
        <v>721</v>
      </c>
      <c r="RI53" s="476" t="s">
        <v>721</v>
      </c>
      <c r="RJ53" s="476" t="s">
        <v>721</v>
      </c>
      <c r="RK53" s="476">
        <v>0.16400000000000001</v>
      </c>
      <c r="RL53" s="476" t="s">
        <v>721</v>
      </c>
      <c r="RM53" s="476" t="s">
        <v>721</v>
      </c>
      <c r="RN53" s="476" t="s">
        <v>721</v>
      </c>
      <c r="RO53" s="476" t="s">
        <v>721</v>
      </c>
      <c r="RP53" s="476" t="s">
        <v>721</v>
      </c>
      <c r="RQ53" s="476" t="s">
        <v>721</v>
      </c>
      <c r="RR53" s="476" t="s">
        <v>721</v>
      </c>
      <c r="RS53" s="476" t="s">
        <v>721</v>
      </c>
      <c r="RT53" s="476" t="s">
        <v>721</v>
      </c>
      <c r="RU53" s="476" t="s">
        <v>721</v>
      </c>
      <c r="RV53" s="476" t="s">
        <v>721</v>
      </c>
      <c r="RW53" s="476" t="s">
        <v>721</v>
      </c>
      <c r="RX53" s="476">
        <v>0.435</v>
      </c>
      <c r="RY53" s="476">
        <v>0.315</v>
      </c>
      <c r="RZ53" s="476">
        <v>6.8000000000000005E-2</v>
      </c>
      <c r="SA53" s="476">
        <v>2.1999999999999999E-2</v>
      </c>
      <c r="SB53" s="476">
        <v>5.0000000000000001E-3</v>
      </c>
      <c r="SC53" s="476">
        <v>8.0000000000000002E-3</v>
      </c>
      <c r="SD53" s="476">
        <v>1.7000000000000001E-2</v>
      </c>
      <c r="SE53" s="476">
        <v>0</v>
      </c>
      <c r="SF53" s="476">
        <v>5.0000000000000001E-3</v>
      </c>
      <c r="SG53" s="476">
        <v>2.4E-2</v>
      </c>
      <c r="SH53" s="476">
        <v>1E-3</v>
      </c>
      <c r="SI53" s="476">
        <v>1E-3</v>
      </c>
      <c r="SJ53" s="476">
        <v>2E-3</v>
      </c>
      <c r="SK53" s="476">
        <v>2.5999999999999999E-2</v>
      </c>
      <c r="SL53" s="476">
        <v>0</v>
      </c>
      <c r="SM53" s="476">
        <v>0</v>
      </c>
      <c r="SN53" s="476">
        <v>1.0999999999999999E-2</v>
      </c>
      <c r="SO53" s="476">
        <v>4.0000000000000001E-3</v>
      </c>
      <c r="SP53" s="476">
        <v>5.8000000000000003E-2</v>
      </c>
      <c r="SQ53" s="476">
        <v>0.42799999999999999</v>
      </c>
      <c r="SR53" s="476">
        <v>0.35899999999999999</v>
      </c>
      <c r="SS53" s="476">
        <v>0.06</v>
      </c>
      <c r="ST53" s="476" t="s">
        <v>721</v>
      </c>
      <c r="SU53" s="476" t="s">
        <v>721</v>
      </c>
      <c r="SV53" s="476" t="s">
        <v>721</v>
      </c>
      <c r="SW53" s="476" t="s">
        <v>721</v>
      </c>
      <c r="SX53" s="476" t="s">
        <v>721</v>
      </c>
      <c r="SY53" s="476" t="s">
        <v>721</v>
      </c>
      <c r="SZ53" s="476" t="s">
        <v>721</v>
      </c>
      <c r="TA53" s="476" t="s">
        <v>721</v>
      </c>
      <c r="TB53" s="476" t="s">
        <v>721</v>
      </c>
      <c r="TC53" s="476" t="s">
        <v>721</v>
      </c>
      <c r="TD53" s="476">
        <v>0.02</v>
      </c>
      <c r="TE53" s="476" t="s">
        <v>721</v>
      </c>
      <c r="TF53" s="476" t="s">
        <v>721</v>
      </c>
      <c r="TG53" s="476" t="s">
        <v>721</v>
      </c>
      <c r="TH53" s="476" t="s">
        <v>721</v>
      </c>
      <c r="TI53" s="476">
        <v>5.8000000000000003E-2</v>
      </c>
      <c r="TJ53" s="476">
        <v>0.42899999999999999</v>
      </c>
      <c r="TK53" s="476">
        <v>0.311</v>
      </c>
      <c r="TL53" s="476">
        <v>4.3999999999999997E-2</v>
      </c>
      <c r="TM53" s="476">
        <v>2.8000000000000001E-2</v>
      </c>
      <c r="TN53" s="476" t="s">
        <v>721</v>
      </c>
      <c r="TO53" s="476" t="s">
        <v>721</v>
      </c>
      <c r="TP53" s="476">
        <v>1.4E-2</v>
      </c>
      <c r="TQ53" s="476" t="s">
        <v>721</v>
      </c>
      <c r="TR53" s="476" t="s">
        <v>721</v>
      </c>
      <c r="TS53" s="476">
        <v>3.5999999999999997E-2</v>
      </c>
      <c r="TT53" s="476" t="s">
        <v>721</v>
      </c>
      <c r="TU53" s="476" t="s">
        <v>721</v>
      </c>
      <c r="TV53" s="476" t="s">
        <v>721</v>
      </c>
      <c r="TW53" s="476">
        <v>3.6999999999999998E-2</v>
      </c>
      <c r="TX53" s="476" t="s">
        <v>721</v>
      </c>
      <c r="TY53" s="476" t="s">
        <v>721</v>
      </c>
      <c r="TZ53" s="476">
        <v>0.01</v>
      </c>
      <c r="UA53" s="476" t="s">
        <v>721</v>
      </c>
      <c r="UB53" s="476">
        <v>6.6000000000000003E-2</v>
      </c>
      <c r="UC53" s="476">
        <v>0.443</v>
      </c>
      <c r="UD53" s="476">
        <v>0.28899999999999998</v>
      </c>
      <c r="UE53" s="476">
        <v>6.8000000000000005E-2</v>
      </c>
      <c r="UF53" s="476">
        <v>2.3E-2</v>
      </c>
      <c r="UG53" s="476">
        <v>6.0000000000000001E-3</v>
      </c>
      <c r="UH53" s="476">
        <v>7.0000000000000001E-3</v>
      </c>
      <c r="UI53" s="476">
        <v>2.1999999999999999E-2</v>
      </c>
      <c r="UJ53" s="476" t="s">
        <v>721</v>
      </c>
      <c r="UK53" s="476">
        <v>5.0000000000000001E-3</v>
      </c>
      <c r="UL53" s="476">
        <v>2.1000000000000001E-2</v>
      </c>
      <c r="UM53" s="476" t="s">
        <v>721</v>
      </c>
      <c r="UN53" s="476" t="s">
        <v>721</v>
      </c>
      <c r="UO53" s="476" t="s">
        <v>721</v>
      </c>
      <c r="UP53" s="476">
        <v>2.7E-2</v>
      </c>
      <c r="UQ53" s="476" t="s">
        <v>721</v>
      </c>
      <c r="UR53" s="476" t="s">
        <v>721</v>
      </c>
      <c r="US53" s="476">
        <v>1.0999999999999999E-2</v>
      </c>
      <c r="UT53" s="476">
        <v>3.0000000000000001E-3</v>
      </c>
      <c r="UU53" s="476">
        <v>7.1999999999999995E-2</v>
      </c>
      <c r="UV53" s="476">
        <v>0.40799999999999997</v>
      </c>
      <c r="UW53" s="476">
        <v>0.33600000000000002</v>
      </c>
      <c r="UX53" s="476">
        <v>6.6000000000000003E-2</v>
      </c>
      <c r="UY53" s="476">
        <v>2.5000000000000001E-2</v>
      </c>
      <c r="UZ53" s="476" t="s">
        <v>721</v>
      </c>
      <c r="VA53" s="476">
        <v>8.9999999999999993E-3</v>
      </c>
      <c r="VB53" s="476">
        <v>1.6E-2</v>
      </c>
      <c r="VC53" s="476" t="s">
        <v>721</v>
      </c>
      <c r="VD53" s="476">
        <v>5.0000000000000001E-3</v>
      </c>
      <c r="VE53" s="476">
        <v>3.3000000000000002E-2</v>
      </c>
      <c r="VF53" s="476" t="s">
        <v>721</v>
      </c>
      <c r="VG53" s="476" t="s">
        <v>721</v>
      </c>
      <c r="VH53" s="476" t="s">
        <v>721</v>
      </c>
      <c r="VI53" s="476">
        <v>2.8000000000000001E-2</v>
      </c>
      <c r="VJ53" s="476" t="s">
        <v>721</v>
      </c>
      <c r="VK53" s="476" t="s">
        <v>721</v>
      </c>
      <c r="VL53" s="476">
        <v>0.01</v>
      </c>
      <c r="VM53" s="476">
        <v>6.0000000000000001E-3</v>
      </c>
      <c r="VN53" s="476">
        <v>4.9000000000000002E-2</v>
      </c>
      <c r="VO53" s="28"/>
      <c r="VP53" s="28"/>
      <c r="VQ53" s="28"/>
      <c r="VR53" s="28"/>
      <c r="VS53" s="28"/>
      <c r="VT53" s="28"/>
      <c r="VU53" s="28"/>
      <c r="VV53" s="28"/>
      <c r="VW53" s="28"/>
      <c r="VX53" s="28"/>
      <c r="VY53" s="28"/>
      <c r="VZ53" s="28"/>
      <c r="WA53" s="28"/>
      <c r="WB53" s="28"/>
      <c r="WC53" s="28"/>
      <c r="WD53" s="28"/>
      <c r="WE53" s="28"/>
      <c r="WF53" s="28"/>
      <c r="WG53" s="28"/>
      <c r="WH53" s="28"/>
      <c r="WI53" s="28"/>
      <c r="WJ53" s="28"/>
      <c r="WK53" s="28"/>
      <c r="WL53" s="28"/>
      <c r="WM53" s="28"/>
      <c r="WN53" s="28"/>
      <c r="WO53" s="28"/>
      <c r="WP53" s="28"/>
      <c r="WQ53" s="28"/>
      <c r="WR53" s="28"/>
      <c r="WS53" s="28"/>
      <c r="WT53" s="28"/>
      <c r="WU53" s="28"/>
      <c r="WV53" s="28"/>
      <c r="WW53" s="28"/>
    </row>
    <row r="54" spans="1:621" s="151" customFormat="1" ht="15.75" customHeight="1" x14ac:dyDescent="0.35">
      <c r="A54" s="477" t="s">
        <v>58</v>
      </c>
      <c r="B54" s="492" t="s">
        <v>17</v>
      </c>
      <c r="C54" s="493">
        <v>15.9</v>
      </c>
      <c r="D54" s="494">
        <v>1561</v>
      </c>
      <c r="E54" s="473">
        <v>155670.39999999999</v>
      </c>
      <c r="F54" s="473">
        <v>99.7</v>
      </c>
      <c r="G54" s="474">
        <v>1560</v>
      </c>
      <c r="H54" s="474">
        <v>1306</v>
      </c>
      <c r="I54" s="474">
        <v>931</v>
      </c>
      <c r="J54" s="474">
        <v>752</v>
      </c>
      <c r="K54" s="474">
        <v>402</v>
      </c>
      <c r="L54" s="473">
        <v>67307.3</v>
      </c>
      <c r="M54" s="474">
        <v>1141</v>
      </c>
      <c r="N54" s="473">
        <v>88363.1</v>
      </c>
      <c r="O54" s="494">
        <v>155</v>
      </c>
      <c r="P54" s="495">
        <v>27913.7</v>
      </c>
      <c r="Q54" s="494">
        <v>220</v>
      </c>
      <c r="R54" s="495">
        <v>7333.2</v>
      </c>
      <c r="S54" s="494">
        <v>409</v>
      </c>
      <c r="T54" s="495">
        <v>33289.800000000003</v>
      </c>
      <c r="U54" s="494">
        <v>15</v>
      </c>
      <c r="V54" s="495">
        <v>2126.9</v>
      </c>
      <c r="W54" s="494">
        <v>1137</v>
      </c>
      <c r="X54" s="495">
        <v>120253.7</v>
      </c>
      <c r="Y54" s="494">
        <v>1306</v>
      </c>
      <c r="Z54" s="494">
        <v>828</v>
      </c>
      <c r="AA54" s="494">
        <v>959</v>
      </c>
      <c r="AB54" s="494">
        <v>739</v>
      </c>
      <c r="AC54" s="494">
        <v>74</v>
      </c>
      <c r="AD54" s="494">
        <v>278</v>
      </c>
      <c r="AE54" s="494">
        <v>817</v>
      </c>
      <c r="AF54" s="495">
        <v>47479.7</v>
      </c>
      <c r="AG54" s="494">
        <v>649</v>
      </c>
      <c r="AH54" s="495">
        <v>103504.1</v>
      </c>
      <c r="AI54" s="494">
        <v>50</v>
      </c>
      <c r="AJ54" s="495">
        <v>1761.7</v>
      </c>
      <c r="AK54" s="494">
        <v>27</v>
      </c>
      <c r="AL54" s="495">
        <v>2924.9</v>
      </c>
      <c r="AM54" s="496">
        <v>918</v>
      </c>
      <c r="AN54" s="496">
        <v>643</v>
      </c>
      <c r="AO54" s="496">
        <v>677</v>
      </c>
      <c r="AP54" s="496">
        <v>303</v>
      </c>
      <c r="AQ54" s="496">
        <v>70</v>
      </c>
      <c r="AR54" s="496">
        <v>61</v>
      </c>
      <c r="AS54" s="496">
        <v>13</v>
      </c>
      <c r="AT54" s="496" t="s">
        <v>721</v>
      </c>
      <c r="AU54" s="496">
        <v>28</v>
      </c>
      <c r="AV54" s="496" t="s">
        <v>721</v>
      </c>
      <c r="AW54" s="496" t="s">
        <v>721</v>
      </c>
      <c r="AX54" s="496" t="s">
        <v>721</v>
      </c>
      <c r="AY54" s="496" t="s">
        <v>721</v>
      </c>
      <c r="AZ54" s="496" t="s">
        <v>721</v>
      </c>
      <c r="BA54" s="496" t="s">
        <v>721</v>
      </c>
      <c r="BB54" s="496">
        <v>355</v>
      </c>
      <c r="BC54" s="496" t="s">
        <v>721</v>
      </c>
      <c r="BD54" s="496" t="s">
        <v>721</v>
      </c>
      <c r="BE54" s="496" t="s">
        <v>721</v>
      </c>
      <c r="BF54" s="496" t="s">
        <v>721</v>
      </c>
      <c r="BG54" s="496">
        <v>34</v>
      </c>
      <c r="BH54" s="496" t="s">
        <v>721</v>
      </c>
      <c r="BI54" s="496">
        <v>174</v>
      </c>
      <c r="BJ54" s="496" t="s">
        <v>721</v>
      </c>
      <c r="BK54" s="496" t="s">
        <v>721</v>
      </c>
      <c r="BL54" s="496" t="s">
        <v>721</v>
      </c>
      <c r="BM54" s="496" t="s">
        <v>721</v>
      </c>
      <c r="BN54" s="496">
        <v>333</v>
      </c>
      <c r="BO54" s="496">
        <v>979</v>
      </c>
      <c r="BP54" s="496" t="s">
        <v>721</v>
      </c>
      <c r="BQ54" s="496" t="s">
        <v>721</v>
      </c>
      <c r="BR54" s="496" t="s">
        <v>721</v>
      </c>
      <c r="BS54" s="496" t="s">
        <v>721</v>
      </c>
      <c r="BT54" s="496" t="s">
        <v>721</v>
      </c>
      <c r="BU54" s="496" t="s">
        <v>721</v>
      </c>
      <c r="BV54" s="496" t="s">
        <v>721</v>
      </c>
      <c r="BW54" s="496" t="s">
        <v>721</v>
      </c>
      <c r="BX54" s="496" t="s">
        <v>721</v>
      </c>
      <c r="BY54" s="496" t="s">
        <v>721</v>
      </c>
      <c r="BZ54" s="496" t="s">
        <v>721</v>
      </c>
      <c r="CA54" s="496" t="s">
        <v>721</v>
      </c>
      <c r="CB54" s="496" t="s">
        <v>721</v>
      </c>
      <c r="CC54" s="496" t="s">
        <v>721</v>
      </c>
      <c r="CD54" s="496" t="s">
        <v>721</v>
      </c>
      <c r="CE54" s="496" t="s">
        <v>721</v>
      </c>
      <c r="CF54" s="496" t="s">
        <v>721</v>
      </c>
      <c r="CG54" s="496" t="s">
        <v>721</v>
      </c>
      <c r="CH54" s="496" t="s">
        <v>721</v>
      </c>
      <c r="CI54" s="496" t="s">
        <v>721</v>
      </c>
      <c r="CJ54" s="496" t="s">
        <v>721</v>
      </c>
      <c r="CK54" s="496" t="s">
        <v>721</v>
      </c>
      <c r="CL54" s="496" t="s">
        <v>721</v>
      </c>
      <c r="CM54" s="496">
        <v>46</v>
      </c>
      <c r="CN54" s="496" t="s">
        <v>721</v>
      </c>
      <c r="CO54" s="496" t="s">
        <v>721</v>
      </c>
      <c r="CP54" s="496">
        <v>78</v>
      </c>
      <c r="CQ54" s="496" t="s">
        <v>721</v>
      </c>
      <c r="CR54" s="496" t="s">
        <v>721</v>
      </c>
      <c r="CS54" s="496" t="s">
        <v>721</v>
      </c>
      <c r="CT54" s="496" t="s">
        <v>721</v>
      </c>
      <c r="CU54" s="496">
        <v>138</v>
      </c>
      <c r="CV54" s="496">
        <v>1056</v>
      </c>
      <c r="CW54" s="496">
        <v>21</v>
      </c>
      <c r="CX54" s="496" t="s">
        <v>721</v>
      </c>
      <c r="CY54" s="496" t="s">
        <v>721</v>
      </c>
      <c r="CZ54" s="496" t="s">
        <v>721</v>
      </c>
      <c r="DA54" s="496" t="s">
        <v>721</v>
      </c>
      <c r="DB54" s="496" t="s">
        <v>721</v>
      </c>
      <c r="DC54" s="496" t="s">
        <v>721</v>
      </c>
      <c r="DD54" s="496" t="s">
        <v>721</v>
      </c>
      <c r="DE54" s="496" t="s">
        <v>721</v>
      </c>
      <c r="DF54" s="496" t="s">
        <v>721</v>
      </c>
      <c r="DG54" s="496" t="s">
        <v>721</v>
      </c>
      <c r="DH54" s="496" t="s">
        <v>721</v>
      </c>
      <c r="DI54" s="496" t="s">
        <v>721</v>
      </c>
      <c r="DJ54" s="496" t="s">
        <v>721</v>
      </c>
      <c r="DK54" s="496" t="s">
        <v>721</v>
      </c>
      <c r="DL54" s="496" t="s">
        <v>721</v>
      </c>
      <c r="DM54" s="496" t="s">
        <v>721</v>
      </c>
      <c r="DN54" s="496" t="s">
        <v>721</v>
      </c>
      <c r="DO54" s="496" t="s">
        <v>721</v>
      </c>
      <c r="DP54" s="496" t="s">
        <v>721</v>
      </c>
      <c r="DQ54" s="496" t="s">
        <v>721</v>
      </c>
      <c r="DR54" s="496" t="s">
        <v>721</v>
      </c>
      <c r="DS54" s="483" t="s">
        <v>721</v>
      </c>
      <c r="DT54" s="483" t="s">
        <v>721</v>
      </c>
      <c r="DU54" s="483" t="s">
        <v>721</v>
      </c>
      <c r="DV54" s="496">
        <v>138</v>
      </c>
      <c r="DW54" s="497">
        <v>19138.2</v>
      </c>
      <c r="DX54" s="496">
        <v>241</v>
      </c>
      <c r="DY54" s="497">
        <v>34768.199999999997</v>
      </c>
      <c r="DZ54" s="496">
        <v>346</v>
      </c>
      <c r="EA54" s="497">
        <v>30310.400000000001</v>
      </c>
      <c r="EB54" s="496">
        <v>300</v>
      </c>
      <c r="EC54" s="497">
        <v>25675.8</v>
      </c>
      <c r="ED54" s="496">
        <v>336</v>
      </c>
      <c r="EE54" s="497">
        <v>26463.4</v>
      </c>
      <c r="EF54" s="496">
        <v>200</v>
      </c>
      <c r="EG54" s="497">
        <v>19314.400000000001</v>
      </c>
      <c r="EH54" s="485">
        <v>1259</v>
      </c>
      <c r="EI54" s="486">
        <v>3625.6</v>
      </c>
      <c r="EJ54" s="485">
        <v>1246</v>
      </c>
      <c r="EK54" s="486">
        <v>24527.200000000001</v>
      </c>
      <c r="EL54" s="485">
        <v>1220</v>
      </c>
      <c r="EM54" s="486">
        <v>9170.9</v>
      </c>
      <c r="EN54" s="485">
        <v>1271</v>
      </c>
      <c r="EO54" s="486">
        <v>6050.9</v>
      </c>
      <c r="EP54" s="485">
        <v>1249</v>
      </c>
      <c r="EQ54" s="486">
        <v>3403.5</v>
      </c>
      <c r="ER54" s="485">
        <v>1243</v>
      </c>
      <c r="ES54" s="486">
        <v>2250.1999999999998</v>
      </c>
      <c r="ET54" s="485">
        <v>0</v>
      </c>
      <c r="EU54" s="485">
        <v>934</v>
      </c>
      <c r="EV54" s="486">
        <v>13842.9</v>
      </c>
      <c r="EW54" s="485">
        <v>229</v>
      </c>
      <c r="EX54" s="486">
        <v>1751.8</v>
      </c>
      <c r="EY54" s="485">
        <v>389</v>
      </c>
      <c r="EZ54" s="486">
        <v>4542.5</v>
      </c>
      <c r="FA54" s="485">
        <v>165</v>
      </c>
      <c r="FB54" s="486">
        <v>1490</v>
      </c>
      <c r="FC54" s="485">
        <v>1290</v>
      </c>
      <c r="FD54" s="486">
        <v>14213.9</v>
      </c>
      <c r="FE54" s="485">
        <v>1227</v>
      </c>
      <c r="FF54" s="486">
        <v>8942.7000000000007</v>
      </c>
      <c r="FG54" s="485">
        <v>648</v>
      </c>
      <c r="FH54" s="486">
        <v>5594.4</v>
      </c>
      <c r="FI54" s="485">
        <v>781</v>
      </c>
      <c r="FJ54" s="486">
        <v>4635.5</v>
      </c>
      <c r="FK54" s="485">
        <v>1070</v>
      </c>
      <c r="FL54" s="486">
        <v>3016.9</v>
      </c>
      <c r="FM54" s="485">
        <v>70</v>
      </c>
      <c r="FN54" s="486">
        <v>156.69999999999999</v>
      </c>
      <c r="FO54" s="485">
        <v>1167</v>
      </c>
      <c r="FP54" s="486">
        <v>7771.8</v>
      </c>
      <c r="FQ54" s="485">
        <v>1130</v>
      </c>
      <c r="FR54" s="486">
        <v>5170.1000000000004</v>
      </c>
      <c r="FS54" s="485">
        <v>32</v>
      </c>
      <c r="FT54" s="486">
        <v>308.2</v>
      </c>
      <c r="FU54" s="485">
        <v>0</v>
      </c>
      <c r="FV54" s="486">
        <v>0</v>
      </c>
      <c r="FW54" s="485">
        <v>0</v>
      </c>
      <c r="FX54" s="486">
        <v>0</v>
      </c>
      <c r="FY54" s="485">
        <v>0</v>
      </c>
      <c r="FZ54" s="486">
        <v>0</v>
      </c>
      <c r="GA54" s="485">
        <v>0</v>
      </c>
      <c r="GB54" s="485">
        <v>0</v>
      </c>
      <c r="GC54" s="487">
        <v>0</v>
      </c>
      <c r="GD54" s="488">
        <v>0</v>
      </c>
      <c r="GE54" s="488">
        <v>37</v>
      </c>
      <c r="GF54" s="488">
        <v>678</v>
      </c>
      <c r="GG54" s="488">
        <v>1</v>
      </c>
      <c r="GH54" s="488">
        <v>0</v>
      </c>
      <c r="GI54" s="488">
        <v>1</v>
      </c>
      <c r="GJ54" s="488">
        <v>0</v>
      </c>
      <c r="GK54" s="488">
        <v>191</v>
      </c>
      <c r="GL54" s="488">
        <v>522</v>
      </c>
      <c r="GM54" s="488">
        <v>715</v>
      </c>
      <c r="GN54" s="488">
        <v>547</v>
      </c>
      <c r="GO54" s="488">
        <v>77</v>
      </c>
      <c r="GP54" s="488">
        <v>1</v>
      </c>
      <c r="GQ54" s="488">
        <v>14</v>
      </c>
      <c r="GR54" s="488">
        <v>5</v>
      </c>
      <c r="GS54" s="488">
        <v>20</v>
      </c>
      <c r="GT54" s="489">
        <v>1000</v>
      </c>
      <c r="GU54" s="488">
        <v>0</v>
      </c>
      <c r="GV54" s="490">
        <v>0</v>
      </c>
      <c r="GW54" s="490">
        <v>0</v>
      </c>
      <c r="GX54" s="490">
        <v>0</v>
      </c>
      <c r="GY54" s="491">
        <v>1</v>
      </c>
      <c r="GZ54" s="491">
        <v>1</v>
      </c>
      <c r="HA54" s="491">
        <v>2</v>
      </c>
      <c r="HB54" s="475">
        <v>0</v>
      </c>
      <c r="HC54" s="475">
        <v>0</v>
      </c>
      <c r="HD54" s="475">
        <v>0</v>
      </c>
      <c r="HE54" s="475">
        <v>0</v>
      </c>
      <c r="HF54" s="475">
        <v>1</v>
      </c>
      <c r="HG54" s="475">
        <v>1</v>
      </c>
      <c r="HH54" s="475">
        <v>1</v>
      </c>
      <c r="HI54" s="475">
        <v>0</v>
      </c>
      <c r="HJ54" s="475">
        <v>0</v>
      </c>
      <c r="HK54" s="475">
        <v>0</v>
      </c>
      <c r="HL54" s="475">
        <v>0</v>
      </c>
      <c r="HM54" s="475">
        <v>0</v>
      </c>
      <c r="HN54" s="475">
        <v>0</v>
      </c>
      <c r="HO54" s="475">
        <v>3</v>
      </c>
      <c r="HP54" s="475">
        <v>0</v>
      </c>
      <c r="HQ54" s="475">
        <v>0</v>
      </c>
      <c r="HR54" s="475">
        <v>7</v>
      </c>
      <c r="HS54" s="475">
        <v>0</v>
      </c>
      <c r="HT54" s="475">
        <v>0</v>
      </c>
      <c r="HU54" s="475">
        <v>0</v>
      </c>
      <c r="HV54" s="475">
        <v>0</v>
      </c>
      <c r="HW54" s="475">
        <v>0</v>
      </c>
      <c r="HX54" s="475">
        <v>0</v>
      </c>
      <c r="HY54" s="475">
        <v>0</v>
      </c>
      <c r="HZ54" s="475">
        <v>36</v>
      </c>
      <c r="IA54" s="475">
        <v>17</v>
      </c>
      <c r="IB54" s="475" t="s">
        <v>721</v>
      </c>
      <c r="IC54" s="475" t="s">
        <v>721</v>
      </c>
      <c r="ID54" s="475" t="s">
        <v>721</v>
      </c>
      <c r="IE54" s="475" t="s">
        <v>721</v>
      </c>
      <c r="IF54" s="475" t="s">
        <v>721</v>
      </c>
      <c r="IG54" s="475" t="s">
        <v>721</v>
      </c>
      <c r="IH54" s="475" t="s">
        <v>721</v>
      </c>
      <c r="II54" s="475" t="s">
        <v>721</v>
      </c>
      <c r="IJ54" s="475" t="s">
        <v>721</v>
      </c>
      <c r="IK54" s="475" t="s">
        <v>721</v>
      </c>
      <c r="IL54" s="475" t="s">
        <v>721</v>
      </c>
      <c r="IM54" s="475" t="s">
        <v>721</v>
      </c>
      <c r="IN54" s="475" t="s">
        <v>721</v>
      </c>
      <c r="IO54" s="475" t="s">
        <v>721</v>
      </c>
      <c r="IP54" s="475" t="s">
        <v>721</v>
      </c>
      <c r="IQ54" s="475" t="s">
        <v>721</v>
      </c>
      <c r="IR54" s="475" t="s">
        <v>721</v>
      </c>
      <c r="IS54" s="475" t="s">
        <v>721</v>
      </c>
      <c r="IT54" s="475" t="s">
        <v>721</v>
      </c>
      <c r="IU54" s="475" t="s">
        <v>721</v>
      </c>
      <c r="IV54" s="475" t="s">
        <v>721</v>
      </c>
      <c r="IW54" s="475" t="s">
        <v>721</v>
      </c>
      <c r="IX54" s="475" t="s">
        <v>721</v>
      </c>
      <c r="IY54" s="475" t="s">
        <v>721</v>
      </c>
      <c r="IZ54" s="475" t="s">
        <v>721</v>
      </c>
      <c r="JA54" s="475" t="s">
        <v>721</v>
      </c>
      <c r="JB54" s="475" t="s">
        <v>721</v>
      </c>
      <c r="JC54" s="475" t="s">
        <v>721</v>
      </c>
      <c r="JD54" s="475" t="s">
        <v>721</v>
      </c>
      <c r="JE54" s="475" t="s">
        <v>721</v>
      </c>
      <c r="JF54" s="475" t="s">
        <v>721</v>
      </c>
      <c r="JG54" s="475" t="s">
        <v>721</v>
      </c>
      <c r="JH54" s="475" t="s">
        <v>721</v>
      </c>
      <c r="JI54" s="475" t="s">
        <v>721</v>
      </c>
      <c r="JJ54" s="475" t="s">
        <v>721</v>
      </c>
      <c r="JK54" s="475" t="s">
        <v>721</v>
      </c>
      <c r="JL54" s="755">
        <v>68531.100000000006</v>
      </c>
      <c r="JM54" s="755">
        <v>34021.4</v>
      </c>
      <c r="JN54" s="755">
        <v>7863.8</v>
      </c>
      <c r="JO54" s="755">
        <v>4195.6000000000004</v>
      </c>
      <c r="JP54" s="755">
        <v>1206.8</v>
      </c>
      <c r="JQ54" s="755">
        <v>525.1</v>
      </c>
      <c r="JR54" s="755">
        <v>2538.3000000000002</v>
      </c>
      <c r="JS54" s="755">
        <v>46</v>
      </c>
      <c r="JT54" s="755" t="s">
        <v>721</v>
      </c>
      <c r="JU54" s="755" t="s">
        <v>721</v>
      </c>
      <c r="JV54" s="755">
        <v>542.5</v>
      </c>
      <c r="JW54" s="755">
        <v>37.700000000000003</v>
      </c>
      <c r="JX54" s="755">
        <v>306.60000000000002</v>
      </c>
      <c r="JY54" s="755">
        <v>32708.9</v>
      </c>
      <c r="JZ54" s="755" t="s">
        <v>721</v>
      </c>
      <c r="KA54" s="755" t="s">
        <v>721</v>
      </c>
      <c r="KB54" s="755">
        <v>262.7</v>
      </c>
      <c r="KC54" s="755">
        <v>286.5</v>
      </c>
      <c r="KD54" s="755">
        <v>2597.4</v>
      </c>
      <c r="KE54" s="475">
        <v>82</v>
      </c>
      <c r="KF54" s="475">
        <v>34</v>
      </c>
      <c r="KG54" s="475" t="s">
        <v>721</v>
      </c>
      <c r="KH54" s="475" t="s">
        <v>721</v>
      </c>
      <c r="KI54" s="475" t="s">
        <v>721</v>
      </c>
      <c r="KJ54" s="475" t="s">
        <v>721</v>
      </c>
      <c r="KK54" s="475" t="s">
        <v>721</v>
      </c>
      <c r="KL54" s="475" t="s">
        <v>721</v>
      </c>
      <c r="KM54" s="475" t="s">
        <v>721</v>
      </c>
      <c r="KN54" s="475" t="s">
        <v>721</v>
      </c>
      <c r="KO54" s="475" t="s">
        <v>721</v>
      </c>
      <c r="KP54" s="475" t="s">
        <v>721</v>
      </c>
      <c r="KQ54" s="475" t="s">
        <v>721</v>
      </c>
      <c r="KR54" s="475">
        <v>20</v>
      </c>
      <c r="KS54" s="475" t="s">
        <v>721</v>
      </c>
      <c r="KT54" s="475" t="s">
        <v>721</v>
      </c>
      <c r="KU54" s="475" t="s">
        <v>721</v>
      </c>
      <c r="KV54" s="475" t="s">
        <v>721</v>
      </c>
      <c r="KW54" s="475" t="s">
        <v>721</v>
      </c>
      <c r="KX54" s="475">
        <v>76</v>
      </c>
      <c r="KY54" s="475">
        <v>49</v>
      </c>
      <c r="KZ54" s="475">
        <v>11</v>
      </c>
      <c r="LA54" s="475">
        <v>11</v>
      </c>
      <c r="LB54" s="475" t="s">
        <v>721</v>
      </c>
      <c r="LC54" s="475" t="s">
        <v>721</v>
      </c>
      <c r="LD54" s="475" t="s">
        <v>721</v>
      </c>
      <c r="LE54" s="475" t="s">
        <v>721</v>
      </c>
      <c r="LF54" s="475" t="s">
        <v>721</v>
      </c>
      <c r="LG54" s="475" t="s">
        <v>721</v>
      </c>
      <c r="LH54" s="475" t="s">
        <v>721</v>
      </c>
      <c r="LI54" s="475" t="s">
        <v>721</v>
      </c>
      <c r="LJ54" s="475" t="s">
        <v>721</v>
      </c>
      <c r="LK54" s="475">
        <v>72</v>
      </c>
      <c r="LL54" s="475" t="s">
        <v>721</v>
      </c>
      <c r="LM54" s="475" t="s">
        <v>721</v>
      </c>
      <c r="LN54" s="475" t="s">
        <v>721</v>
      </c>
      <c r="LO54" s="475" t="s">
        <v>721</v>
      </c>
      <c r="LP54" s="475" t="s">
        <v>721</v>
      </c>
      <c r="LQ54" s="475">
        <v>519</v>
      </c>
      <c r="LR54" s="475">
        <v>204</v>
      </c>
      <c r="LS54" s="475">
        <v>47</v>
      </c>
      <c r="LT54" s="475">
        <v>49</v>
      </c>
      <c r="LU54" s="475">
        <v>12</v>
      </c>
      <c r="LV54" s="475" t="s">
        <v>721</v>
      </c>
      <c r="LW54" s="475">
        <v>22</v>
      </c>
      <c r="LX54" s="475" t="s">
        <v>721</v>
      </c>
      <c r="LY54" s="475" t="s">
        <v>721</v>
      </c>
      <c r="LZ54" s="475" t="s">
        <v>721</v>
      </c>
      <c r="MA54" s="475" t="s">
        <v>721</v>
      </c>
      <c r="MB54" s="475" t="s">
        <v>721</v>
      </c>
      <c r="MC54" s="475" t="s">
        <v>721</v>
      </c>
      <c r="MD54" s="475">
        <v>243</v>
      </c>
      <c r="ME54" s="475" t="s">
        <v>721</v>
      </c>
      <c r="MF54" s="475" t="s">
        <v>721</v>
      </c>
      <c r="MG54" s="475" t="s">
        <v>721</v>
      </c>
      <c r="MH54" s="475" t="s">
        <v>721</v>
      </c>
      <c r="MI54" s="475">
        <v>27</v>
      </c>
      <c r="MJ54" s="475">
        <v>149</v>
      </c>
      <c r="MK54" s="475">
        <v>97</v>
      </c>
      <c r="ML54" s="475">
        <v>23</v>
      </c>
      <c r="MM54" s="475">
        <v>12</v>
      </c>
      <c r="MN54" s="475" t="s">
        <v>721</v>
      </c>
      <c r="MO54" s="475" t="s">
        <v>721</v>
      </c>
      <c r="MP54" s="475" t="s">
        <v>721</v>
      </c>
      <c r="MQ54" s="475" t="s">
        <v>721</v>
      </c>
      <c r="MR54" s="475" t="s">
        <v>721</v>
      </c>
      <c r="MS54" s="475" t="s">
        <v>721</v>
      </c>
      <c r="MT54" s="475" t="s">
        <v>721</v>
      </c>
      <c r="MU54" s="475" t="s">
        <v>721</v>
      </c>
      <c r="MV54" s="475" t="s">
        <v>721</v>
      </c>
      <c r="MW54" s="475">
        <v>105</v>
      </c>
      <c r="MX54" s="475" t="s">
        <v>721</v>
      </c>
      <c r="MY54" s="475" t="s">
        <v>721</v>
      </c>
      <c r="MZ54" s="475" t="s">
        <v>721</v>
      </c>
      <c r="NA54" s="475" t="s">
        <v>721</v>
      </c>
      <c r="NB54" s="475" t="s">
        <v>721</v>
      </c>
      <c r="NC54" s="476">
        <v>0.58799999999999997</v>
      </c>
      <c r="ND54" s="476">
        <v>0.41199999999999998</v>
      </c>
      <c r="NE54" s="476">
        <v>0.434</v>
      </c>
      <c r="NF54" s="476">
        <v>0.19400000000000001</v>
      </c>
      <c r="NG54" s="476">
        <v>4.4999999999999998E-2</v>
      </c>
      <c r="NH54" s="476">
        <v>0.04</v>
      </c>
      <c r="NI54" s="476">
        <v>8.0000000000000002E-3</v>
      </c>
      <c r="NJ54" s="476" t="s">
        <v>721</v>
      </c>
      <c r="NK54" s="476">
        <v>1.7999999999999999E-2</v>
      </c>
      <c r="NL54" s="476" t="s">
        <v>721</v>
      </c>
      <c r="NM54" s="476" t="s">
        <v>721</v>
      </c>
      <c r="NN54" s="476" t="s">
        <v>721</v>
      </c>
      <c r="NO54" s="476" t="s">
        <v>721</v>
      </c>
      <c r="NP54" s="476" t="s">
        <v>721</v>
      </c>
      <c r="NQ54" s="476" t="s">
        <v>721</v>
      </c>
      <c r="NR54" s="476">
        <v>0.22700000000000001</v>
      </c>
      <c r="NS54" s="476" t="s">
        <v>721</v>
      </c>
      <c r="NT54" s="476" t="s">
        <v>721</v>
      </c>
      <c r="NU54" s="476" t="s">
        <v>721</v>
      </c>
      <c r="NV54" s="476" t="s">
        <v>721</v>
      </c>
      <c r="NW54" s="476">
        <v>2.1999999999999999E-2</v>
      </c>
      <c r="NX54" s="476" t="s">
        <v>721</v>
      </c>
      <c r="NY54" s="476">
        <v>0.111</v>
      </c>
      <c r="NZ54" s="476" t="s">
        <v>721</v>
      </c>
      <c r="OA54" s="476" t="s">
        <v>721</v>
      </c>
      <c r="OB54" s="476" t="s">
        <v>721</v>
      </c>
      <c r="OC54" s="476" t="s">
        <v>721</v>
      </c>
      <c r="OD54" s="476">
        <v>0.21299999999999999</v>
      </c>
      <c r="OE54" s="476">
        <v>0.627</v>
      </c>
      <c r="OF54" s="476" t="s">
        <v>721</v>
      </c>
      <c r="OG54" s="476" t="s">
        <v>721</v>
      </c>
      <c r="OH54" s="476" t="s">
        <v>721</v>
      </c>
      <c r="OI54" s="476" t="s">
        <v>721</v>
      </c>
      <c r="OJ54" s="476" t="s">
        <v>721</v>
      </c>
      <c r="OK54" s="476" t="s">
        <v>721</v>
      </c>
      <c r="OL54" s="476" t="s">
        <v>721</v>
      </c>
      <c r="OM54" s="476" t="s">
        <v>721</v>
      </c>
      <c r="ON54" s="476" t="s">
        <v>721</v>
      </c>
      <c r="OO54" s="476" t="s">
        <v>721</v>
      </c>
      <c r="OP54" s="476" t="s">
        <v>721</v>
      </c>
      <c r="OQ54" s="476" t="s">
        <v>721</v>
      </c>
      <c r="OR54" s="476" t="s">
        <v>721</v>
      </c>
      <c r="OS54" s="476" t="s">
        <v>721</v>
      </c>
      <c r="OT54" s="476" t="s">
        <v>721</v>
      </c>
      <c r="OU54" s="476" t="s">
        <v>721</v>
      </c>
      <c r="OV54" s="476" t="s">
        <v>721</v>
      </c>
      <c r="OW54" s="476" t="s">
        <v>721</v>
      </c>
      <c r="OX54" s="476" t="s">
        <v>721</v>
      </c>
      <c r="OY54" s="476" t="s">
        <v>721</v>
      </c>
      <c r="OZ54" s="476" t="s">
        <v>721</v>
      </c>
      <c r="PA54" s="476" t="s">
        <v>721</v>
      </c>
      <c r="PB54" s="476" t="s">
        <v>721</v>
      </c>
      <c r="PC54" s="476">
        <v>2.9000000000000001E-2</v>
      </c>
      <c r="PD54" s="476" t="s">
        <v>721</v>
      </c>
      <c r="PE54" s="476" t="s">
        <v>721</v>
      </c>
      <c r="PF54" s="476">
        <v>0.06</v>
      </c>
      <c r="PG54" s="476" t="s">
        <v>721</v>
      </c>
      <c r="PH54" s="476" t="s">
        <v>721</v>
      </c>
      <c r="PI54" s="476" t="s">
        <v>721</v>
      </c>
      <c r="PJ54" s="476" t="s">
        <v>721</v>
      </c>
      <c r="PK54" s="476">
        <v>0.106</v>
      </c>
      <c r="PL54" s="476">
        <v>0.80900000000000005</v>
      </c>
      <c r="PM54" s="476">
        <v>1.6E-2</v>
      </c>
      <c r="PN54" s="476" t="s">
        <v>721</v>
      </c>
      <c r="PO54" s="476" t="s">
        <v>721</v>
      </c>
      <c r="PP54" s="476" t="s">
        <v>721</v>
      </c>
      <c r="PQ54" s="476" t="s">
        <v>721</v>
      </c>
      <c r="PR54" s="476" t="s">
        <v>721</v>
      </c>
      <c r="PS54" s="476" t="s">
        <v>721</v>
      </c>
      <c r="PT54" s="476" t="s">
        <v>721</v>
      </c>
      <c r="PU54" s="476" t="s">
        <v>721</v>
      </c>
      <c r="PV54" s="476" t="s">
        <v>721</v>
      </c>
      <c r="PW54" s="476" t="s">
        <v>721</v>
      </c>
      <c r="PX54" s="476" t="s">
        <v>721</v>
      </c>
      <c r="PY54" s="476" t="s">
        <v>721</v>
      </c>
      <c r="PZ54" s="476" t="s">
        <v>721</v>
      </c>
      <c r="QA54" s="476" t="s">
        <v>721</v>
      </c>
      <c r="QB54" s="476" t="s">
        <v>721</v>
      </c>
      <c r="QC54" s="476" t="s">
        <v>721</v>
      </c>
      <c r="QD54" s="476" t="s">
        <v>721</v>
      </c>
      <c r="QE54" s="476" t="s">
        <v>721</v>
      </c>
      <c r="QF54" s="476" t="s">
        <v>721</v>
      </c>
      <c r="QG54" s="476" t="s">
        <v>721</v>
      </c>
      <c r="QH54" s="476" t="s">
        <v>721</v>
      </c>
      <c r="QI54" s="476" t="s">
        <v>721</v>
      </c>
      <c r="QJ54" s="476" t="s">
        <v>721</v>
      </c>
      <c r="QK54" s="476" t="s">
        <v>721</v>
      </c>
      <c r="QL54" s="476">
        <v>0.46800000000000003</v>
      </c>
      <c r="QM54" s="476">
        <v>0.221</v>
      </c>
      <c r="QN54" s="476" t="s">
        <v>721</v>
      </c>
      <c r="QO54" s="476" t="s">
        <v>721</v>
      </c>
      <c r="QP54" s="476" t="s">
        <v>721</v>
      </c>
      <c r="QQ54" s="476" t="s">
        <v>721</v>
      </c>
      <c r="QR54" s="476" t="s">
        <v>721</v>
      </c>
      <c r="QS54" s="476" t="s">
        <v>721</v>
      </c>
      <c r="QT54" s="476" t="s">
        <v>721</v>
      </c>
      <c r="QU54" s="476" t="s">
        <v>721</v>
      </c>
      <c r="QV54" s="476" t="s">
        <v>721</v>
      </c>
      <c r="QW54" s="476" t="s">
        <v>721</v>
      </c>
      <c r="QX54" s="476" t="s">
        <v>721</v>
      </c>
      <c r="QY54" s="476" t="s">
        <v>721</v>
      </c>
      <c r="QZ54" s="476" t="s">
        <v>721</v>
      </c>
      <c r="RA54" s="476" t="s">
        <v>721</v>
      </c>
      <c r="RB54" s="476" t="s">
        <v>721</v>
      </c>
      <c r="RC54" s="476" t="s">
        <v>721</v>
      </c>
      <c r="RD54" s="476" t="s">
        <v>721</v>
      </c>
      <c r="RE54" s="476" t="s">
        <v>721</v>
      </c>
      <c r="RF54" s="476" t="s">
        <v>721</v>
      </c>
      <c r="RG54" s="476" t="s">
        <v>721</v>
      </c>
      <c r="RH54" s="476" t="s">
        <v>721</v>
      </c>
      <c r="RI54" s="476" t="s">
        <v>721</v>
      </c>
      <c r="RJ54" s="476" t="s">
        <v>721</v>
      </c>
      <c r="RK54" s="476" t="s">
        <v>721</v>
      </c>
      <c r="RL54" s="476" t="s">
        <v>721</v>
      </c>
      <c r="RM54" s="476" t="s">
        <v>721</v>
      </c>
      <c r="RN54" s="476" t="s">
        <v>721</v>
      </c>
      <c r="RO54" s="476" t="s">
        <v>721</v>
      </c>
      <c r="RP54" s="476" t="s">
        <v>721</v>
      </c>
      <c r="RQ54" s="476" t="s">
        <v>721</v>
      </c>
      <c r="RR54" s="476" t="s">
        <v>721</v>
      </c>
      <c r="RS54" s="476" t="s">
        <v>721</v>
      </c>
      <c r="RT54" s="476" t="s">
        <v>721</v>
      </c>
      <c r="RU54" s="476" t="s">
        <v>721</v>
      </c>
      <c r="RV54" s="476" t="s">
        <v>721</v>
      </c>
      <c r="RW54" s="476" t="s">
        <v>721</v>
      </c>
      <c r="RX54" s="476">
        <v>0.44</v>
      </c>
      <c r="RY54" s="476">
        <v>0.219</v>
      </c>
      <c r="RZ54" s="476">
        <v>5.0999999999999997E-2</v>
      </c>
      <c r="SA54" s="476">
        <v>2.7E-2</v>
      </c>
      <c r="SB54" s="476">
        <v>8.0000000000000002E-3</v>
      </c>
      <c r="SC54" s="476">
        <v>3.0000000000000001E-3</v>
      </c>
      <c r="SD54" s="476">
        <v>1.6E-2</v>
      </c>
      <c r="SE54" s="476">
        <v>0</v>
      </c>
      <c r="SF54" s="476" t="s">
        <v>721</v>
      </c>
      <c r="SG54" s="476" t="s">
        <v>721</v>
      </c>
      <c r="SH54" s="476">
        <v>3.0000000000000001E-3</v>
      </c>
      <c r="SI54" s="476">
        <v>0</v>
      </c>
      <c r="SJ54" s="476">
        <v>2E-3</v>
      </c>
      <c r="SK54" s="476">
        <v>0.21</v>
      </c>
      <c r="SL54" s="476" t="s">
        <v>721</v>
      </c>
      <c r="SM54" s="476" t="s">
        <v>721</v>
      </c>
      <c r="SN54" s="476">
        <v>2E-3</v>
      </c>
      <c r="SO54" s="476">
        <v>2E-3</v>
      </c>
      <c r="SP54" s="476">
        <v>1.7000000000000001E-2</v>
      </c>
      <c r="SQ54" s="476">
        <v>0.52900000000000003</v>
      </c>
      <c r="SR54" s="476">
        <v>0.219</v>
      </c>
      <c r="SS54" s="476" t="s">
        <v>721</v>
      </c>
      <c r="ST54" s="476" t="s">
        <v>721</v>
      </c>
      <c r="SU54" s="476" t="s">
        <v>721</v>
      </c>
      <c r="SV54" s="476" t="s">
        <v>721</v>
      </c>
      <c r="SW54" s="476" t="s">
        <v>721</v>
      </c>
      <c r="SX54" s="476" t="s">
        <v>721</v>
      </c>
      <c r="SY54" s="476" t="s">
        <v>721</v>
      </c>
      <c r="SZ54" s="476" t="s">
        <v>721</v>
      </c>
      <c r="TA54" s="476" t="s">
        <v>721</v>
      </c>
      <c r="TB54" s="476" t="s">
        <v>721</v>
      </c>
      <c r="TC54" s="476" t="s">
        <v>721</v>
      </c>
      <c r="TD54" s="476">
        <v>0.129</v>
      </c>
      <c r="TE54" s="476" t="s">
        <v>721</v>
      </c>
      <c r="TF54" s="476" t="s">
        <v>721</v>
      </c>
      <c r="TG54" s="476" t="s">
        <v>721</v>
      </c>
      <c r="TH54" s="476" t="s">
        <v>721</v>
      </c>
      <c r="TI54" s="476" t="s">
        <v>721</v>
      </c>
      <c r="TJ54" s="476">
        <v>0.34499999999999997</v>
      </c>
      <c r="TK54" s="476">
        <v>0.223</v>
      </c>
      <c r="TL54" s="476">
        <v>0.05</v>
      </c>
      <c r="TM54" s="476">
        <v>0.05</v>
      </c>
      <c r="TN54" s="476" t="s">
        <v>721</v>
      </c>
      <c r="TO54" s="476" t="s">
        <v>721</v>
      </c>
      <c r="TP54" s="476" t="s">
        <v>721</v>
      </c>
      <c r="TQ54" s="476" t="s">
        <v>721</v>
      </c>
      <c r="TR54" s="476" t="s">
        <v>721</v>
      </c>
      <c r="TS54" s="476" t="s">
        <v>721</v>
      </c>
      <c r="TT54" s="476" t="s">
        <v>721</v>
      </c>
      <c r="TU54" s="476" t="s">
        <v>721</v>
      </c>
      <c r="TV54" s="476" t="s">
        <v>721</v>
      </c>
      <c r="TW54" s="476">
        <v>0.32700000000000001</v>
      </c>
      <c r="TX54" s="476" t="s">
        <v>721</v>
      </c>
      <c r="TY54" s="476" t="s">
        <v>721</v>
      </c>
      <c r="TZ54" s="476" t="s">
        <v>721</v>
      </c>
      <c r="UA54" s="476" t="s">
        <v>721</v>
      </c>
      <c r="UB54" s="476" t="s">
        <v>721</v>
      </c>
      <c r="UC54" s="476">
        <v>0.45500000000000002</v>
      </c>
      <c r="UD54" s="476">
        <v>0.17899999999999999</v>
      </c>
      <c r="UE54" s="476">
        <v>4.1000000000000002E-2</v>
      </c>
      <c r="UF54" s="476">
        <v>4.2999999999999997E-2</v>
      </c>
      <c r="UG54" s="476">
        <v>1.0999999999999999E-2</v>
      </c>
      <c r="UH54" s="476" t="s">
        <v>721</v>
      </c>
      <c r="UI54" s="476">
        <v>1.9E-2</v>
      </c>
      <c r="UJ54" s="476" t="s">
        <v>721</v>
      </c>
      <c r="UK54" s="476" t="s">
        <v>721</v>
      </c>
      <c r="UL54" s="476" t="s">
        <v>721</v>
      </c>
      <c r="UM54" s="476" t="s">
        <v>721</v>
      </c>
      <c r="UN54" s="476" t="s">
        <v>721</v>
      </c>
      <c r="UO54" s="476" t="s">
        <v>721</v>
      </c>
      <c r="UP54" s="476">
        <v>0.21299999999999999</v>
      </c>
      <c r="UQ54" s="476" t="s">
        <v>721</v>
      </c>
      <c r="UR54" s="476" t="s">
        <v>721</v>
      </c>
      <c r="US54" s="476" t="s">
        <v>721</v>
      </c>
      <c r="UT54" s="476" t="s">
        <v>721</v>
      </c>
      <c r="UU54" s="476">
        <v>2.4E-2</v>
      </c>
      <c r="UV54" s="476">
        <v>0.371</v>
      </c>
      <c r="UW54" s="476">
        <v>0.24099999999999999</v>
      </c>
      <c r="UX54" s="476">
        <v>5.7000000000000002E-2</v>
      </c>
      <c r="UY54" s="476">
        <v>0.03</v>
      </c>
      <c r="UZ54" s="476" t="s">
        <v>721</v>
      </c>
      <c r="VA54" s="476" t="s">
        <v>721</v>
      </c>
      <c r="VB54" s="476" t="s">
        <v>721</v>
      </c>
      <c r="VC54" s="476" t="s">
        <v>721</v>
      </c>
      <c r="VD54" s="476" t="s">
        <v>721</v>
      </c>
      <c r="VE54" s="476" t="s">
        <v>721</v>
      </c>
      <c r="VF54" s="476" t="s">
        <v>721</v>
      </c>
      <c r="VG54" s="476" t="s">
        <v>721</v>
      </c>
      <c r="VH54" s="476" t="s">
        <v>721</v>
      </c>
      <c r="VI54" s="476">
        <v>0.26100000000000001</v>
      </c>
      <c r="VJ54" s="476" t="s">
        <v>721</v>
      </c>
      <c r="VK54" s="476" t="s">
        <v>721</v>
      </c>
      <c r="VL54" s="476" t="s">
        <v>721</v>
      </c>
      <c r="VM54" s="476" t="s">
        <v>721</v>
      </c>
      <c r="VN54" s="476" t="s">
        <v>721</v>
      </c>
      <c r="VO54" s="28"/>
      <c r="VP54" s="28"/>
      <c r="VQ54" s="28"/>
      <c r="VR54" s="28"/>
      <c r="VS54" s="28"/>
      <c r="VT54" s="28"/>
      <c r="VU54" s="28"/>
      <c r="VV54" s="28"/>
      <c r="VW54" s="28"/>
      <c r="VX54" s="28"/>
      <c r="VY54" s="28"/>
      <c r="VZ54" s="28"/>
      <c r="WA54" s="28"/>
      <c r="WB54" s="28"/>
      <c r="WC54" s="28"/>
      <c r="WD54" s="28"/>
      <c r="WE54" s="28"/>
      <c r="WF54" s="28"/>
      <c r="WG54" s="28"/>
      <c r="WH54" s="28"/>
      <c r="WI54" s="28"/>
      <c r="WJ54" s="28"/>
      <c r="WK54" s="28"/>
      <c r="WL54" s="28"/>
      <c r="WM54" s="28"/>
      <c r="WN54" s="28"/>
      <c r="WO54" s="28"/>
      <c r="WP54" s="28"/>
      <c r="WQ54" s="28"/>
      <c r="WR54" s="28"/>
      <c r="WS54" s="28"/>
      <c r="WT54" s="28"/>
      <c r="WU54" s="28"/>
      <c r="WV54" s="28"/>
      <c r="WW54" s="28"/>
    </row>
    <row r="55" spans="1:621" s="151" customFormat="1" ht="15.75" customHeight="1" x14ac:dyDescent="0.35">
      <c r="A55" s="477" t="s">
        <v>59</v>
      </c>
      <c r="B55" s="492" t="s">
        <v>17</v>
      </c>
      <c r="C55" s="493">
        <v>15.5</v>
      </c>
      <c r="D55" s="494">
        <v>1344</v>
      </c>
      <c r="E55" s="473">
        <v>151377.79999999999</v>
      </c>
      <c r="F55" s="473">
        <v>112.6</v>
      </c>
      <c r="G55" s="474">
        <v>1336</v>
      </c>
      <c r="H55" s="474">
        <v>1187</v>
      </c>
      <c r="I55" s="474">
        <v>1000</v>
      </c>
      <c r="J55" s="474">
        <v>718</v>
      </c>
      <c r="K55" s="474">
        <v>342</v>
      </c>
      <c r="L55" s="473">
        <v>62514</v>
      </c>
      <c r="M55" s="474">
        <v>991</v>
      </c>
      <c r="N55" s="473">
        <v>88863.8</v>
      </c>
      <c r="O55" s="494">
        <v>196</v>
      </c>
      <c r="P55" s="495">
        <v>34205.9</v>
      </c>
      <c r="Q55" s="494">
        <v>167</v>
      </c>
      <c r="R55" s="495">
        <v>7012.5</v>
      </c>
      <c r="S55" s="480">
        <v>295</v>
      </c>
      <c r="T55" s="481">
        <v>27715.1</v>
      </c>
      <c r="U55" s="480">
        <v>18</v>
      </c>
      <c r="V55" s="481">
        <v>2258.6999999999998</v>
      </c>
      <c r="W55" s="480">
        <v>1031</v>
      </c>
      <c r="X55" s="481">
        <v>121404</v>
      </c>
      <c r="Y55" s="494">
        <v>1200</v>
      </c>
      <c r="Z55" s="494">
        <v>626</v>
      </c>
      <c r="AA55" s="494">
        <v>714</v>
      </c>
      <c r="AB55" s="494">
        <v>511</v>
      </c>
      <c r="AC55" s="494">
        <v>74</v>
      </c>
      <c r="AD55" s="494">
        <v>241</v>
      </c>
      <c r="AE55" s="494">
        <v>715</v>
      </c>
      <c r="AF55" s="495">
        <v>46824.9</v>
      </c>
      <c r="AG55" s="494">
        <v>547</v>
      </c>
      <c r="AH55" s="495">
        <v>100005</v>
      </c>
      <c r="AI55" s="494">
        <v>43</v>
      </c>
      <c r="AJ55" s="495">
        <v>1924</v>
      </c>
      <c r="AK55" s="494">
        <v>28</v>
      </c>
      <c r="AL55" s="495">
        <v>2623.9</v>
      </c>
      <c r="AM55" s="496">
        <v>778</v>
      </c>
      <c r="AN55" s="496">
        <v>566</v>
      </c>
      <c r="AO55" s="496">
        <v>1091</v>
      </c>
      <c r="AP55" s="496">
        <v>172</v>
      </c>
      <c r="AQ55" s="496">
        <v>11</v>
      </c>
      <c r="AR55" s="496" t="s">
        <v>721</v>
      </c>
      <c r="AS55" s="496">
        <v>19</v>
      </c>
      <c r="AT55" s="496" t="s">
        <v>721</v>
      </c>
      <c r="AU55" s="496">
        <v>13</v>
      </c>
      <c r="AV55" s="496" t="s">
        <v>721</v>
      </c>
      <c r="AW55" s="496" t="s">
        <v>721</v>
      </c>
      <c r="AX55" s="496" t="s">
        <v>721</v>
      </c>
      <c r="AY55" s="496" t="s">
        <v>721</v>
      </c>
      <c r="AZ55" s="496" t="s">
        <v>721</v>
      </c>
      <c r="BA55" s="496" t="s">
        <v>721</v>
      </c>
      <c r="BB55" s="496" t="s">
        <v>721</v>
      </c>
      <c r="BC55" s="496" t="s">
        <v>721</v>
      </c>
      <c r="BD55" s="496" t="s">
        <v>721</v>
      </c>
      <c r="BE55" s="496">
        <v>17</v>
      </c>
      <c r="BF55" s="496" t="s">
        <v>721</v>
      </c>
      <c r="BG55" s="496" t="s">
        <v>721</v>
      </c>
      <c r="BH55" s="496" t="s">
        <v>721</v>
      </c>
      <c r="BI55" s="496">
        <v>117</v>
      </c>
      <c r="BJ55" s="496" t="s">
        <v>721</v>
      </c>
      <c r="BK55" s="496" t="s">
        <v>721</v>
      </c>
      <c r="BL55" s="496" t="s">
        <v>721</v>
      </c>
      <c r="BM55" s="496" t="s">
        <v>721</v>
      </c>
      <c r="BN55" s="496" t="s">
        <v>721</v>
      </c>
      <c r="BO55" s="496">
        <v>1203</v>
      </c>
      <c r="BP55" s="496" t="s">
        <v>721</v>
      </c>
      <c r="BQ55" s="496" t="s">
        <v>721</v>
      </c>
      <c r="BR55" s="496" t="s">
        <v>721</v>
      </c>
      <c r="BS55" s="496" t="s">
        <v>721</v>
      </c>
      <c r="BT55" s="496" t="s">
        <v>721</v>
      </c>
      <c r="BU55" s="496" t="s">
        <v>721</v>
      </c>
      <c r="BV55" s="496" t="s">
        <v>721</v>
      </c>
      <c r="BW55" s="496" t="s">
        <v>721</v>
      </c>
      <c r="BX55" s="496" t="s">
        <v>721</v>
      </c>
      <c r="BY55" s="496">
        <v>11</v>
      </c>
      <c r="BZ55" s="496" t="s">
        <v>721</v>
      </c>
      <c r="CA55" s="496" t="s">
        <v>721</v>
      </c>
      <c r="CB55" s="496" t="s">
        <v>721</v>
      </c>
      <c r="CC55" s="496" t="s">
        <v>721</v>
      </c>
      <c r="CD55" s="496" t="s">
        <v>721</v>
      </c>
      <c r="CE55" s="496" t="s">
        <v>721</v>
      </c>
      <c r="CF55" s="496" t="s">
        <v>721</v>
      </c>
      <c r="CG55" s="496" t="s">
        <v>721</v>
      </c>
      <c r="CH55" s="496" t="s">
        <v>721</v>
      </c>
      <c r="CI55" s="496" t="s">
        <v>721</v>
      </c>
      <c r="CJ55" s="496" t="s">
        <v>721</v>
      </c>
      <c r="CK55" s="496" t="s">
        <v>721</v>
      </c>
      <c r="CL55" s="496" t="s">
        <v>721</v>
      </c>
      <c r="CM55" s="496" t="s">
        <v>721</v>
      </c>
      <c r="CN55" s="496" t="s">
        <v>721</v>
      </c>
      <c r="CO55" s="496" t="s">
        <v>721</v>
      </c>
      <c r="CP55" s="496">
        <v>58</v>
      </c>
      <c r="CQ55" s="496" t="s">
        <v>721</v>
      </c>
      <c r="CR55" s="496" t="s">
        <v>721</v>
      </c>
      <c r="CS55" s="496" t="s">
        <v>721</v>
      </c>
      <c r="CT55" s="496" t="s">
        <v>721</v>
      </c>
      <c r="CU55" s="496" t="s">
        <v>721</v>
      </c>
      <c r="CV55" s="496">
        <v>1114</v>
      </c>
      <c r="CW55" s="496">
        <v>22</v>
      </c>
      <c r="CX55" s="496" t="s">
        <v>721</v>
      </c>
      <c r="CY55" s="496" t="s">
        <v>721</v>
      </c>
      <c r="CZ55" s="496" t="s">
        <v>721</v>
      </c>
      <c r="DA55" s="496" t="s">
        <v>721</v>
      </c>
      <c r="DB55" s="496" t="s">
        <v>721</v>
      </c>
      <c r="DC55" s="496" t="s">
        <v>721</v>
      </c>
      <c r="DD55" s="496" t="s">
        <v>721</v>
      </c>
      <c r="DE55" s="496" t="s">
        <v>721</v>
      </c>
      <c r="DF55" s="496" t="s">
        <v>721</v>
      </c>
      <c r="DG55" s="496" t="s">
        <v>721</v>
      </c>
      <c r="DH55" s="496" t="s">
        <v>721</v>
      </c>
      <c r="DI55" s="496" t="s">
        <v>721</v>
      </c>
      <c r="DJ55" s="496" t="s">
        <v>721</v>
      </c>
      <c r="DK55" s="496" t="s">
        <v>721</v>
      </c>
      <c r="DL55" s="496" t="s">
        <v>721</v>
      </c>
      <c r="DM55" s="496" t="s">
        <v>721</v>
      </c>
      <c r="DN55" s="496" t="s">
        <v>721</v>
      </c>
      <c r="DO55" s="496" t="s">
        <v>721</v>
      </c>
      <c r="DP55" s="496" t="s">
        <v>721</v>
      </c>
      <c r="DQ55" s="496" t="s">
        <v>721</v>
      </c>
      <c r="DR55" s="496" t="s">
        <v>721</v>
      </c>
      <c r="DS55" s="483" t="s">
        <v>721</v>
      </c>
      <c r="DT55" s="483" t="s">
        <v>721</v>
      </c>
      <c r="DU55" s="483" t="s">
        <v>721</v>
      </c>
      <c r="DV55" s="496">
        <v>140</v>
      </c>
      <c r="DW55" s="497">
        <v>21758.2</v>
      </c>
      <c r="DX55" s="496">
        <v>216</v>
      </c>
      <c r="DY55" s="497">
        <v>33482</v>
      </c>
      <c r="DZ55" s="496">
        <v>378</v>
      </c>
      <c r="EA55" s="497">
        <v>40546.400000000001</v>
      </c>
      <c r="EB55" s="496">
        <v>296</v>
      </c>
      <c r="EC55" s="497">
        <v>24542.3</v>
      </c>
      <c r="ED55" s="496">
        <v>200</v>
      </c>
      <c r="EE55" s="497">
        <v>18624.400000000001</v>
      </c>
      <c r="EF55" s="496">
        <v>114</v>
      </c>
      <c r="EG55" s="497">
        <v>12424.5</v>
      </c>
      <c r="EH55" s="485">
        <v>1086</v>
      </c>
      <c r="EI55" s="486">
        <v>4094</v>
      </c>
      <c r="EJ55" s="485">
        <v>1076</v>
      </c>
      <c r="EK55" s="486">
        <v>24235.200000000001</v>
      </c>
      <c r="EL55" s="485">
        <v>1076</v>
      </c>
      <c r="EM55" s="486">
        <v>10094.799999999999</v>
      </c>
      <c r="EN55" s="485">
        <v>1125</v>
      </c>
      <c r="EO55" s="486">
        <v>6003.8</v>
      </c>
      <c r="EP55" s="485">
        <v>1083</v>
      </c>
      <c r="EQ55" s="486">
        <v>4350.6000000000004</v>
      </c>
      <c r="ER55" s="485">
        <v>1090</v>
      </c>
      <c r="ES55" s="486">
        <v>2502.1999999999998</v>
      </c>
      <c r="ET55" s="485">
        <v>0</v>
      </c>
      <c r="EU55" s="485">
        <v>721</v>
      </c>
      <c r="EV55" s="486">
        <v>10956.1</v>
      </c>
      <c r="EW55" s="485">
        <v>266</v>
      </c>
      <c r="EX55" s="486">
        <v>1429.5</v>
      </c>
      <c r="EY55" s="485">
        <v>478</v>
      </c>
      <c r="EZ55" s="486">
        <v>4099.8</v>
      </c>
      <c r="FA55" s="485">
        <v>210</v>
      </c>
      <c r="FB55" s="486">
        <v>1974.5</v>
      </c>
      <c r="FC55" s="485">
        <v>1096</v>
      </c>
      <c r="FD55" s="486">
        <v>11668.8</v>
      </c>
      <c r="FE55" s="485">
        <v>1021</v>
      </c>
      <c r="FF55" s="486">
        <v>7507</v>
      </c>
      <c r="FG55" s="485">
        <v>549</v>
      </c>
      <c r="FH55" s="486">
        <v>5051</v>
      </c>
      <c r="FI55" s="485">
        <v>763</v>
      </c>
      <c r="FJ55" s="486">
        <v>3969.5</v>
      </c>
      <c r="FK55" s="485">
        <v>877</v>
      </c>
      <c r="FL55" s="486">
        <v>3012.8</v>
      </c>
      <c r="FM55" s="485">
        <v>46</v>
      </c>
      <c r="FN55" s="486">
        <v>107</v>
      </c>
      <c r="FO55" s="485">
        <v>1001</v>
      </c>
      <c r="FP55" s="486">
        <v>4713.8</v>
      </c>
      <c r="FQ55" s="485">
        <v>975</v>
      </c>
      <c r="FR55" s="486">
        <v>4326.5</v>
      </c>
      <c r="FS55" s="485">
        <v>9</v>
      </c>
      <c r="FT55" s="486">
        <v>93.2</v>
      </c>
      <c r="FU55" s="485">
        <v>0</v>
      </c>
      <c r="FV55" s="486">
        <v>0</v>
      </c>
      <c r="FW55" s="485">
        <v>0</v>
      </c>
      <c r="FX55" s="486">
        <v>0</v>
      </c>
      <c r="FY55" s="485">
        <v>0</v>
      </c>
      <c r="FZ55" s="486">
        <v>0</v>
      </c>
      <c r="GA55" s="485">
        <v>0</v>
      </c>
      <c r="GB55" s="485">
        <v>0</v>
      </c>
      <c r="GC55" s="487">
        <v>0</v>
      </c>
      <c r="GD55" s="488">
        <v>22</v>
      </c>
      <c r="GE55" s="488">
        <v>112</v>
      </c>
      <c r="GF55" s="488">
        <v>888</v>
      </c>
      <c r="GG55" s="488">
        <v>3</v>
      </c>
      <c r="GH55" s="488">
        <v>3</v>
      </c>
      <c r="GI55" s="488">
        <v>1</v>
      </c>
      <c r="GJ55" s="488">
        <v>0</v>
      </c>
      <c r="GK55" s="488">
        <v>464</v>
      </c>
      <c r="GL55" s="488">
        <v>551</v>
      </c>
      <c r="GM55" s="488">
        <v>1022</v>
      </c>
      <c r="GN55" s="488">
        <v>7</v>
      </c>
      <c r="GO55" s="488">
        <v>56</v>
      </c>
      <c r="GP55" s="488">
        <v>8</v>
      </c>
      <c r="GQ55" s="488">
        <v>31</v>
      </c>
      <c r="GR55" s="488">
        <v>0</v>
      </c>
      <c r="GS55" s="488">
        <v>39</v>
      </c>
      <c r="GT55" s="489">
        <v>897</v>
      </c>
      <c r="GU55" s="488">
        <v>1</v>
      </c>
      <c r="GV55" s="490">
        <v>0</v>
      </c>
      <c r="GW55" s="490">
        <v>1</v>
      </c>
      <c r="GX55" s="490">
        <v>2</v>
      </c>
      <c r="GY55" s="491">
        <v>4</v>
      </c>
      <c r="GZ55" s="491">
        <v>1</v>
      </c>
      <c r="HA55" s="491">
        <v>5</v>
      </c>
      <c r="HB55" s="475">
        <v>0</v>
      </c>
      <c r="HC55" s="475">
        <v>0</v>
      </c>
      <c r="HD55" s="475">
        <v>0</v>
      </c>
      <c r="HE55" s="475">
        <v>0</v>
      </c>
      <c r="HF55" s="475">
        <v>0</v>
      </c>
      <c r="HG55" s="475">
        <v>0</v>
      </c>
      <c r="HH55" s="475">
        <v>2</v>
      </c>
      <c r="HI55" s="475">
        <v>0</v>
      </c>
      <c r="HJ55" s="475">
        <v>0</v>
      </c>
      <c r="HK55" s="475">
        <v>0</v>
      </c>
      <c r="HL55" s="475">
        <v>0</v>
      </c>
      <c r="HM55" s="475">
        <v>0</v>
      </c>
      <c r="HN55" s="475">
        <v>0</v>
      </c>
      <c r="HO55" s="475">
        <v>1</v>
      </c>
      <c r="HP55" s="475">
        <v>0</v>
      </c>
      <c r="HQ55" s="475">
        <v>1</v>
      </c>
      <c r="HR55" s="475">
        <v>4</v>
      </c>
      <c r="HS55" s="475">
        <v>0</v>
      </c>
      <c r="HT55" s="475">
        <v>0</v>
      </c>
      <c r="HU55" s="475">
        <v>0</v>
      </c>
      <c r="HV55" s="475">
        <v>0</v>
      </c>
      <c r="HW55" s="475">
        <v>0</v>
      </c>
      <c r="HX55" s="475">
        <v>0</v>
      </c>
      <c r="HY55" s="475">
        <v>0</v>
      </c>
      <c r="HZ55" s="475">
        <v>50</v>
      </c>
      <c r="IA55" s="475" t="s">
        <v>721</v>
      </c>
      <c r="IB55" s="475" t="s">
        <v>721</v>
      </c>
      <c r="IC55" s="475" t="s">
        <v>721</v>
      </c>
      <c r="ID55" s="475" t="s">
        <v>721</v>
      </c>
      <c r="IE55" s="475" t="s">
        <v>721</v>
      </c>
      <c r="IF55" s="475" t="s">
        <v>721</v>
      </c>
      <c r="IG55" s="475" t="s">
        <v>721</v>
      </c>
      <c r="IH55" s="475" t="s">
        <v>721</v>
      </c>
      <c r="II55" s="475" t="s">
        <v>721</v>
      </c>
      <c r="IJ55" s="475" t="s">
        <v>721</v>
      </c>
      <c r="IK55" s="475" t="s">
        <v>721</v>
      </c>
      <c r="IL55" s="475" t="s">
        <v>721</v>
      </c>
      <c r="IM55" s="475" t="s">
        <v>721</v>
      </c>
      <c r="IN55" s="475" t="s">
        <v>721</v>
      </c>
      <c r="IO55" s="475" t="s">
        <v>721</v>
      </c>
      <c r="IP55" s="475" t="s">
        <v>721</v>
      </c>
      <c r="IQ55" s="475" t="s">
        <v>721</v>
      </c>
      <c r="IR55" s="475" t="s">
        <v>721</v>
      </c>
      <c r="IS55" s="475">
        <v>35</v>
      </c>
      <c r="IT55" s="475" t="s">
        <v>721</v>
      </c>
      <c r="IU55" s="475" t="s">
        <v>721</v>
      </c>
      <c r="IV55" s="475" t="s">
        <v>721</v>
      </c>
      <c r="IW55" s="475" t="s">
        <v>721</v>
      </c>
      <c r="IX55" s="475" t="s">
        <v>721</v>
      </c>
      <c r="IY55" s="475" t="s">
        <v>721</v>
      </c>
      <c r="IZ55" s="475" t="s">
        <v>721</v>
      </c>
      <c r="JA55" s="475" t="s">
        <v>721</v>
      </c>
      <c r="JB55" s="475" t="s">
        <v>721</v>
      </c>
      <c r="JC55" s="475" t="s">
        <v>721</v>
      </c>
      <c r="JD55" s="475" t="s">
        <v>721</v>
      </c>
      <c r="JE55" s="475" t="s">
        <v>721</v>
      </c>
      <c r="JF55" s="475" t="s">
        <v>721</v>
      </c>
      <c r="JG55" s="475" t="s">
        <v>721</v>
      </c>
      <c r="JH55" s="475" t="s">
        <v>721</v>
      </c>
      <c r="JI55" s="475" t="s">
        <v>721</v>
      </c>
      <c r="JJ55" s="475" t="s">
        <v>721</v>
      </c>
      <c r="JK55" s="475" t="s">
        <v>721</v>
      </c>
      <c r="JL55" s="755">
        <v>120664.1</v>
      </c>
      <c r="JM55" s="755">
        <v>20353</v>
      </c>
      <c r="JN55" s="755">
        <v>1628.7</v>
      </c>
      <c r="JO55" s="755">
        <v>533.6</v>
      </c>
      <c r="JP55" s="755">
        <v>2643.5</v>
      </c>
      <c r="JQ55" s="755">
        <v>418.9</v>
      </c>
      <c r="JR55" s="755">
        <v>1475.5</v>
      </c>
      <c r="JS55" s="755" t="s">
        <v>721</v>
      </c>
      <c r="JT55" s="755" t="s">
        <v>721</v>
      </c>
      <c r="JU55" s="755">
        <v>121</v>
      </c>
      <c r="JV55" s="755">
        <v>86.8</v>
      </c>
      <c r="JW55" s="755">
        <v>75.5</v>
      </c>
      <c r="JX55" s="755">
        <v>129.69999999999999</v>
      </c>
      <c r="JY55" s="755">
        <v>130.30000000000001</v>
      </c>
      <c r="JZ55" s="755" t="s">
        <v>721</v>
      </c>
      <c r="KA55" s="755" t="s">
        <v>721</v>
      </c>
      <c r="KB55" s="755">
        <v>2686.1</v>
      </c>
      <c r="KC55" s="755" t="s">
        <v>721</v>
      </c>
      <c r="KD55" s="755">
        <v>431.1</v>
      </c>
      <c r="KE55" s="475">
        <v>154</v>
      </c>
      <c r="KF55" s="475">
        <v>28</v>
      </c>
      <c r="KG55" s="475" t="s">
        <v>721</v>
      </c>
      <c r="KH55" s="475" t="s">
        <v>721</v>
      </c>
      <c r="KI55" s="475" t="s">
        <v>721</v>
      </c>
      <c r="KJ55" s="475" t="s">
        <v>721</v>
      </c>
      <c r="KK55" s="475" t="s">
        <v>721</v>
      </c>
      <c r="KL55" s="475" t="s">
        <v>721</v>
      </c>
      <c r="KM55" s="475" t="s">
        <v>721</v>
      </c>
      <c r="KN55" s="475" t="s">
        <v>721</v>
      </c>
      <c r="KO55" s="475" t="s">
        <v>721</v>
      </c>
      <c r="KP55" s="475" t="s">
        <v>721</v>
      </c>
      <c r="KQ55" s="475" t="s">
        <v>721</v>
      </c>
      <c r="KR55" s="475" t="s">
        <v>721</v>
      </c>
      <c r="KS55" s="475" t="s">
        <v>721</v>
      </c>
      <c r="KT55" s="475" t="s">
        <v>721</v>
      </c>
      <c r="KU55" s="475" t="s">
        <v>721</v>
      </c>
      <c r="KV55" s="475" t="s">
        <v>721</v>
      </c>
      <c r="KW55" s="475" t="s">
        <v>721</v>
      </c>
      <c r="KX55" s="475">
        <v>122</v>
      </c>
      <c r="KY55" s="475">
        <v>32</v>
      </c>
      <c r="KZ55" s="475" t="s">
        <v>721</v>
      </c>
      <c r="LA55" s="475" t="s">
        <v>721</v>
      </c>
      <c r="LB55" s="475" t="s">
        <v>721</v>
      </c>
      <c r="LC55" s="475" t="s">
        <v>721</v>
      </c>
      <c r="LD55" s="475" t="s">
        <v>721</v>
      </c>
      <c r="LE55" s="475" t="s">
        <v>721</v>
      </c>
      <c r="LF55" s="475" t="s">
        <v>721</v>
      </c>
      <c r="LG55" s="475" t="s">
        <v>721</v>
      </c>
      <c r="LH55" s="475" t="s">
        <v>721</v>
      </c>
      <c r="LI55" s="475" t="s">
        <v>721</v>
      </c>
      <c r="LJ55" s="475" t="s">
        <v>721</v>
      </c>
      <c r="LK55" s="475" t="s">
        <v>721</v>
      </c>
      <c r="LL55" s="475" t="s">
        <v>721</v>
      </c>
      <c r="LM55" s="475" t="s">
        <v>721</v>
      </c>
      <c r="LN55" s="475" t="s">
        <v>721</v>
      </c>
      <c r="LO55" s="475" t="s">
        <v>721</v>
      </c>
      <c r="LP55" s="475" t="s">
        <v>721</v>
      </c>
      <c r="LQ55" s="475">
        <v>824</v>
      </c>
      <c r="LR55" s="475">
        <v>117</v>
      </c>
      <c r="LS55" s="475" t="s">
        <v>721</v>
      </c>
      <c r="LT55" s="475" t="s">
        <v>721</v>
      </c>
      <c r="LU55" s="475">
        <v>14</v>
      </c>
      <c r="LV55" s="475" t="s">
        <v>721</v>
      </c>
      <c r="LW55" s="475" t="s">
        <v>721</v>
      </c>
      <c r="LX55" s="475" t="s">
        <v>721</v>
      </c>
      <c r="LY55" s="475" t="s">
        <v>721</v>
      </c>
      <c r="LZ55" s="475" t="s">
        <v>721</v>
      </c>
      <c r="MA55" s="475" t="s">
        <v>721</v>
      </c>
      <c r="MB55" s="475" t="s">
        <v>721</v>
      </c>
      <c r="MC55" s="475" t="s">
        <v>721</v>
      </c>
      <c r="MD55" s="475" t="s">
        <v>721</v>
      </c>
      <c r="ME55" s="475" t="s">
        <v>721</v>
      </c>
      <c r="MF55" s="475" t="s">
        <v>721</v>
      </c>
      <c r="MG55" s="475" t="s">
        <v>721</v>
      </c>
      <c r="MH55" s="475" t="s">
        <v>721</v>
      </c>
      <c r="MI55" s="475" t="s">
        <v>721</v>
      </c>
      <c r="MJ55" s="475">
        <v>258</v>
      </c>
      <c r="MK55" s="475">
        <v>54</v>
      </c>
      <c r="ML55" s="475" t="s">
        <v>721</v>
      </c>
      <c r="MM55" s="475" t="s">
        <v>721</v>
      </c>
      <c r="MN55" s="475" t="s">
        <v>721</v>
      </c>
      <c r="MO55" s="475" t="s">
        <v>721</v>
      </c>
      <c r="MP55" s="475" t="s">
        <v>721</v>
      </c>
      <c r="MQ55" s="475" t="s">
        <v>721</v>
      </c>
      <c r="MR55" s="475" t="s">
        <v>721</v>
      </c>
      <c r="MS55" s="475" t="s">
        <v>721</v>
      </c>
      <c r="MT55" s="475" t="s">
        <v>721</v>
      </c>
      <c r="MU55" s="475" t="s">
        <v>721</v>
      </c>
      <c r="MV55" s="475" t="s">
        <v>721</v>
      </c>
      <c r="MW55" s="475" t="s">
        <v>721</v>
      </c>
      <c r="MX55" s="475" t="s">
        <v>721</v>
      </c>
      <c r="MY55" s="475" t="s">
        <v>721</v>
      </c>
      <c r="MZ55" s="475">
        <v>12</v>
      </c>
      <c r="NA55" s="475" t="s">
        <v>721</v>
      </c>
      <c r="NB55" s="475" t="s">
        <v>721</v>
      </c>
      <c r="NC55" s="476">
        <v>0.57899999999999996</v>
      </c>
      <c r="ND55" s="476">
        <v>0.42099999999999999</v>
      </c>
      <c r="NE55" s="476">
        <v>0.81200000000000006</v>
      </c>
      <c r="NF55" s="476">
        <v>0.128</v>
      </c>
      <c r="NG55" s="476">
        <v>8.0000000000000002E-3</v>
      </c>
      <c r="NH55" s="476" t="s">
        <v>721</v>
      </c>
      <c r="NI55" s="476">
        <v>1.4E-2</v>
      </c>
      <c r="NJ55" s="476" t="s">
        <v>721</v>
      </c>
      <c r="NK55" s="476">
        <v>0.01</v>
      </c>
      <c r="NL55" s="476" t="s">
        <v>721</v>
      </c>
      <c r="NM55" s="476" t="s">
        <v>721</v>
      </c>
      <c r="NN55" s="476" t="s">
        <v>721</v>
      </c>
      <c r="NO55" s="476" t="s">
        <v>721</v>
      </c>
      <c r="NP55" s="476" t="s">
        <v>721</v>
      </c>
      <c r="NQ55" s="476" t="s">
        <v>721</v>
      </c>
      <c r="NR55" s="476" t="s">
        <v>721</v>
      </c>
      <c r="NS55" s="476" t="s">
        <v>721</v>
      </c>
      <c r="NT55" s="476" t="s">
        <v>721</v>
      </c>
      <c r="NU55" s="476">
        <v>1.2999999999999999E-2</v>
      </c>
      <c r="NV55" s="476" t="s">
        <v>721</v>
      </c>
      <c r="NW55" s="476" t="s">
        <v>721</v>
      </c>
      <c r="NX55" s="476" t="s">
        <v>721</v>
      </c>
      <c r="NY55" s="476">
        <v>8.6999999999999994E-2</v>
      </c>
      <c r="NZ55" s="476" t="s">
        <v>721</v>
      </c>
      <c r="OA55" s="476" t="s">
        <v>721</v>
      </c>
      <c r="OB55" s="476" t="s">
        <v>721</v>
      </c>
      <c r="OC55" s="476" t="s">
        <v>721</v>
      </c>
      <c r="OD55" s="476" t="s">
        <v>721</v>
      </c>
      <c r="OE55" s="476">
        <v>0.89500000000000002</v>
      </c>
      <c r="OF55" s="476" t="s">
        <v>721</v>
      </c>
      <c r="OG55" s="476" t="s">
        <v>721</v>
      </c>
      <c r="OH55" s="476" t="s">
        <v>721</v>
      </c>
      <c r="OI55" s="476" t="s">
        <v>721</v>
      </c>
      <c r="OJ55" s="476" t="s">
        <v>721</v>
      </c>
      <c r="OK55" s="476" t="s">
        <v>721</v>
      </c>
      <c r="OL55" s="476" t="s">
        <v>721</v>
      </c>
      <c r="OM55" s="476" t="s">
        <v>721</v>
      </c>
      <c r="ON55" s="476" t="s">
        <v>721</v>
      </c>
      <c r="OO55" s="476">
        <v>8.0000000000000002E-3</v>
      </c>
      <c r="OP55" s="476" t="s">
        <v>721</v>
      </c>
      <c r="OQ55" s="476" t="s">
        <v>721</v>
      </c>
      <c r="OR55" s="476" t="s">
        <v>721</v>
      </c>
      <c r="OS55" s="476" t="s">
        <v>721</v>
      </c>
      <c r="OT55" s="476" t="s">
        <v>721</v>
      </c>
      <c r="OU55" s="476" t="s">
        <v>721</v>
      </c>
      <c r="OV55" s="476" t="s">
        <v>721</v>
      </c>
      <c r="OW55" s="476" t="s">
        <v>721</v>
      </c>
      <c r="OX55" s="476" t="s">
        <v>721</v>
      </c>
      <c r="OY55" s="476" t="s">
        <v>721</v>
      </c>
      <c r="OZ55" s="476" t="s">
        <v>721</v>
      </c>
      <c r="PA55" s="476" t="s">
        <v>721</v>
      </c>
      <c r="PB55" s="476" t="s">
        <v>721</v>
      </c>
      <c r="PC55" s="476" t="s">
        <v>721</v>
      </c>
      <c r="PD55" s="476" t="s">
        <v>721</v>
      </c>
      <c r="PE55" s="476" t="s">
        <v>721</v>
      </c>
      <c r="PF55" s="476">
        <v>4.8000000000000001E-2</v>
      </c>
      <c r="PG55" s="476" t="s">
        <v>721</v>
      </c>
      <c r="PH55" s="476" t="s">
        <v>721</v>
      </c>
      <c r="PI55" s="476" t="s">
        <v>721</v>
      </c>
      <c r="PJ55" s="476" t="s">
        <v>721</v>
      </c>
      <c r="PK55" s="476" t="s">
        <v>721</v>
      </c>
      <c r="PL55" s="476">
        <v>0.92800000000000005</v>
      </c>
      <c r="PM55" s="476">
        <v>1.7999999999999999E-2</v>
      </c>
      <c r="PN55" s="476" t="s">
        <v>721</v>
      </c>
      <c r="PO55" s="476" t="s">
        <v>721</v>
      </c>
      <c r="PP55" s="476" t="s">
        <v>721</v>
      </c>
      <c r="PQ55" s="476" t="s">
        <v>721</v>
      </c>
      <c r="PR55" s="476" t="s">
        <v>721</v>
      </c>
      <c r="PS55" s="476" t="s">
        <v>721</v>
      </c>
      <c r="PT55" s="476" t="s">
        <v>721</v>
      </c>
      <c r="PU55" s="476" t="s">
        <v>721</v>
      </c>
      <c r="PV55" s="476" t="s">
        <v>721</v>
      </c>
      <c r="PW55" s="476" t="s">
        <v>721</v>
      </c>
      <c r="PX55" s="476" t="s">
        <v>721</v>
      </c>
      <c r="PY55" s="476" t="s">
        <v>721</v>
      </c>
      <c r="PZ55" s="476" t="s">
        <v>721</v>
      </c>
      <c r="QA55" s="476" t="s">
        <v>721</v>
      </c>
      <c r="QB55" s="476" t="s">
        <v>721</v>
      </c>
      <c r="QC55" s="476" t="s">
        <v>721</v>
      </c>
      <c r="QD55" s="476" t="s">
        <v>721</v>
      </c>
      <c r="QE55" s="476" t="s">
        <v>721</v>
      </c>
      <c r="QF55" s="476" t="s">
        <v>721</v>
      </c>
      <c r="QG55" s="476" t="s">
        <v>721</v>
      </c>
      <c r="QH55" s="476" t="s">
        <v>721</v>
      </c>
      <c r="QI55" s="476" t="s">
        <v>721</v>
      </c>
      <c r="QJ55" s="476" t="s">
        <v>721</v>
      </c>
      <c r="QK55" s="476" t="s">
        <v>721</v>
      </c>
      <c r="QL55" s="476">
        <v>0.89300000000000002</v>
      </c>
      <c r="QM55" s="476" t="s">
        <v>721</v>
      </c>
      <c r="QN55" s="476" t="s">
        <v>721</v>
      </c>
      <c r="QO55" s="476" t="s">
        <v>721</v>
      </c>
      <c r="QP55" s="476" t="s">
        <v>721</v>
      </c>
      <c r="QQ55" s="476" t="s">
        <v>721</v>
      </c>
      <c r="QR55" s="476" t="s">
        <v>721</v>
      </c>
      <c r="QS55" s="476" t="s">
        <v>721</v>
      </c>
      <c r="QT55" s="476" t="s">
        <v>721</v>
      </c>
      <c r="QU55" s="476" t="s">
        <v>721</v>
      </c>
      <c r="QV55" s="476" t="s">
        <v>721</v>
      </c>
      <c r="QW55" s="476" t="s">
        <v>721</v>
      </c>
      <c r="QX55" s="476" t="s">
        <v>721</v>
      </c>
      <c r="QY55" s="476" t="s">
        <v>721</v>
      </c>
      <c r="QZ55" s="476" t="s">
        <v>721</v>
      </c>
      <c r="RA55" s="476" t="s">
        <v>721</v>
      </c>
      <c r="RB55" s="476" t="s">
        <v>721</v>
      </c>
      <c r="RC55" s="476" t="s">
        <v>721</v>
      </c>
      <c r="RD55" s="476" t="s">
        <v>721</v>
      </c>
      <c r="RE55" s="476">
        <v>0.89700000000000002</v>
      </c>
      <c r="RF55" s="476" t="s">
        <v>721</v>
      </c>
      <c r="RG55" s="476" t="s">
        <v>721</v>
      </c>
      <c r="RH55" s="476" t="s">
        <v>721</v>
      </c>
      <c r="RI55" s="476" t="s">
        <v>721</v>
      </c>
      <c r="RJ55" s="476" t="s">
        <v>721</v>
      </c>
      <c r="RK55" s="476" t="s">
        <v>721</v>
      </c>
      <c r="RL55" s="476" t="s">
        <v>721</v>
      </c>
      <c r="RM55" s="476" t="s">
        <v>721</v>
      </c>
      <c r="RN55" s="476" t="s">
        <v>721</v>
      </c>
      <c r="RO55" s="476" t="s">
        <v>721</v>
      </c>
      <c r="RP55" s="476" t="s">
        <v>721</v>
      </c>
      <c r="RQ55" s="476" t="s">
        <v>721</v>
      </c>
      <c r="RR55" s="476" t="s">
        <v>721</v>
      </c>
      <c r="RS55" s="476" t="s">
        <v>721</v>
      </c>
      <c r="RT55" s="476" t="s">
        <v>721</v>
      </c>
      <c r="RU55" s="476" t="s">
        <v>721</v>
      </c>
      <c r="RV55" s="476" t="s">
        <v>721</v>
      </c>
      <c r="RW55" s="476" t="s">
        <v>721</v>
      </c>
      <c r="RX55" s="476">
        <v>0.79700000000000004</v>
      </c>
      <c r="RY55" s="476">
        <v>0.13400000000000001</v>
      </c>
      <c r="RZ55" s="476">
        <v>1.0999999999999999E-2</v>
      </c>
      <c r="SA55" s="476">
        <v>4.0000000000000001E-3</v>
      </c>
      <c r="SB55" s="476">
        <v>1.7000000000000001E-2</v>
      </c>
      <c r="SC55" s="476">
        <v>3.0000000000000001E-3</v>
      </c>
      <c r="SD55" s="476">
        <v>0.01</v>
      </c>
      <c r="SE55" s="476" t="s">
        <v>721</v>
      </c>
      <c r="SF55" s="476" t="s">
        <v>721</v>
      </c>
      <c r="SG55" s="476">
        <v>1E-3</v>
      </c>
      <c r="SH55" s="476">
        <v>1E-3</v>
      </c>
      <c r="SI55" s="476">
        <v>0</v>
      </c>
      <c r="SJ55" s="476">
        <v>1E-3</v>
      </c>
      <c r="SK55" s="476">
        <v>1E-3</v>
      </c>
      <c r="SL55" s="476" t="s">
        <v>721</v>
      </c>
      <c r="SM55" s="476" t="s">
        <v>721</v>
      </c>
      <c r="SN55" s="476">
        <v>1.7999999999999999E-2</v>
      </c>
      <c r="SO55" s="476" t="s">
        <v>721</v>
      </c>
      <c r="SP55" s="476">
        <v>3.0000000000000001E-3</v>
      </c>
      <c r="SQ55" s="476">
        <v>0.78600000000000003</v>
      </c>
      <c r="SR55" s="476">
        <v>0.14299999999999999</v>
      </c>
      <c r="SS55" s="476" t="s">
        <v>721</v>
      </c>
      <c r="ST55" s="476" t="s">
        <v>721</v>
      </c>
      <c r="SU55" s="476" t="s">
        <v>721</v>
      </c>
      <c r="SV55" s="476" t="s">
        <v>721</v>
      </c>
      <c r="SW55" s="476" t="s">
        <v>721</v>
      </c>
      <c r="SX55" s="476" t="s">
        <v>721</v>
      </c>
      <c r="SY55" s="476" t="s">
        <v>721</v>
      </c>
      <c r="SZ55" s="476" t="s">
        <v>721</v>
      </c>
      <c r="TA55" s="476" t="s">
        <v>721</v>
      </c>
      <c r="TB55" s="476" t="s">
        <v>721</v>
      </c>
      <c r="TC55" s="476" t="s">
        <v>721</v>
      </c>
      <c r="TD55" s="476" t="s">
        <v>721</v>
      </c>
      <c r="TE55" s="476" t="s">
        <v>721</v>
      </c>
      <c r="TF55" s="476" t="s">
        <v>721</v>
      </c>
      <c r="TG55" s="476" t="s">
        <v>721</v>
      </c>
      <c r="TH55" s="476" t="s">
        <v>721</v>
      </c>
      <c r="TI55" s="476" t="s">
        <v>721</v>
      </c>
      <c r="TJ55" s="476">
        <v>0.73099999999999998</v>
      </c>
      <c r="TK55" s="476">
        <v>0.192</v>
      </c>
      <c r="TL55" s="476" t="s">
        <v>721</v>
      </c>
      <c r="TM55" s="476" t="s">
        <v>721</v>
      </c>
      <c r="TN55" s="476" t="s">
        <v>721</v>
      </c>
      <c r="TO55" s="476" t="s">
        <v>721</v>
      </c>
      <c r="TP55" s="476" t="s">
        <v>721</v>
      </c>
      <c r="TQ55" s="476" t="s">
        <v>721</v>
      </c>
      <c r="TR55" s="476" t="s">
        <v>721</v>
      </c>
      <c r="TS55" s="476" t="s">
        <v>721</v>
      </c>
      <c r="TT55" s="476" t="s">
        <v>721</v>
      </c>
      <c r="TU55" s="476" t="s">
        <v>721</v>
      </c>
      <c r="TV55" s="476" t="s">
        <v>721</v>
      </c>
      <c r="TW55" s="476" t="s">
        <v>721</v>
      </c>
      <c r="TX55" s="476" t="s">
        <v>721</v>
      </c>
      <c r="TY55" s="476" t="s">
        <v>721</v>
      </c>
      <c r="TZ55" s="476" t="s">
        <v>721</v>
      </c>
      <c r="UA55" s="476" t="s">
        <v>721</v>
      </c>
      <c r="UB55" s="476" t="s">
        <v>721</v>
      </c>
      <c r="UC55" s="476">
        <v>0.83099999999999996</v>
      </c>
      <c r="UD55" s="476">
        <v>0.11799999999999999</v>
      </c>
      <c r="UE55" s="476" t="s">
        <v>721</v>
      </c>
      <c r="UF55" s="476" t="s">
        <v>721</v>
      </c>
      <c r="UG55" s="476">
        <v>1.4E-2</v>
      </c>
      <c r="UH55" s="476" t="s">
        <v>721</v>
      </c>
      <c r="UI55" s="476" t="s">
        <v>721</v>
      </c>
      <c r="UJ55" s="476" t="s">
        <v>721</v>
      </c>
      <c r="UK55" s="476" t="s">
        <v>721</v>
      </c>
      <c r="UL55" s="476" t="s">
        <v>721</v>
      </c>
      <c r="UM55" s="476" t="s">
        <v>721</v>
      </c>
      <c r="UN55" s="476" t="s">
        <v>721</v>
      </c>
      <c r="UO55" s="476" t="s">
        <v>721</v>
      </c>
      <c r="UP55" s="476" t="s">
        <v>721</v>
      </c>
      <c r="UQ55" s="476" t="s">
        <v>721</v>
      </c>
      <c r="UR55" s="476" t="s">
        <v>721</v>
      </c>
      <c r="US55" s="476" t="s">
        <v>721</v>
      </c>
      <c r="UT55" s="476" t="s">
        <v>721</v>
      </c>
      <c r="UU55" s="476" t="s">
        <v>721</v>
      </c>
      <c r="UV55" s="476">
        <v>0.754</v>
      </c>
      <c r="UW55" s="476">
        <v>0.158</v>
      </c>
      <c r="UX55" s="476" t="s">
        <v>721</v>
      </c>
      <c r="UY55" s="476" t="s">
        <v>721</v>
      </c>
      <c r="UZ55" s="476" t="s">
        <v>721</v>
      </c>
      <c r="VA55" s="476" t="s">
        <v>721</v>
      </c>
      <c r="VB55" s="476" t="s">
        <v>721</v>
      </c>
      <c r="VC55" s="476" t="s">
        <v>721</v>
      </c>
      <c r="VD55" s="476" t="s">
        <v>721</v>
      </c>
      <c r="VE55" s="476" t="s">
        <v>721</v>
      </c>
      <c r="VF55" s="476" t="s">
        <v>721</v>
      </c>
      <c r="VG55" s="476" t="s">
        <v>721</v>
      </c>
      <c r="VH55" s="476" t="s">
        <v>721</v>
      </c>
      <c r="VI55" s="476" t="s">
        <v>721</v>
      </c>
      <c r="VJ55" s="476" t="s">
        <v>721</v>
      </c>
      <c r="VK55" s="476" t="s">
        <v>721</v>
      </c>
      <c r="VL55" s="476">
        <v>3.5000000000000003E-2</v>
      </c>
      <c r="VM55" s="476" t="s">
        <v>721</v>
      </c>
      <c r="VN55" s="476" t="s">
        <v>721</v>
      </c>
      <c r="VO55" s="28"/>
      <c r="VP55" s="28"/>
      <c r="VQ55" s="28"/>
      <c r="VR55" s="28"/>
      <c r="VS55" s="28"/>
      <c r="VT55" s="28"/>
      <c r="VU55" s="28"/>
      <c r="VV55" s="28"/>
      <c r="VW55" s="28"/>
      <c r="VX55" s="28"/>
      <c r="VY55" s="28"/>
      <c r="VZ55" s="28"/>
      <c r="WA55" s="28"/>
      <c r="WB55" s="28"/>
      <c r="WC55" s="28"/>
      <c r="WD55" s="28"/>
      <c r="WE55" s="28"/>
      <c r="WF55" s="28"/>
      <c r="WG55" s="28"/>
      <c r="WH55" s="28"/>
      <c r="WI55" s="28"/>
      <c r="WJ55" s="28"/>
      <c r="WK55" s="28"/>
      <c r="WL55" s="28"/>
      <c r="WM55" s="28"/>
      <c r="WN55" s="28"/>
      <c r="WO55" s="28"/>
      <c r="WP55" s="28"/>
      <c r="WQ55" s="28"/>
      <c r="WR55" s="28"/>
      <c r="WS55" s="28"/>
      <c r="WT55" s="28"/>
      <c r="WU55" s="28"/>
      <c r="WV55" s="28"/>
      <c r="WW55" s="28"/>
    </row>
    <row r="56" spans="1:621" s="151" customFormat="1" ht="15.75" customHeight="1" x14ac:dyDescent="0.35">
      <c r="A56" s="477" t="s">
        <v>60</v>
      </c>
      <c r="B56" s="492" t="s">
        <v>15</v>
      </c>
      <c r="C56" s="493">
        <v>16.850000000000001</v>
      </c>
      <c r="D56" s="494">
        <v>231</v>
      </c>
      <c r="E56" s="473">
        <v>19920.7</v>
      </c>
      <c r="F56" s="473">
        <v>86.2</v>
      </c>
      <c r="G56" s="474">
        <v>229</v>
      </c>
      <c r="H56" s="474">
        <v>195</v>
      </c>
      <c r="I56" s="474">
        <v>193</v>
      </c>
      <c r="J56" s="474">
        <v>144</v>
      </c>
      <c r="K56" s="474">
        <v>34</v>
      </c>
      <c r="L56" s="473">
        <v>6197.1</v>
      </c>
      <c r="M56" s="474">
        <v>193</v>
      </c>
      <c r="N56" s="473">
        <v>13723.6</v>
      </c>
      <c r="O56" s="494">
        <v>11</v>
      </c>
      <c r="P56" s="495">
        <v>1965.1</v>
      </c>
      <c r="Q56" s="494">
        <v>11</v>
      </c>
      <c r="R56" s="495">
        <v>547.4</v>
      </c>
      <c r="S56" s="494">
        <v>51</v>
      </c>
      <c r="T56" s="495">
        <v>3551</v>
      </c>
      <c r="U56" s="494">
        <v>7</v>
      </c>
      <c r="V56" s="495">
        <v>780.5</v>
      </c>
      <c r="W56" s="494">
        <v>173</v>
      </c>
      <c r="X56" s="495">
        <v>15589.2</v>
      </c>
      <c r="Y56" s="494">
        <v>196</v>
      </c>
      <c r="Z56" s="494">
        <v>41</v>
      </c>
      <c r="AA56" s="494">
        <v>94</v>
      </c>
      <c r="AB56" s="494">
        <v>34</v>
      </c>
      <c r="AC56" s="494">
        <v>20</v>
      </c>
      <c r="AD56" s="494">
        <v>33</v>
      </c>
      <c r="AE56" s="494">
        <v>159</v>
      </c>
      <c r="AF56" s="495">
        <v>9987.2000000000007</v>
      </c>
      <c r="AG56" s="494">
        <v>58</v>
      </c>
      <c r="AH56" s="495">
        <v>9207.1</v>
      </c>
      <c r="AI56" s="494">
        <v>7</v>
      </c>
      <c r="AJ56" s="495">
        <v>438.6</v>
      </c>
      <c r="AK56" s="494">
        <v>3</v>
      </c>
      <c r="AL56" s="495">
        <v>287.8</v>
      </c>
      <c r="AM56" s="496">
        <v>127</v>
      </c>
      <c r="AN56" s="496">
        <v>104</v>
      </c>
      <c r="AO56" s="496">
        <v>199</v>
      </c>
      <c r="AP56" s="496" t="s">
        <v>721</v>
      </c>
      <c r="AQ56" s="496" t="s">
        <v>721</v>
      </c>
      <c r="AR56" s="496" t="s">
        <v>721</v>
      </c>
      <c r="AS56" s="496" t="s">
        <v>721</v>
      </c>
      <c r="AT56" s="496" t="s">
        <v>721</v>
      </c>
      <c r="AU56" s="496" t="s">
        <v>721</v>
      </c>
      <c r="AV56" s="496" t="s">
        <v>721</v>
      </c>
      <c r="AW56" s="496" t="s">
        <v>721</v>
      </c>
      <c r="AX56" s="496" t="s">
        <v>721</v>
      </c>
      <c r="AY56" s="496" t="s">
        <v>721</v>
      </c>
      <c r="AZ56" s="496" t="s">
        <v>721</v>
      </c>
      <c r="BA56" s="496" t="s">
        <v>721</v>
      </c>
      <c r="BB56" s="496" t="s">
        <v>721</v>
      </c>
      <c r="BC56" s="496" t="s">
        <v>721</v>
      </c>
      <c r="BD56" s="496" t="s">
        <v>721</v>
      </c>
      <c r="BE56" s="496" t="s">
        <v>721</v>
      </c>
      <c r="BF56" s="496" t="s">
        <v>721</v>
      </c>
      <c r="BG56" s="496" t="s">
        <v>721</v>
      </c>
      <c r="BH56" s="496" t="s">
        <v>721</v>
      </c>
      <c r="BI56" s="496" t="s">
        <v>721</v>
      </c>
      <c r="BJ56" s="496" t="s">
        <v>721</v>
      </c>
      <c r="BK56" s="496" t="s">
        <v>721</v>
      </c>
      <c r="BL56" s="496" t="s">
        <v>721</v>
      </c>
      <c r="BM56" s="496" t="s">
        <v>721</v>
      </c>
      <c r="BN56" s="496" t="s">
        <v>721</v>
      </c>
      <c r="BO56" s="496">
        <v>228</v>
      </c>
      <c r="BP56" s="496" t="s">
        <v>721</v>
      </c>
      <c r="BQ56" s="496" t="s">
        <v>721</v>
      </c>
      <c r="BR56" s="496" t="s">
        <v>721</v>
      </c>
      <c r="BS56" s="496" t="s">
        <v>721</v>
      </c>
      <c r="BT56" s="496" t="s">
        <v>721</v>
      </c>
      <c r="BU56" s="496" t="s">
        <v>721</v>
      </c>
      <c r="BV56" s="496" t="s">
        <v>721</v>
      </c>
      <c r="BW56" s="496" t="s">
        <v>721</v>
      </c>
      <c r="BX56" s="496" t="s">
        <v>721</v>
      </c>
      <c r="BY56" s="496" t="s">
        <v>721</v>
      </c>
      <c r="BZ56" s="496" t="s">
        <v>721</v>
      </c>
      <c r="CA56" s="496" t="s">
        <v>721</v>
      </c>
      <c r="CB56" s="496" t="s">
        <v>721</v>
      </c>
      <c r="CC56" s="496" t="s">
        <v>721</v>
      </c>
      <c r="CD56" s="496" t="s">
        <v>721</v>
      </c>
      <c r="CE56" s="496" t="s">
        <v>721</v>
      </c>
      <c r="CF56" s="496" t="s">
        <v>721</v>
      </c>
      <c r="CG56" s="496" t="s">
        <v>721</v>
      </c>
      <c r="CH56" s="496" t="s">
        <v>721</v>
      </c>
      <c r="CI56" s="496" t="s">
        <v>721</v>
      </c>
      <c r="CJ56" s="496" t="s">
        <v>721</v>
      </c>
      <c r="CK56" s="496" t="s">
        <v>721</v>
      </c>
      <c r="CL56" s="496" t="s">
        <v>721</v>
      </c>
      <c r="CM56" s="496" t="s">
        <v>721</v>
      </c>
      <c r="CN56" s="496" t="s">
        <v>721</v>
      </c>
      <c r="CO56" s="496" t="s">
        <v>721</v>
      </c>
      <c r="CP56" s="496" t="s">
        <v>721</v>
      </c>
      <c r="CQ56" s="496" t="s">
        <v>721</v>
      </c>
      <c r="CR56" s="496" t="s">
        <v>721</v>
      </c>
      <c r="CS56" s="496" t="s">
        <v>721</v>
      </c>
      <c r="CT56" s="496" t="s">
        <v>721</v>
      </c>
      <c r="CU56" s="496" t="s">
        <v>721</v>
      </c>
      <c r="CV56" s="496">
        <v>188</v>
      </c>
      <c r="CW56" s="496" t="s">
        <v>721</v>
      </c>
      <c r="CX56" s="496" t="s">
        <v>721</v>
      </c>
      <c r="CY56" s="496" t="s">
        <v>721</v>
      </c>
      <c r="CZ56" s="496" t="s">
        <v>721</v>
      </c>
      <c r="DA56" s="496" t="s">
        <v>721</v>
      </c>
      <c r="DB56" s="496" t="s">
        <v>721</v>
      </c>
      <c r="DC56" s="496" t="s">
        <v>721</v>
      </c>
      <c r="DD56" s="496" t="s">
        <v>721</v>
      </c>
      <c r="DE56" s="496" t="s">
        <v>721</v>
      </c>
      <c r="DF56" s="496" t="s">
        <v>721</v>
      </c>
      <c r="DG56" s="496" t="s">
        <v>721</v>
      </c>
      <c r="DH56" s="496" t="s">
        <v>721</v>
      </c>
      <c r="DI56" s="496" t="s">
        <v>721</v>
      </c>
      <c r="DJ56" s="496" t="s">
        <v>721</v>
      </c>
      <c r="DK56" s="496" t="s">
        <v>721</v>
      </c>
      <c r="DL56" s="496" t="s">
        <v>721</v>
      </c>
      <c r="DM56" s="496" t="s">
        <v>721</v>
      </c>
      <c r="DN56" s="496" t="s">
        <v>721</v>
      </c>
      <c r="DO56" s="496" t="s">
        <v>721</v>
      </c>
      <c r="DP56" s="496" t="s">
        <v>721</v>
      </c>
      <c r="DQ56" s="496" t="s">
        <v>721</v>
      </c>
      <c r="DR56" s="496" t="s">
        <v>721</v>
      </c>
      <c r="DS56" s="483" t="s">
        <v>721</v>
      </c>
      <c r="DT56" s="483" t="s">
        <v>721</v>
      </c>
      <c r="DU56" s="483" t="s">
        <v>721</v>
      </c>
      <c r="DV56" s="496" t="s">
        <v>721</v>
      </c>
      <c r="DW56" s="497">
        <v>1578.5</v>
      </c>
      <c r="DX56" s="496">
        <v>28</v>
      </c>
      <c r="DY56" s="497">
        <v>4707.3</v>
      </c>
      <c r="DZ56" s="496">
        <v>75</v>
      </c>
      <c r="EA56" s="497">
        <v>5281.3</v>
      </c>
      <c r="EB56" s="496">
        <v>67</v>
      </c>
      <c r="EC56" s="497">
        <v>4480.8999999999996</v>
      </c>
      <c r="ED56" s="496">
        <v>38</v>
      </c>
      <c r="EE56" s="497">
        <v>2769</v>
      </c>
      <c r="EF56" s="496">
        <v>14</v>
      </c>
      <c r="EG56" s="497">
        <v>1103.7</v>
      </c>
      <c r="EH56" s="485">
        <v>198</v>
      </c>
      <c r="EI56" s="486">
        <v>723.7</v>
      </c>
      <c r="EJ56" s="485">
        <v>199</v>
      </c>
      <c r="EK56" s="486">
        <v>4490.3999999999996</v>
      </c>
      <c r="EL56" s="485">
        <v>197</v>
      </c>
      <c r="EM56" s="486">
        <v>2011.7</v>
      </c>
      <c r="EN56" s="485">
        <v>204</v>
      </c>
      <c r="EO56" s="486">
        <v>1167.5</v>
      </c>
      <c r="EP56" s="485">
        <v>197</v>
      </c>
      <c r="EQ56" s="486">
        <v>947.4</v>
      </c>
      <c r="ER56" s="485">
        <v>194</v>
      </c>
      <c r="ES56" s="486">
        <v>431.1</v>
      </c>
      <c r="ET56" s="485">
        <v>0</v>
      </c>
      <c r="EU56" s="485">
        <v>90</v>
      </c>
      <c r="EV56" s="486">
        <v>1324.1</v>
      </c>
      <c r="EW56" s="485">
        <v>42</v>
      </c>
      <c r="EX56" s="486">
        <v>170.7</v>
      </c>
      <c r="EY56" s="485">
        <v>20</v>
      </c>
      <c r="EZ56" s="486">
        <v>337.7</v>
      </c>
      <c r="FA56" s="485">
        <v>18</v>
      </c>
      <c r="FB56" s="486">
        <v>130.19999999999999</v>
      </c>
      <c r="FC56" s="485">
        <v>151</v>
      </c>
      <c r="FD56" s="486">
        <v>1538.3</v>
      </c>
      <c r="FE56" s="485">
        <v>140</v>
      </c>
      <c r="FF56" s="486">
        <v>1041.4000000000001</v>
      </c>
      <c r="FG56" s="485">
        <v>46</v>
      </c>
      <c r="FH56" s="486">
        <v>674.8</v>
      </c>
      <c r="FI56" s="485">
        <v>113</v>
      </c>
      <c r="FJ56" s="486">
        <v>611.70000000000005</v>
      </c>
      <c r="FK56" s="485">
        <v>140</v>
      </c>
      <c r="FL56" s="486">
        <v>375.2</v>
      </c>
      <c r="FM56" s="485">
        <v>4</v>
      </c>
      <c r="FN56" s="486">
        <v>14.3</v>
      </c>
      <c r="FO56" s="485">
        <v>146</v>
      </c>
      <c r="FP56" s="486">
        <v>946.8</v>
      </c>
      <c r="FQ56" s="485">
        <v>135</v>
      </c>
      <c r="FR56" s="486">
        <v>496.2</v>
      </c>
      <c r="FS56" s="485">
        <v>2</v>
      </c>
      <c r="FT56" s="486">
        <v>14.8</v>
      </c>
      <c r="FU56" s="485">
        <v>0</v>
      </c>
      <c r="FV56" s="486">
        <v>0</v>
      </c>
      <c r="FW56" s="485">
        <v>0</v>
      </c>
      <c r="FX56" s="486">
        <v>0</v>
      </c>
      <c r="FY56" s="485">
        <v>0</v>
      </c>
      <c r="FZ56" s="486">
        <v>0</v>
      </c>
      <c r="GA56" s="485">
        <v>0</v>
      </c>
      <c r="GB56" s="485">
        <v>0</v>
      </c>
      <c r="GC56" s="487">
        <v>0</v>
      </c>
      <c r="GD56" s="488">
        <v>24</v>
      </c>
      <c r="GE56" s="488">
        <v>3</v>
      </c>
      <c r="GF56" s="488">
        <v>13</v>
      </c>
      <c r="GG56" s="488">
        <v>0</v>
      </c>
      <c r="GH56" s="488">
        <v>0</v>
      </c>
      <c r="GI56" s="488">
        <v>0</v>
      </c>
      <c r="GJ56" s="488">
        <v>0</v>
      </c>
      <c r="GK56" s="488">
        <v>27</v>
      </c>
      <c r="GL56" s="488">
        <v>13</v>
      </c>
      <c r="GM56" s="488">
        <v>40</v>
      </c>
      <c r="GN56" s="488">
        <v>6</v>
      </c>
      <c r="GO56" s="488">
        <v>11</v>
      </c>
      <c r="GP56" s="488">
        <v>0</v>
      </c>
      <c r="GQ56" s="488">
        <v>0</v>
      </c>
      <c r="GR56" s="488">
        <v>1</v>
      </c>
      <c r="GS56" s="488">
        <v>1</v>
      </c>
      <c r="GT56" s="489">
        <v>122</v>
      </c>
      <c r="GU56" s="488">
        <v>0</v>
      </c>
      <c r="GV56" s="490">
        <v>0</v>
      </c>
      <c r="GW56" s="490">
        <v>0</v>
      </c>
      <c r="GX56" s="490">
        <v>0</v>
      </c>
      <c r="GY56" s="491">
        <v>0</v>
      </c>
      <c r="GZ56" s="491">
        <v>1</v>
      </c>
      <c r="HA56" s="491">
        <v>1</v>
      </c>
      <c r="HB56" s="475">
        <v>0</v>
      </c>
      <c r="HC56" s="475">
        <v>0</v>
      </c>
      <c r="HD56" s="475">
        <v>0</v>
      </c>
      <c r="HE56" s="475">
        <v>0</v>
      </c>
      <c r="HF56" s="475">
        <v>0</v>
      </c>
      <c r="HG56" s="475">
        <v>0</v>
      </c>
      <c r="HH56" s="475">
        <v>0</v>
      </c>
      <c r="HI56" s="475">
        <v>0</v>
      </c>
      <c r="HJ56" s="475">
        <v>0</v>
      </c>
      <c r="HK56" s="475">
        <v>0</v>
      </c>
      <c r="HL56" s="475">
        <v>0</v>
      </c>
      <c r="HM56" s="475">
        <v>1</v>
      </c>
      <c r="HN56" s="475">
        <v>0</v>
      </c>
      <c r="HO56" s="475">
        <v>1</v>
      </c>
      <c r="HP56" s="475">
        <v>0</v>
      </c>
      <c r="HQ56" s="475">
        <v>0</v>
      </c>
      <c r="HR56" s="475">
        <v>2</v>
      </c>
      <c r="HS56" s="475">
        <v>0</v>
      </c>
      <c r="HT56" s="475">
        <v>0</v>
      </c>
      <c r="HU56" s="475">
        <v>0</v>
      </c>
      <c r="HV56" s="475">
        <v>0</v>
      </c>
      <c r="HW56" s="475">
        <v>0</v>
      </c>
      <c r="HX56" s="475">
        <v>0</v>
      </c>
      <c r="HY56" s="475">
        <v>0</v>
      </c>
      <c r="HZ56" s="475">
        <v>11</v>
      </c>
      <c r="IA56" s="475" t="s">
        <v>721</v>
      </c>
      <c r="IB56" s="475" t="s">
        <v>721</v>
      </c>
      <c r="IC56" s="475" t="s">
        <v>721</v>
      </c>
      <c r="ID56" s="475" t="s">
        <v>721</v>
      </c>
      <c r="IE56" s="475" t="s">
        <v>721</v>
      </c>
      <c r="IF56" s="475" t="s">
        <v>721</v>
      </c>
      <c r="IG56" s="475" t="s">
        <v>721</v>
      </c>
      <c r="IH56" s="475" t="s">
        <v>721</v>
      </c>
      <c r="II56" s="475" t="s">
        <v>721</v>
      </c>
      <c r="IJ56" s="475" t="s">
        <v>721</v>
      </c>
      <c r="IK56" s="475" t="s">
        <v>721</v>
      </c>
      <c r="IL56" s="475" t="s">
        <v>721</v>
      </c>
      <c r="IM56" s="475" t="s">
        <v>721</v>
      </c>
      <c r="IN56" s="475" t="s">
        <v>721</v>
      </c>
      <c r="IO56" s="475" t="s">
        <v>721</v>
      </c>
      <c r="IP56" s="475" t="s">
        <v>721</v>
      </c>
      <c r="IQ56" s="475" t="s">
        <v>721</v>
      </c>
      <c r="IR56" s="475" t="s">
        <v>721</v>
      </c>
      <c r="IS56" s="475" t="s">
        <v>721</v>
      </c>
      <c r="IT56" s="475" t="s">
        <v>721</v>
      </c>
      <c r="IU56" s="475" t="s">
        <v>721</v>
      </c>
      <c r="IV56" s="475" t="s">
        <v>721</v>
      </c>
      <c r="IW56" s="475" t="s">
        <v>721</v>
      </c>
      <c r="IX56" s="475" t="s">
        <v>721</v>
      </c>
      <c r="IY56" s="475" t="s">
        <v>721</v>
      </c>
      <c r="IZ56" s="475" t="s">
        <v>721</v>
      </c>
      <c r="JA56" s="475" t="s">
        <v>721</v>
      </c>
      <c r="JB56" s="475" t="s">
        <v>721</v>
      </c>
      <c r="JC56" s="475" t="s">
        <v>721</v>
      </c>
      <c r="JD56" s="475" t="s">
        <v>721</v>
      </c>
      <c r="JE56" s="475" t="s">
        <v>721</v>
      </c>
      <c r="JF56" s="475" t="s">
        <v>721</v>
      </c>
      <c r="JG56" s="475" t="s">
        <v>721</v>
      </c>
      <c r="JH56" s="475" t="s">
        <v>721</v>
      </c>
      <c r="JI56" s="475" t="s">
        <v>721</v>
      </c>
      <c r="JJ56" s="475" t="s">
        <v>721</v>
      </c>
      <c r="JK56" s="475" t="s">
        <v>721</v>
      </c>
      <c r="JL56" s="755">
        <v>16902.099999999999</v>
      </c>
      <c r="JM56" s="755">
        <v>1144.8</v>
      </c>
      <c r="JN56" s="755">
        <v>167</v>
      </c>
      <c r="JO56" s="755">
        <v>230.6</v>
      </c>
      <c r="JP56" s="755">
        <v>851.1</v>
      </c>
      <c r="JQ56" s="755" t="s">
        <v>721</v>
      </c>
      <c r="JR56" s="755">
        <v>496.2</v>
      </c>
      <c r="JS56" s="755" t="s">
        <v>721</v>
      </c>
      <c r="JT56" s="755" t="s">
        <v>721</v>
      </c>
      <c r="JU56" s="755" t="s">
        <v>721</v>
      </c>
      <c r="JV56" s="755" t="s">
        <v>721</v>
      </c>
      <c r="JW56" s="755" t="s">
        <v>721</v>
      </c>
      <c r="JX56" s="755" t="s">
        <v>721</v>
      </c>
      <c r="JY56" s="755" t="s">
        <v>721</v>
      </c>
      <c r="JZ56" s="755" t="s">
        <v>721</v>
      </c>
      <c r="KA56" s="755" t="s">
        <v>721</v>
      </c>
      <c r="KB56" s="755" t="s">
        <v>721</v>
      </c>
      <c r="KC56" s="755" t="s">
        <v>721</v>
      </c>
      <c r="KD56" s="755">
        <v>128.9</v>
      </c>
      <c r="KE56" s="475" t="s">
        <v>721</v>
      </c>
      <c r="KF56" s="475" t="s">
        <v>721</v>
      </c>
      <c r="KG56" s="475" t="s">
        <v>721</v>
      </c>
      <c r="KH56" s="475" t="s">
        <v>721</v>
      </c>
      <c r="KI56" s="475" t="s">
        <v>721</v>
      </c>
      <c r="KJ56" s="475" t="s">
        <v>721</v>
      </c>
      <c r="KK56" s="475" t="s">
        <v>721</v>
      </c>
      <c r="KL56" s="475" t="s">
        <v>721</v>
      </c>
      <c r="KM56" s="475" t="s">
        <v>721</v>
      </c>
      <c r="KN56" s="475" t="s">
        <v>721</v>
      </c>
      <c r="KO56" s="475" t="s">
        <v>721</v>
      </c>
      <c r="KP56" s="475" t="s">
        <v>721</v>
      </c>
      <c r="KQ56" s="475" t="s">
        <v>721</v>
      </c>
      <c r="KR56" s="475" t="s">
        <v>721</v>
      </c>
      <c r="KS56" s="475" t="s">
        <v>721</v>
      </c>
      <c r="KT56" s="475" t="s">
        <v>721</v>
      </c>
      <c r="KU56" s="475" t="s">
        <v>721</v>
      </c>
      <c r="KV56" s="475" t="s">
        <v>721</v>
      </c>
      <c r="KW56" s="475" t="s">
        <v>721</v>
      </c>
      <c r="KX56" s="475" t="s">
        <v>721</v>
      </c>
      <c r="KY56" s="475" t="s">
        <v>721</v>
      </c>
      <c r="KZ56" s="475" t="s">
        <v>721</v>
      </c>
      <c r="LA56" s="475" t="s">
        <v>721</v>
      </c>
      <c r="LB56" s="475" t="s">
        <v>721</v>
      </c>
      <c r="LC56" s="475" t="s">
        <v>721</v>
      </c>
      <c r="LD56" s="475" t="s">
        <v>721</v>
      </c>
      <c r="LE56" s="475" t="s">
        <v>721</v>
      </c>
      <c r="LF56" s="475" t="s">
        <v>721</v>
      </c>
      <c r="LG56" s="475" t="s">
        <v>721</v>
      </c>
      <c r="LH56" s="475" t="s">
        <v>721</v>
      </c>
      <c r="LI56" s="475" t="s">
        <v>721</v>
      </c>
      <c r="LJ56" s="475" t="s">
        <v>721</v>
      </c>
      <c r="LK56" s="475" t="s">
        <v>721</v>
      </c>
      <c r="LL56" s="475" t="s">
        <v>721</v>
      </c>
      <c r="LM56" s="475" t="s">
        <v>721</v>
      </c>
      <c r="LN56" s="475" t="s">
        <v>721</v>
      </c>
      <c r="LO56" s="475" t="s">
        <v>721</v>
      </c>
      <c r="LP56" s="475" t="s">
        <v>721</v>
      </c>
      <c r="LQ56" s="475">
        <v>169</v>
      </c>
      <c r="LR56" s="475" t="s">
        <v>721</v>
      </c>
      <c r="LS56" s="475" t="s">
        <v>721</v>
      </c>
      <c r="LT56" s="475" t="s">
        <v>721</v>
      </c>
      <c r="LU56" s="475" t="s">
        <v>721</v>
      </c>
      <c r="LV56" s="475" t="s">
        <v>721</v>
      </c>
      <c r="LW56" s="475" t="s">
        <v>721</v>
      </c>
      <c r="LX56" s="475" t="s">
        <v>721</v>
      </c>
      <c r="LY56" s="475" t="s">
        <v>721</v>
      </c>
      <c r="LZ56" s="475" t="s">
        <v>721</v>
      </c>
      <c r="MA56" s="475" t="s">
        <v>721</v>
      </c>
      <c r="MB56" s="475" t="s">
        <v>721</v>
      </c>
      <c r="MC56" s="475" t="s">
        <v>721</v>
      </c>
      <c r="MD56" s="475" t="s">
        <v>721</v>
      </c>
      <c r="ME56" s="475" t="s">
        <v>721</v>
      </c>
      <c r="MF56" s="475" t="s">
        <v>721</v>
      </c>
      <c r="MG56" s="475" t="s">
        <v>721</v>
      </c>
      <c r="MH56" s="475" t="s">
        <v>721</v>
      </c>
      <c r="MI56" s="475" t="s">
        <v>721</v>
      </c>
      <c r="MJ56" s="475">
        <v>27</v>
      </c>
      <c r="MK56" s="475" t="s">
        <v>721</v>
      </c>
      <c r="ML56" s="475" t="s">
        <v>721</v>
      </c>
      <c r="MM56" s="475" t="s">
        <v>721</v>
      </c>
      <c r="MN56" s="475" t="s">
        <v>721</v>
      </c>
      <c r="MO56" s="475" t="s">
        <v>721</v>
      </c>
      <c r="MP56" s="475" t="s">
        <v>721</v>
      </c>
      <c r="MQ56" s="475" t="s">
        <v>721</v>
      </c>
      <c r="MR56" s="475" t="s">
        <v>721</v>
      </c>
      <c r="MS56" s="475" t="s">
        <v>721</v>
      </c>
      <c r="MT56" s="475" t="s">
        <v>721</v>
      </c>
      <c r="MU56" s="475" t="s">
        <v>721</v>
      </c>
      <c r="MV56" s="475" t="s">
        <v>721</v>
      </c>
      <c r="MW56" s="475" t="s">
        <v>721</v>
      </c>
      <c r="MX56" s="475" t="s">
        <v>721</v>
      </c>
      <c r="MY56" s="475" t="s">
        <v>721</v>
      </c>
      <c r="MZ56" s="475" t="s">
        <v>721</v>
      </c>
      <c r="NA56" s="475" t="s">
        <v>721</v>
      </c>
      <c r="NB56" s="475" t="s">
        <v>721</v>
      </c>
      <c r="NC56" s="476">
        <v>0.55000000000000004</v>
      </c>
      <c r="ND56" s="476">
        <v>0.45</v>
      </c>
      <c r="NE56" s="476">
        <v>0.86099999999999999</v>
      </c>
      <c r="NF56" s="476" t="s">
        <v>721</v>
      </c>
      <c r="NG56" s="476" t="s">
        <v>721</v>
      </c>
      <c r="NH56" s="476" t="s">
        <v>721</v>
      </c>
      <c r="NI56" s="476" t="s">
        <v>721</v>
      </c>
      <c r="NJ56" s="476" t="s">
        <v>721</v>
      </c>
      <c r="NK56" s="476" t="s">
        <v>721</v>
      </c>
      <c r="NL56" s="476" t="s">
        <v>721</v>
      </c>
      <c r="NM56" s="476" t="s">
        <v>721</v>
      </c>
      <c r="NN56" s="476" t="s">
        <v>721</v>
      </c>
      <c r="NO56" s="476" t="s">
        <v>721</v>
      </c>
      <c r="NP56" s="476" t="s">
        <v>721</v>
      </c>
      <c r="NQ56" s="476" t="s">
        <v>721</v>
      </c>
      <c r="NR56" s="476" t="s">
        <v>721</v>
      </c>
      <c r="NS56" s="476" t="s">
        <v>721</v>
      </c>
      <c r="NT56" s="476" t="s">
        <v>721</v>
      </c>
      <c r="NU56" s="476" t="s">
        <v>721</v>
      </c>
      <c r="NV56" s="476" t="s">
        <v>721</v>
      </c>
      <c r="NW56" s="476" t="s">
        <v>721</v>
      </c>
      <c r="NX56" s="476" t="s">
        <v>721</v>
      </c>
      <c r="NY56" s="476" t="s">
        <v>721</v>
      </c>
      <c r="NZ56" s="476" t="s">
        <v>721</v>
      </c>
      <c r="OA56" s="476" t="s">
        <v>721</v>
      </c>
      <c r="OB56" s="476" t="s">
        <v>721</v>
      </c>
      <c r="OC56" s="476" t="s">
        <v>721</v>
      </c>
      <c r="OD56" s="476" t="s">
        <v>721</v>
      </c>
      <c r="OE56" s="476">
        <v>0.98699999999999999</v>
      </c>
      <c r="OF56" s="476" t="s">
        <v>721</v>
      </c>
      <c r="OG56" s="476" t="s">
        <v>721</v>
      </c>
      <c r="OH56" s="476" t="s">
        <v>721</v>
      </c>
      <c r="OI56" s="476" t="s">
        <v>721</v>
      </c>
      <c r="OJ56" s="476" t="s">
        <v>721</v>
      </c>
      <c r="OK56" s="476" t="s">
        <v>721</v>
      </c>
      <c r="OL56" s="476" t="s">
        <v>721</v>
      </c>
      <c r="OM56" s="476" t="s">
        <v>721</v>
      </c>
      <c r="ON56" s="476" t="s">
        <v>721</v>
      </c>
      <c r="OO56" s="476" t="s">
        <v>721</v>
      </c>
      <c r="OP56" s="476" t="s">
        <v>721</v>
      </c>
      <c r="OQ56" s="476" t="s">
        <v>721</v>
      </c>
      <c r="OR56" s="476" t="s">
        <v>721</v>
      </c>
      <c r="OS56" s="476" t="s">
        <v>721</v>
      </c>
      <c r="OT56" s="476" t="s">
        <v>721</v>
      </c>
      <c r="OU56" s="476" t="s">
        <v>721</v>
      </c>
      <c r="OV56" s="476" t="s">
        <v>721</v>
      </c>
      <c r="OW56" s="476" t="s">
        <v>721</v>
      </c>
      <c r="OX56" s="476" t="s">
        <v>721</v>
      </c>
      <c r="OY56" s="476" t="s">
        <v>721</v>
      </c>
      <c r="OZ56" s="476" t="s">
        <v>721</v>
      </c>
      <c r="PA56" s="476" t="s">
        <v>721</v>
      </c>
      <c r="PB56" s="476" t="s">
        <v>721</v>
      </c>
      <c r="PC56" s="476" t="s">
        <v>721</v>
      </c>
      <c r="PD56" s="476" t="s">
        <v>721</v>
      </c>
      <c r="PE56" s="476" t="s">
        <v>721</v>
      </c>
      <c r="PF56" s="476" t="s">
        <v>721</v>
      </c>
      <c r="PG56" s="476" t="s">
        <v>721</v>
      </c>
      <c r="PH56" s="476" t="s">
        <v>721</v>
      </c>
      <c r="PI56" s="476" t="s">
        <v>721</v>
      </c>
      <c r="PJ56" s="476" t="s">
        <v>721</v>
      </c>
      <c r="PK56" s="476" t="s">
        <v>721</v>
      </c>
      <c r="PL56" s="476">
        <v>0.95899999999999996</v>
      </c>
      <c r="PM56" s="476" t="s">
        <v>721</v>
      </c>
      <c r="PN56" s="476" t="s">
        <v>721</v>
      </c>
      <c r="PO56" s="476" t="s">
        <v>721</v>
      </c>
      <c r="PP56" s="476" t="s">
        <v>721</v>
      </c>
      <c r="PQ56" s="476" t="s">
        <v>721</v>
      </c>
      <c r="PR56" s="476" t="s">
        <v>721</v>
      </c>
      <c r="PS56" s="476" t="s">
        <v>721</v>
      </c>
      <c r="PT56" s="476" t="s">
        <v>721</v>
      </c>
      <c r="PU56" s="476" t="s">
        <v>721</v>
      </c>
      <c r="PV56" s="476" t="s">
        <v>721</v>
      </c>
      <c r="PW56" s="476" t="s">
        <v>721</v>
      </c>
      <c r="PX56" s="476" t="s">
        <v>721</v>
      </c>
      <c r="PY56" s="476" t="s">
        <v>721</v>
      </c>
      <c r="PZ56" s="476" t="s">
        <v>721</v>
      </c>
      <c r="QA56" s="476" t="s">
        <v>721</v>
      </c>
      <c r="QB56" s="476" t="s">
        <v>721</v>
      </c>
      <c r="QC56" s="476" t="s">
        <v>721</v>
      </c>
      <c r="QD56" s="476" t="s">
        <v>721</v>
      </c>
      <c r="QE56" s="476" t="s">
        <v>721</v>
      </c>
      <c r="QF56" s="476" t="s">
        <v>721</v>
      </c>
      <c r="QG56" s="476" t="s">
        <v>721</v>
      </c>
      <c r="QH56" s="476" t="s">
        <v>721</v>
      </c>
      <c r="QI56" s="476" t="s">
        <v>721</v>
      </c>
      <c r="QJ56" s="476" t="s">
        <v>721</v>
      </c>
      <c r="QK56" s="476" t="s">
        <v>721</v>
      </c>
      <c r="QL56" s="476">
        <v>1</v>
      </c>
      <c r="QM56" s="476" t="s">
        <v>721</v>
      </c>
      <c r="QN56" s="476" t="s">
        <v>721</v>
      </c>
      <c r="QO56" s="476" t="s">
        <v>721</v>
      </c>
      <c r="QP56" s="476" t="s">
        <v>721</v>
      </c>
      <c r="QQ56" s="476" t="s">
        <v>721</v>
      </c>
      <c r="QR56" s="476" t="s">
        <v>721</v>
      </c>
      <c r="QS56" s="476" t="s">
        <v>721</v>
      </c>
      <c r="QT56" s="476" t="s">
        <v>721</v>
      </c>
      <c r="QU56" s="476" t="s">
        <v>721</v>
      </c>
      <c r="QV56" s="476" t="s">
        <v>721</v>
      </c>
      <c r="QW56" s="476" t="s">
        <v>721</v>
      </c>
      <c r="QX56" s="476" t="s">
        <v>721</v>
      </c>
      <c r="QY56" s="476" t="s">
        <v>721</v>
      </c>
      <c r="QZ56" s="476" t="s">
        <v>721</v>
      </c>
      <c r="RA56" s="476" t="s">
        <v>721</v>
      </c>
      <c r="RB56" s="476" t="s">
        <v>721</v>
      </c>
      <c r="RC56" s="476" t="s">
        <v>721</v>
      </c>
      <c r="RD56" s="476" t="s">
        <v>721</v>
      </c>
      <c r="RE56" s="476" t="s">
        <v>721</v>
      </c>
      <c r="RF56" s="476" t="s">
        <v>721</v>
      </c>
      <c r="RG56" s="476" t="s">
        <v>721</v>
      </c>
      <c r="RH56" s="476" t="s">
        <v>721</v>
      </c>
      <c r="RI56" s="476" t="s">
        <v>721</v>
      </c>
      <c r="RJ56" s="476" t="s">
        <v>721</v>
      </c>
      <c r="RK56" s="476" t="s">
        <v>721</v>
      </c>
      <c r="RL56" s="476" t="s">
        <v>721</v>
      </c>
      <c r="RM56" s="476" t="s">
        <v>721</v>
      </c>
      <c r="RN56" s="476" t="s">
        <v>721</v>
      </c>
      <c r="RO56" s="476" t="s">
        <v>721</v>
      </c>
      <c r="RP56" s="476" t="s">
        <v>721</v>
      </c>
      <c r="RQ56" s="476" t="s">
        <v>721</v>
      </c>
      <c r="RR56" s="476" t="s">
        <v>721</v>
      </c>
      <c r="RS56" s="476" t="s">
        <v>721</v>
      </c>
      <c r="RT56" s="476" t="s">
        <v>721</v>
      </c>
      <c r="RU56" s="476" t="s">
        <v>721</v>
      </c>
      <c r="RV56" s="476" t="s">
        <v>721</v>
      </c>
      <c r="RW56" s="476" t="s">
        <v>721</v>
      </c>
      <c r="RX56" s="476">
        <v>0.84799999999999998</v>
      </c>
      <c r="RY56" s="476">
        <v>5.7000000000000002E-2</v>
      </c>
      <c r="RZ56" s="476">
        <v>8.0000000000000002E-3</v>
      </c>
      <c r="SA56" s="476">
        <v>1.2E-2</v>
      </c>
      <c r="SB56" s="476">
        <v>4.2999999999999997E-2</v>
      </c>
      <c r="SC56" s="476" t="s">
        <v>721</v>
      </c>
      <c r="SD56" s="476">
        <v>2.5000000000000001E-2</v>
      </c>
      <c r="SE56" s="476" t="s">
        <v>721</v>
      </c>
      <c r="SF56" s="476" t="s">
        <v>721</v>
      </c>
      <c r="SG56" s="476" t="s">
        <v>721</v>
      </c>
      <c r="SH56" s="476" t="s">
        <v>721</v>
      </c>
      <c r="SI56" s="476" t="s">
        <v>721</v>
      </c>
      <c r="SJ56" s="476" t="s">
        <v>721</v>
      </c>
      <c r="SK56" s="476" t="s">
        <v>721</v>
      </c>
      <c r="SL56" s="476" t="s">
        <v>721</v>
      </c>
      <c r="SM56" s="476" t="s">
        <v>721</v>
      </c>
      <c r="SN56" s="476" t="s">
        <v>721</v>
      </c>
      <c r="SO56" s="476" t="s">
        <v>721</v>
      </c>
      <c r="SP56" s="476">
        <v>6.0000000000000001E-3</v>
      </c>
      <c r="SQ56" s="476" t="s">
        <v>721</v>
      </c>
      <c r="SR56" s="476" t="s">
        <v>721</v>
      </c>
      <c r="SS56" s="476" t="s">
        <v>721</v>
      </c>
      <c r="ST56" s="476" t="s">
        <v>721</v>
      </c>
      <c r="SU56" s="476" t="s">
        <v>721</v>
      </c>
      <c r="SV56" s="476" t="s">
        <v>721</v>
      </c>
      <c r="SW56" s="476" t="s">
        <v>721</v>
      </c>
      <c r="SX56" s="476" t="s">
        <v>721</v>
      </c>
      <c r="SY56" s="476" t="s">
        <v>721</v>
      </c>
      <c r="SZ56" s="476" t="s">
        <v>721</v>
      </c>
      <c r="TA56" s="476" t="s">
        <v>721</v>
      </c>
      <c r="TB56" s="476" t="s">
        <v>721</v>
      </c>
      <c r="TC56" s="476" t="s">
        <v>721</v>
      </c>
      <c r="TD56" s="476" t="s">
        <v>721</v>
      </c>
      <c r="TE56" s="476" t="s">
        <v>721</v>
      </c>
      <c r="TF56" s="476" t="s">
        <v>721</v>
      </c>
      <c r="TG56" s="476" t="s">
        <v>721</v>
      </c>
      <c r="TH56" s="476" t="s">
        <v>721</v>
      </c>
      <c r="TI56" s="476" t="s">
        <v>721</v>
      </c>
      <c r="TJ56" s="476" t="s">
        <v>721</v>
      </c>
      <c r="TK56" s="476" t="s">
        <v>721</v>
      </c>
      <c r="TL56" s="476" t="s">
        <v>721</v>
      </c>
      <c r="TM56" s="476" t="s">
        <v>721</v>
      </c>
      <c r="TN56" s="476" t="s">
        <v>721</v>
      </c>
      <c r="TO56" s="476" t="s">
        <v>721</v>
      </c>
      <c r="TP56" s="476" t="s">
        <v>721</v>
      </c>
      <c r="TQ56" s="476" t="s">
        <v>721</v>
      </c>
      <c r="TR56" s="476" t="s">
        <v>721</v>
      </c>
      <c r="TS56" s="476" t="s">
        <v>721</v>
      </c>
      <c r="TT56" s="476" t="s">
        <v>721</v>
      </c>
      <c r="TU56" s="476" t="s">
        <v>721</v>
      </c>
      <c r="TV56" s="476" t="s">
        <v>721</v>
      </c>
      <c r="TW56" s="476" t="s">
        <v>721</v>
      </c>
      <c r="TX56" s="476" t="s">
        <v>721</v>
      </c>
      <c r="TY56" s="476" t="s">
        <v>721</v>
      </c>
      <c r="TZ56" s="476" t="s">
        <v>721</v>
      </c>
      <c r="UA56" s="476" t="s">
        <v>721</v>
      </c>
      <c r="UB56" s="476" t="s">
        <v>721</v>
      </c>
      <c r="UC56" s="476">
        <v>0.876</v>
      </c>
      <c r="UD56" s="476" t="s">
        <v>721</v>
      </c>
      <c r="UE56" s="476" t="s">
        <v>721</v>
      </c>
      <c r="UF56" s="476" t="s">
        <v>721</v>
      </c>
      <c r="UG56" s="476" t="s">
        <v>721</v>
      </c>
      <c r="UH56" s="476" t="s">
        <v>721</v>
      </c>
      <c r="UI56" s="476" t="s">
        <v>721</v>
      </c>
      <c r="UJ56" s="476" t="s">
        <v>721</v>
      </c>
      <c r="UK56" s="476" t="s">
        <v>721</v>
      </c>
      <c r="UL56" s="476" t="s">
        <v>721</v>
      </c>
      <c r="UM56" s="476" t="s">
        <v>721</v>
      </c>
      <c r="UN56" s="476" t="s">
        <v>721</v>
      </c>
      <c r="UO56" s="476" t="s">
        <v>721</v>
      </c>
      <c r="UP56" s="476" t="s">
        <v>721</v>
      </c>
      <c r="UQ56" s="476" t="s">
        <v>721</v>
      </c>
      <c r="UR56" s="476" t="s">
        <v>721</v>
      </c>
      <c r="US56" s="476" t="s">
        <v>721</v>
      </c>
      <c r="UT56" s="476" t="s">
        <v>721</v>
      </c>
      <c r="UU56" s="476" t="s">
        <v>721</v>
      </c>
      <c r="UV56" s="476">
        <v>0.79400000000000004</v>
      </c>
      <c r="UW56" s="476" t="s">
        <v>721</v>
      </c>
      <c r="UX56" s="476" t="s">
        <v>721</v>
      </c>
      <c r="UY56" s="476" t="s">
        <v>721</v>
      </c>
      <c r="UZ56" s="476" t="s">
        <v>721</v>
      </c>
      <c r="VA56" s="476" t="s">
        <v>721</v>
      </c>
      <c r="VB56" s="476" t="s">
        <v>721</v>
      </c>
      <c r="VC56" s="476" t="s">
        <v>721</v>
      </c>
      <c r="VD56" s="476" t="s">
        <v>721</v>
      </c>
      <c r="VE56" s="476" t="s">
        <v>721</v>
      </c>
      <c r="VF56" s="476" t="s">
        <v>721</v>
      </c>
      <c r="VG56" s="476" t="s">
        <v>721</v>
      </c>
      <c r="VH56" s="476" t="s">
        <v>721</v>
      </c>
      <c r="VI56" s="476" t="s">
        <v>721</v>
      </c>
      <c r="VJ56" s="476" t="s">
        <v>721</v>
      </c>
      <c r="VK56" s="476" t="s">
        <v>721</v>
      </c>
      <c r="VL56" s="476" t="s">
        <v>721</v>
      </c>
      <c r="VM56" s="476" t="s">
        <v>721</v>
      </c>
      <c r="VN56" s="476" t="s">
        <v>721</v>
      </c>
      <c r="VO56" s="28"/>
      <c r="VP56" s="28"/>
      <c r="VQ56" s="28"/>
      <c r="VR56" s="28"/>
      <c r="VS56" s="28"/>
      <c r="VT56" s="28"/>
      <c r="VU56" s="28"/>
      <c r="VV56" s="28"/>
      <c r="VW56" s="28"/>
      <c r="VX56" s="28"/>
      <c r="VY56" s="28"/>
      <c r="VZ56" s="28"/>
      <c r="WA56" s="28"/>
      <c r="WB56" s="28"/>
      <c r="WC56" s="28"/>
      <c r="WD56" s="28"/>
      <c r="WE56" s="28"/>
      <c r="WF56" s="28"/>
      <c r="WG56" s="28"/>
      <c r="WH56" s="28"/>
      <c r="WI56" s="28"/>
      <c r="WJ56" s="28"/>
      <c r="WK56" s="28"/>
      <c r="WL56" s="28"/>
      <c r="WM56" s="28"/>
      <c r="WN56" s="28"/>
      <c r="WO56" s="28"/>
      <c r="WP56" s="28"/>
      <c r="WQ56" s="28"/>
      <c r="WR56" s="28"/>
      <c r="WS56" s="28"/>
      <c r="WT56" s="28"/>
      <c r="WU56" s="28"/>
      <c r="WV56" s="28"/>
      <c r="WW56" s="28"/>
    </row>
    <row r="57" spans="1:621" s="151" customFormat="1" ht="15.75" customHeight="1" x14ac:dyDescent="0.35">
      <c r="A57" s="477" t="s">
        <v>61</v>
      </c>
      <c r="B57" s="492" t="s">
        <v>17</v>
      </c>
      <c r="C57" s="493">
        <v>16.100000000000001</v>
      </c>
      <c r="D57" s="494">
        <v>7514</v>
      </c>
      <c r="E57" s="473">
        <v>842025.8</v>
      </c>
      <c r="F57" s="473">
        <v>112.1</v>
      </c>
      <c r="G57" s="474">
        <v>7364</v>
      </c>
      <c r="H57" s="474">
        <v>6588</v>
      </c>
      <c r="I57" s="474">
        <v>4233</v>
      </c>
      <c r="J57" s="474">
        <v>3181</v>
      </c>
      <c r="K57" s="474">
        <v>2341</v>
      </c>
      <c r="L57" s="473">
        <v>397661</v>
      </c>
      <c r="M57" s="474">
        <v>5138</v>
      </c>
      <c r="N57" s="473">
        <v>444364.79999999999</v>
      </c>
      <c r="O57" s="494">
        <v>924</v>
      </c>
      <c r="P57" s="495">
        <v>161128.5</v>
      </c>
      <c r="Q57" s="494">
        <v>1552</v>
      </c>
      <c r="R57" s="495">
        <v>38105.5</v>
      </c>
      <c r="S57" s="480">
        <v>2449</v>
      </c>
      <c r="T57" s="481">
        <v>235800.3</v>
      </c>
      <c r="U57" s="480">
        <v>112</v>
      </c>
      <c r="V57" s="481">
        <v>14429.7</v>
      </c>
      <c r="W57" s="480">
        <v>4953</v>
      </c>
      <c r="X57" s="481">
        <v>591795.80000000005</v>
      </c>
      <c r="Y57" s="494">
        <v>6644</v>
      </c>
      <c r="Z57" s="494">
        <v>3932</v>
      </c>
      <c r="AA57" s="494">
        <v>5145</v>
      </c>
      <c r="AB57" s="494">
        <v>3546</v>
      </c>
      <c r="AC57" s="494">
        <v>397</v>
      </c>
      <c r="AD57" s="494">
        <v>1572</v>
      </c>
      <c r="AE57" s="494">
        <v>3224</v>
      </c>
      <c r="AF57" s="495">
        <v>208481</v>
      </c>
      <c r="AG57" s="494">
        <v>3763</v>
      </c>
      <c r="AH57" s="495">
        <v>596586.1</v>
      </c>
      <c r="AI57" s="494">
        <v>217</v>
      </c>
      <c r="AJ57" s="495">
        <v>9107.2999999999993</v>
      </c>
      <c r="AK57" s="494">
        <v>275</v>
      </c>
      <c r="AL57" s="495">
        <v>27851.4</v>
      </c>
      <c r="AM57" s="496">
        <v>4213</v>
      </c>
      <c r="AN57" s="496">
        <v>3301</v>
      </c>
      <c r="AO57" s="496">
        <v>2037</v>
      </c>
      <c r="AP57" s="496">
        <v>4548</v>
      </c>
      <c r="AQ57" s="496">
        <v>257</v>
      </c>
      <c r="AR57" s="496">
        <v>177</v>
      </c>
      <c r="AS57" s="496">
        <v>61</v>
      </c>
      <c r="AT57" s="496">
        <v>120</v>
      </c>
      <c r="AU57" s="496">
        <v>36</v>
      </c>
      <c r="AV57" s="496" t="s">
        <v>721</v>
      </c>
      <c r="AW57" s="496">
        <v>13</v>
      </c>
      <c r="AX57" s="496" t="s">
        <v>721</v>
      </c>
      <c r="AY57" s="496" t="s">
        <v>721</v>
      </c>
      <c r="AZ57" s="496" t="s">
        <v>721</v>
      </c>
      <c r="BA57" s="496" t="s">
        <v>721</v>
      </c>
      <c r="BB57" s="496">
        <v>50</v>
      </c>
      <c r="BC57" s="496" t="s">
        <v>721</v>
      </c>
      <c r="BD57" s="496" t="s">
        <v>721</v>
      </c>
      <c r="BE57" s="496">
        <v>93</v>
      </c>
      <c r="BF57" s="496" t="s">
        <v>721</v>
      </c>
      <c r="BG57" s="496">
        <v>103</v>
      </c>
      <c r="BH57" s="496" t="s">
        <v>721</v>
      </c>
      <c r="BI57" s="496">
        <v>2170</v>
      </c>
      <c r="BJ57" s="496" t="s">
        <v>721</v>
      </c>
      <c r="BK57" s="496" t="s">
        <v>721</v>
      </c>
      <c r="BL57" s="496" t="s">
        <v>721</v>
      </c>
      <c r="BM57" s="496">
        <v>20</v>
      </c>
      <c r="BN57" s="496">
        <v>113</v>
      </c>
      <c r="BO57" s="496">
        <v>4943</v>
      </c>
      <c r="BP57" s="496" t="s">
        <v>721</v>
      </c>
      <c r="BQ57" s="496" t="s">
        <v>721</v>
      </c>
      <c r="BR57" s="496" t="s">
        <v>721</v>
      </c>
      <c r="BS57" s="496" t="s">
        <v>721</v>
      </c>
      <c r="BT57" s="496" t="s">
        <v>721</v>
      </c>
      <c r="BU57" s="496" t="s">
        <v>721</v>
      </c>
      <c r="BV57" s="496">
        <v>28</v>
      </c>
      <c r="BW57" s="496">
        <v>27</v>
      </c>
      <c r="BX57" s="496">
        <v>19</v>
      </c>
      <c r="BY57" s="496">
        <v>80</v>
      </c>
      <c r="BZ57" s="496" t="s">
        <v>721</v>
      </c>
      <c r="CA57" s="496" t="s">
        <v>721</v>
      </c>
      <c r="CB57" s="496" t="s">
        <v>721</v>
      </c>
      <c r="CC57" s="496" t="s">
        <v>721</v>
      </c>
      <c r="CD57" s="496" t="s">
        <v>721</v>
      </c>
      <c r="CE57" s="496">
        <v>43</v>
      </c>
      <c r="CF57" s="496" t="s">
        <v>721</v>
      </c>
      <c r="CG57" s="496">
        <v>29</v>
      </c>
      <c r="CH57" s="496" t="s">
        <v>721</v>
      </c>
      <c r="CI57" s="496" t="s">
        <v>721</v>
      </c>
      <c r="CJ57" s="496" t="s">
        <v>721</v>
      </c>
      <c r="CK57" s="496" t="s">
        <v>721</v>
      </c>
      <c r="CL57" s="496" t="s">
        <v>721</v>
      </c>
      <c r="CM57" s="496" t="s">
        <v>721</v>
      </c>
      <c r="CN57" s="496" t="s">
        <v>721</v>
      </c>
      <c r="CO57" s="496" t="s">
        <v>721</v>
      </c>
      <c r="CP57" s="496">
        <v>1016</v>
      </c>
      <c r="CQ57" s="496" t="s">
        <v>721</v>
      </c>
      <c r="CR57" s="496" t="s">
        <v>721</v>
      </c>
      <c r="CS57" s="496" t="s">
        <v>721</v>
      </c>
      <c r="CT57" s="496" t="s">
        <v>721</v>
      </c>
      <c r="CU57" s="496">
        <v>12</v>
      </c>
      <c r="CV57" s="496">
        <v>5568</v>
      </c>
      <c r="CW57" s="496">
        <v>20</v>
      </c>
      <c r="CX57" s="496" t="s">
        <v>721</v>
      </c>
      <c r="CY57" s="496" t="s">
        <v>721</v>
      </c>
      <c r="CZ57" s="496" t="s">
        <v>721</v>
      </c>
      <c r="DA57" s="496" t="s">
        <v>721</v>
      </c>
      <c r="DB57" s="496" t="s">
        <v>721</v>
      </c>
      <c r="DC57" s="496" t="s">
        <v>721</v>
      </c>
      <c r="DD57" s="496" t="s">
        <v>721</v>
      </c>
      <c r="DE57" s="496" t="s">
        <v>721</v>
      </c>
      <c r="DF57" s="496" t="s">
        <v>721</v>
      </c>
      <c r="DG57" s="496" t="s">
        <v>721</v>
      </c>
      <c r="DH57" s="496" t="s">
        <v>721</v>
      </c>
      <c r="DI57" s="496" t="s">
        <v>721</v>
      </c>
      <c r="DJ57" s="496" t="s">
        <v>721</v>
      </c>
      <c r="DK57" s="496" t="s">
        <v>721</v>
      </c>
      <c r="DL57" s="496" t="s">
        <v>721</v>
      </c>
      <c r="DM57" s="496" t="s">
        <v>721</v>
      </c>
      <c r="DN57" s="496" t="s">
        <v>721</v>
      </c>
      <c r="DO57" s="496" t="s">
        <v>721</v>
      </c>
      <c r="DP57" s="496" t="s">
        <v>721</v>
      </c>
      <c r="DQ57" s="496" t="s">
        <v>721</v>
      </c>
      <c r="DR57" s="496" t="s">
        <v>721</v>
      </c>
      <c r="DS57" s="483" t="s">
        <v>721</v>
      </c>
      <c r="DT57" s="483" t="s">
        <v>721</v>
      </c>
      <c r="DU57" s="483" t="s">
        <v>721</v>
      </c>
      <c r="DV57" s="496">
        <v>1025</v>
      </c>
      <c r="DW57" s="497">
        <v>146674.9</v>
      </c>
      <c r="DX57" s="496">
        <v>1345</v>
      </c>
      <c r="DY57" s="497">
        <v>188494.6</v>
      </c>
      <c r="DZ57" s="496">
        <v>1669</v>
      </c>
      <c r="EA57" s="497">
        <v>171779.5</v>
      </c>
      <c r="EB57" s="496">
        <v>1381</v>
      </c>
      <c r="EC57" s="497">
        <v>125893.1</v>
      </c>
      <c r="ED57" s="496">
        <v>1266</v>
      </c>
      <c r="EE57" s="497">
        <v>119067.6</v>
      </c>
      <c r="EF57" s="496">
        <v>828</v>
      </c>
      <c r="EG57" s="497">
        <v>90116.1</v>
      </c>
      <c r="EH57" s="485">
        <v>5745</v>
      </c>
      <c r="EI57" s="486">
        <v>21468</v>
      </c>
      <c r="EJ57" s="485">
        <v>5752</v>
      </c>
      <c r="EK57" s="486">
        <v>132167.70000000001</v>
      </c>
      <c r="EL57" s="485">
        <v>5667</v>
      </c>
      <c r="EM57" s="486">
        <v>53795.1</v>
      </c>
      <c r="EN57" s="485">
        <v>5877</v>
      </c>
      <c r="EO57" s="486">
        <v>30250.2</v>
      </c>
      <c r="EP57" s="485">
        <v>5699</v>
      </c>
      <c r="EQ57" s="486">
        <v>17497.5</v>
      </c>
      <c r="ER57" s="485">
        <v>5678</v>
      </c>
      <c r="ES57" s="486">
        <v>10700.9</v>
      </c>
      <c r="ET57" s="485">
        <v>1</v>
      </c>
      <c r="EU57" s="485">
        <v>4845</v>
      </c>
      <c r="EV57" s="486">
        <v>83434.3</v>
      </c>
      <c r="EW57" s="485">
        <v>964</v>
      </c>
      <c r="EX57" s="486">
        <v>5151.5</v>
      </c>
      <c r="EY57" s="485">
        <v>1829</v>
      </c>
      <c r="EZ57" s="486">
        <v>28345.4</v>
      </c>
      <c r="FA57" s="485">
        <v>756</v>
      </c>
      <c r="FB57" s="486">
        <v>8156.4</v>
      </c>
      <c r="FC57" s="485">
        <v>5908</v>
      </c>
      <c r="FD57" s="486">
        <v>76722.5</v>
      </c>
      <c r="FE57" s="485">
        <v>6082</v>
      </c>
      <c r="FF57" s="486">
        <v>50717.5</v>
      </c>
      <c r="FG57" s="485">
        <v>2420</v>
      </c>
      <c r="FH57" s="486">
        <v>25120.2</v>
      </c>
      <c r="FI57" s="485">
        <v>3979</v>
      </c>
      <c r="FJ57" s="486">
        <v>27597.5</v>
      </c>
      <c r="FK57" s="485">
        <v>4909</v>
      </c>
      <c r="FL57" s="486">
        <v>15529.8</v>
      </c>
      <c r="FM57" s="485">
        <v>325</v>
      </c>
      <c r="FN57" s="486">
        <v>792.4</v>
      </c>
      <c r="FO57" s="485">
        <v>4845</v>
      </c>
      <c r="FP57" s="486">
        <v>33367.1</v>
      </c>
      <c r="FQ57" s="485">
        <v>5634</v>
      </c>
      <c r="FR57" s="486">
        <v>22015.200000000001</v>
      </c>
      <c r="FS57" s="485">
        <v>39</v>
      </c>
      <c r="FT57" s="486">
        <v>200.3</v>
      </c>
      <c r="FU57" s="485">
        <v>1</v>
      </c>
      <c r="FV57" s="486">
        <v>7</v>
      </c>
      <c r="FW57" s="485">
        <v>0</v>
      </c>
      <c r="FX57" s="486">
        <v>0</v>
      </c>
      <c r="FY57" s="485">
        <v>1</v>
      </c>
      <c r="FZ57" s="486">
        <v>0.2</v>
      </c>
      <c r="GA57" s="485">
        <v>0</v>
      </c>
      <c r="GB57" s="485">
        <v>0</v>
      </c>
      <c r="GC57" s="487">
        <v>0</v>
      </c>
      <c r="GD57" s="488">
        <v>3</v>
      </c>
      <c r="GE57" s="488">
        <v>362</v>
      </c>
      <c r="GF57" s="488">
        <v>3870</v>
      </c>
      <c r="GG57" s="488">
        <v>6</v>
      </c>
      <c r="GH57" s="488">
        <v>2</v>
      </c>
      <c r="GI57" s="488">
        <v>7</v>
      </c>
      <c r="GJ57" s="488">
        <v>0</v>
      </c>
      <c r="GK57" s="488">
        <v>2067</v>
      </c>
      <c r="GL57" s="488">
        <v>2153</v>
      </c>
      <c r="GM57" s="488">
        <v>4235</v>
      </c>
      <c r="GN57" s="488">
        <v>2135</v>
      </c>
      <c r="GO57" s="488">
        <v>384</v>
      </c>
      <c r="GP57" s="488">
        <v>33</v>
      </c>
      <c r="GQ57" s="488">
        <v>86</v>
      </c>
      <c r="GR57" s="488">
        <v>18</v>
      </c>
      <c r="GS57" s="488">
        <v>137</v>
      </c>
      <c r="GT57" s="489">
        <v>4929</v>
      </c>
      <c r="GU57" s="488">
        <v>11</v>
      </c>
      <c r="GV57" s="490">
        <v>0</v>
      </c>
      <c r="GW57" s="490">
        <v>6</v>
      </c>
      <c r="GX57" s="490">
        <v>17</v>
      </c>
      <c r="GY57" s="491">
        <v>14</v>
      </c>
      <c r="GZ57" s="491">
        <v>6</v>
      </c>
      <c r="HA57" s="491">
        <v>20</v>
      </c>
      <c r="HB57" s="475">
        <v>2</v>
      </c>
      <c r="HC57" s="475">
        <v>2</v>
      </c>
      <c r="HD57" s="475">
        <v>0</v>
      </c>
      <c r="HE57" s="475">
        <v>1</v>
      </c>
      <c r="HF57" s="475">
        <v>1</v>
      </c>
      <c r="HG57" s="475">
        <v>1</v>
      </c>
      <c r="HH57" s="475">
        <v>10</v>
      </c>
      <c r="HI57" s="475">
        <v>0</v>
      </c>
      <c r="HJ57" s="475">
        <v>0</v>
      </c>
      <c r="HK57" s="475">
        <v>0</v>
      </c>
      <c r="HL57" s="475">
        <v>0</v>
      </c>
      <c r="HM57" s="475">
        <v>0</v>
      </c>
      <c r="HN57" s="475">
        <v>0</v>
      </c>
      <c r="HO57" s="475">
        <v>1</v>
      </c>
      <c r="HP57" s="475">
        <v>0</v>
      </c>
      <c r="HQ57" s="475">
        <v>0</v>
      </c>
      <c r="HR57" s="475">
        <v>33</v>
      </c>
      <c r="HS57" s="475">
        <v>0</v>
      </c>
      <c r="HT57" s="475">
        <v>0</v>
      </c>
      <c r="HU57" s="475">
        <v>0</v>
      </c>
      <c r="HV57" s="475">
        <v>0</v>
      </c>
      <c r="HW57" s="475">
        <v>0</v>
      </c>
      <c r="HX57" s="475">
        <v>0</v>
      </c>
      <c r="HY57" s="475">
        <v>0</v>
      </c>
      <c r="HZ57" s="475">
        <v>102</v>
      </c>
      <c r="IA57" s="475">
        <v>240</v>
      </c>
      <c r="IB57" s="475" t="s">
        <v>721</v>
      </c>
      <c r="IC57" s="475" t="s">
        <v>721</v>
      </c>
      <c r="ID57" s="475" t="s">
        <v>721</v>
      </c>
      <c r="IE57" s="475" t="s">
        <v>721</v>
      </c>
      <c r="IF57" s="475" t="s">
        <v>721</v>
      </c>
      <c r="IG57" s="475" t="s">
        <v>721</v>
      </c>
      <c r="IH57" s="475" t="s">
        <v>721</v>
      </c>
      <c r="II57" s="475" t="s">
        <v>721</v>
      </c>
      <c r="IJ57" s="475" t="s">
        <v>721</v>
      </c>
      <c r="IK57" s="475" t="s">
        <v>721</v>
      </c>
      <c r="IL57" s="475" t="s">
        <v>721</v>
      </c>
      <c r="IM57" s="475" t="s">
        <v>721</v>
      </c>
      <c r="IN57" s="475" t="s">
        <v>721</v>
      </c>
      <c r="IO57" s="475" t="s">
        <v>721</v>
      </c>
      <c r="IP57" s="475" t="s">
        <v>721</v>
      </c>
      <c r="IQ57" s="475" t="s">
        <v>721</v>
      </c>
      <c r="IR57" s="475" t="s">
        <v>721</v>
      </c>
      <c r="IS57" s="475">
        <v>36</v>
      </c>
      <c r="IT57" s="475">
        <v>82</v>
      </c>
      <c r="IU57" s="475" t="s">
        <v>721</v>
      </c>
      <c r="IV57" s="475" t="s">
        <v>721</v>
      </c>
      <c r="IW57" s="475" t="s">
        <v>721</v>
      </c>
      <c r="IX57" s="475" t="s">
        <v>721</v>
      </c>
      <c r="IY57" s="475" t="s">
        <v>721</v>
      </c>
      <c r="IZ57" s="475" t="s">
        <v>721</v>
      </c>
      <c r="JA57" s="475" t="s">
        <v>721</v>
      </c>
      <c r="JB57" s="475" t="s">
        <v>721</v>
      </c>
      <c r="JC57" s="475" t="s">
        <v>721</v>
      </c>
      <c r="JD57" s="475" t="s">
        <v>721</v>
      </c>
      <c r="JE57" s="475" t="s">
        <v>721</v>
      </c>
      <c r="JF57" s="475" t="s">
        <v>721</v>
      </c>
      <c r="JG57" s="475" t="s">
        <v>721</v>
      </c>
      <c r="JH57" s="475" t="s">
        <v>721</v>
      </c>
      <c r="JI57" s="475" t="s">
        <v>721</v>
      </c>
      <c r="JJ57" s="475" t="s">
        <v>721</v>
      </c>
      <c r="JK57" s="475" t="s">
        <v>721</v>
      </c>
      <c r="JL57" s="755">
        <v>233705.9</v>
      </c>
      <c r="JM57" s="755">
        <v>504168.9</v>
      </c>
      <c r="JN57" s="755">
        <v>29144.1</v>
      </c>
      <c r="JO57" s="755">
        <v>20140.8</v>
      </c>
      <c r="JP57" s="755">
        <v>7833.1</v>
      </c>
      <c r="JQ57" s="755">
        <v>12069.2</v>
      </c>
      <c r="JR57" s="755">
        <v>3633.5</v>
      </c>
      <c r="JS57" s="755" t="s">
        <v>721</v>
      </c>
      <c r="JT57" s="755">
        <v>1827</v>
      </c>
      <c r="JU57" s="755">
        <v>941.5</v>
      </c>
      <c r="JV57" s="755">
        <v>63</v>
      </c>
      <c r="JW57" s="755">
        <v>309.39999999999998</v>
      </c>
      <c r="JX57" s="755" t="s">
        <v>721</v>
      </c>
      <c r="JY57" s="755">
        <v>6414.5</v>
      </c>
      <c r="JZ57" s="755">
        <v>132.6</v>
      </c>
      <c r="KA57" s="755" t="s">
        <v>721</v>
      </c>
      <c r="KB57" s="755">
        <v>11297.6</v>
      </c>
      <c r="KC57" s="755">
        <v>801.2</v>
      </c>
      <c r="KD57" s="755">
        <v>9543.5</v>
      </c>
      <c r="KE57" s="475">
        <v>277</v>
      </c>
      <c r="KF57" s="475">
        <v>543</v>
      </c>
      <c r="KG57" s="475">
        <v>25</v>
      </c>
      <c r="KH57" s="475">
        <v>23</v>
      </c>
      <c r="KI57" s="475" t="s">
        <v>721</v>
      </c>
      <c r="KJ57" s="475" t="s">
        <v>721</v>
      </c>
      <c r="KK57" s="475" t="s">
        <v>721</v>
      </c>
      <c r="KL57" s="475" t="s">
        <v>721</v>
      </c>
      <c r="KM57" s="475" t="s">
        <v>721</v>
      </c>
      <c r="KN57" s="475" t="s">
        <v>721</v>
      </c>
      <c r="KO57" s="475" t="s">
        <v>721</v>
      </c>
      <c r="KP57" s="475" t="s">
        <v>721</v>
      </c>
      <c r="KQ57" s="475" t="s">
        <v>721</v>
      </c>
      <c r="KR57" s="475" t="s">
        <v>721</v>
      </c>
      <c r="KS57" s="475" t="s">
        <v>721</v>
      </c>
      <c r="KT57" s="475" t="s">
        <v>721</v>
      </c>
      <c r="KU57" s="475">
        <v>13</v>
      </c>
      <c r="KV57" s="475" t="s">
        <v>721</v>
      </c>
      <c r="KW57" s="475" t="s">
        <v>721</v>
      </c>
      <c r="KX57" s="475">
        <v>303</v>
      </c>
      <c r="KY57" s="475">
        <v>1051</v>
      </c>
      <c r="KZ57" s="475">
        <v>49</v>
      </c>
      <c r="LA57" s="475">
        <v>48</v>
      </c>
      <c r="LB57" s="475" t="s">
        <v>721</v>
      </c>
      <c r="LC57" s="475">
        <v>23</v>
      </c>
      <c r="LD57" s="475" t="s">
        <v>721</v>
      </c>
      <c r="LE57" s="475" t="s">
        <v>721</v>
      </c>
      <c r="LF57" s="475" t="s">
        <v>721</v>
      </c>
      <c r="LG57" s="475" t="s">
        <v>721</v>
      </c>
      <c r="LH57" s="475" t="s">
        <v>721</v>
      </c>
      <c r="LI57" s="475" t="s">
        <v>721</v>
      </c>
      <c r="LJ57" s="475" t="s">
        <v>721</v>
      </c>
      <c r="LK57" s="475">
        <v>13</v>
      </c>
      <c r="LL57" s="475" t="s">
        <v>721</v>
      </c>
      <c r="LM57" s="475" t="s">
        <v>721</v>
      </c>
      <c r="LN57" s="475">
        <v>27</v>
      </c>
      <c r="LO57" s="475" t="s">
        <v>721</v>
      </c>
      <c r="LP57" s="475">
        <v>15</v>
      </c>
      <c r="LQ57" s="475">
        <v>1421</v>
      </c>
      <c r="LR57" s="475">
        <v>3107</v>
      </c>
      <c r="LS57" s="475">
        <v>171</v>
      </c>
      <c r="LT57" s="475">
        <v>115</v>
      </c>
      <c r="LU57" s="475">
        <v>37</v>
      </c>
      <c r="LV57" s="475">
        <v>79</v>
      </c>
      <c r="LW57" s="475">
        <v>27</v>
      </c>
      <c r="LX57" s="475" t="s">
        <v>721</v>
      </c>
      <c r="LY57" s="475">
        <v>11</v>
      </c>
      <c r="LZ57" s="475" t="s">
        <v>721</v>
      </c>
      <c r="MA57" s="475" t="s">
        <v>721</v>
      </c>
      <c r="MB57" s="475" t="s">
        <v>721</v>
      </c>
      <c r="MC57" s="475" t="s">
        <v>721</v>
      </c>
      <c r="MD57" s="475">
        <v>29</v>
      </c>
      <c r="ME57" s="475" t="s">
        <v>721</v>
      </c>
      <c r="MF57" s="475" t="s">
        <v>721</v>
      </c>
      <c r="MG57" s="475">
        <v>50</v>
      </c>
      <c r="MH57" s="475" t="s">
        <v>721</v>
      </c>
      <c r="MI57" s="475">
        <v>78</v>
      </c>
      <c r="MJ57" s="475">
        <v>602</v>
      </c>
      <c r="MK57" s="475">
        <v>1421</v>
      </c>
      <c r="ML57" s="475">
        <v>86</v>
      </c>
      <c r="MM57" s="475">
        <v>62</v>
      </c>
      <c r="MN57" s="475">
        <v>24</v>
      </c>
      <c r="MO57" s="475">
        <v>40</v>
      </c>
      <c r="MP57" s="475" t="s">
        <v>721</v>
      </c>
      <c r="MQ57" s="475" t="s">
        <v>721</v>
      </c>
      <c r="MR57" s="475" t="s">
        <v>721</v>
      </c>
      <c r="MS57" s="475" t="s">
        <v>721</v>
      </c>
      <c r="MT57" s="475" t="s">
        <v>721</v>
      </c>
      <c r="MU57" s="475" t="s">
        <v>721</v>
      </c>
      <c r="MV57" s="475" t="s">
        <v>721</v>
      </c>
      <c r="MW57" s="475">
        <v>21</v>
      </c>
      <c r="MX57" s="475" t="s">
        <v>721</v>
      </c>
      <c r="MY57" s="475" t="s">
        <v>721</v>
      </c>
      <c r="MZ57" s="475">
        <v>43</v>
      </c>
      <c r="NA57" s="475" t="s">
        <v>721</v>
      </c>
      <c r="NB57" s="475">
        <v>25</v>
      </c>
      <c r="NC57" s="476">
        <v>0.56100000000000005</v>
      </c>
      <c r="ND57" s="476">
        <v>0.439</v>
      </c>
      <c r="NE57" s="476">
        <v>0.27100000000000002</v>
      </c>
      <c r="NF57" s="476">
        <v>0.60499999999999998</v>
      </c>
      <c r="NG57" s="476">
        <v>3.4000000000000002E-2</v>
      </c>
      <c r="NH57" s="476">
        <v>2.4E-2</v>
      </c>
      <c r="NI57" s="476">
        <v>8.0000000000000002E-3</v>
      </c>
      <c r="NJ57" s="476">
        <v>1.6E-2</v>
      </c>
      <c r="NK57" s="476">
        <v>5.0000000000000001E-3</v>
      </c>
      <c r="NL57" s="476" t="s">
        <v>721</v>
      </c>
      <c r="NM57" s="476">
        <v>2E-3</v>
      </c>
      <c r="NN57" s="476" t="s">
        <v>721</v>
      </c>
      <c r="NO57" s="476" t="s">
        <v>721</v>
      </c>
      <c r="NP57" s="476" t="s">
        <v>721</v>
      </c>
      <c r="NQ57" s="476" t="s">
        <v>721</v>
      </c>
      <c r="NR57" s="476">
        <v>7.0000000000000001E-3</v>
      </c>
      <c r="NS57" s="476" t="s">
        <v>721</v>
      </c>
      <c r="NT57" s="476" t="s">
        <v>721</v>
      </c>
      <c r="NU57" s="476">
        <v>1.2E-2</v>
      </c>
      <c r="NV57" s="476" t="s">
        <v>721</v>
      </c>
      <c r="NW57" s="476">
        <v>1.4E-2</v>
      </c>
      <c r="NX57" s="476" t="s">
        <v>721</v>
      </c>
      <c r="NY57" s="476">
        <v>0.28899999999999998</v>
      </c>
      <c r="NZ57" s="476" t="s">
        <v>721</v>
      </c>
      <c r="OA57" s="476" t="s">
        <v>721</v>
      </c>
      <c r="OB57" s="476" t="s">
        <v>721</v>
      </c>
      <c r="OC57" s="476">
        <v>3.0000000000000001E-3</v>
      </c>
      <c r="OD57" s="476">
        <v>1.4999999999999999E-2</v>
      </c>
      <c r="OE57" s="476">
        <v>0.65800000000000003</v>
      </c>
      <c r="OF57" s="476" t="s">
        <v>721</v>
      </c>
      <c r="OG57" s="476" t="s">
        <v>721</v>
      </c>
      <c r="OH57" s="476" t="s">
        <v>721</v>
      </c>
      <c r="OI57" s="476" t="s">
        <v>721</v>
      </c>
      <c r="OJ57" s="476" t="s">
        <v>721</v>
      </c>
      <c r="OK57" s="476" t="s">
        <v>721</v>
      </c>
      <c r="OL57" s="476">
        <v>4.0000000000000001E-3</v>
      </c>
      <c r="OM57" s="476">
        <v>4.0000000000000001E-3</v>
      </c>
      <c r="ON57" s="476">
        <v>3.0000000000000001E-3</v>
      </c>
      <c r="OO57" s="476">
        <v>1.0999999999999999E-2</v>
      </c>
      <c r="OP57" s="476" t="s">
        <v>721</v>
      </c>
      <c r="OQ57" s="476" t="s">
        <v>721</v>
      </c>
      <c r="OR57" s="476" t="s">
        <v>721</v>
      </c>
      <c r="OS57" s="476" t="s">
        <v>721</v>
      </c>
      <c r="OT57" s="476" t="s">
        <v>721</v>
      </c>
      <c r="OU57" s="476">
        <v>6.0000000000000001E-3</v>
      </c>
      <c r="OV57" s="476" t="s">
        <v>721</v>
      </c>
      <c r="OW57" s="476">
        <v>4.0000000000000001E-3</v>
      </c>
      <c r="OX57" s="476" t="s">
        <v>721</v>
      </c>
      <c r="OY57" s="476" t="s">
        <v>721</v>
      </c>
      <c r="OZ57" s="476" t="s">
        <v>721</v>
      </c>
      <c r="PA57" s="476" t="s">
        <v>721</v>
      </c>
      <c r="PB57" s="476" t="s">
        <v>721</v>
      </c>
      <c r="PC57" s="476" t="s">
        <v>721</v>
      </c>
      <c r="PD57" s="476" t="s">
        <v>721</v>
      </c>
      <c r="PE57" s="476" t="s">
        <v>721</v>
      </c>
      <c r="PF57" s="476">
        <v>0.153</v>
      </c>
      <c r="PG57" s="476" t="s">
        <v>721</v>
      </c>
      <c r="PH57" s="476" t="s">
        <v>721</v>
      </c>
      <c r="PI57" s="476" t="s">
        <v>721</v>
      </c>
      <c r="PJ57" s="476" t="s">
        <v>721</v>
      </c>
      <c r="PK57" s="476">
        <v>2E-3</v>
      </c>
      <c r="PL57" s="476">
        <v>0.83799999999999997</v>
      </c>
      <c r="PM57" s="476">
        <v>3.0000000000000001E-3</v>
      </c>
      <c r="PN57" s="476" t="s">
        <v>721</v>
      </c>
      <c r="PO57" s="476" t="s">
        <v>721</v>
      </c>
      <c r="PP57" s="476" t="s">
        <v>721</v>
      </c>
      <c r="PQ57" s="476" t="s">
        <v>721</v>
      </c>
      <c r="PR57" s="476" t="s">
        <v>721</v>
      </c>
      <c r="PS57" s="476" t="s">
        <v>721</v>
      </c>
      <c r="PT57" s="476" t="s">
        <v>721</v>
      </c>
      <c r="PU57" s="476" t="s">
        <v>721</v>
      </c>
      <c r="PV57" s="476" t="s">
        <v>721</v>
      </c>
      <c r="PW57" s="476" t="s">
        <v>721</v>
      </c>
      <c r="PX57" s="476" t="s">
        <v>721</v>
      </c>
      <c r="PY57" s="476" t="s">
        <v>721</v>
      </c>
      <c r="PZ57" s="476" t="s">
        <v>721</v>
      </c>
      <c r="QA57" s="476" t="s">
        <v>721</v>
      </c>
      <c r="QB57" s="476" t="s">
        <v>721</v>
      </c>
      <c r="QC57" s="476" t="s">
        <v>721</v>
      </c>
      <c r="QD57" s="476" t="s">
        <v>721</v>
      </c>
      <c r="QE57" s="476" t="s">
        <v>721</v>
      </c>
      <c r="QF57" s="476" t="s">
        <v>721</v>
      </c>
      <c r="QG57" s="476" t="s">
        <v>721</v>
      </c>
      <c r="QH57" s="476" t="s">
        <v>721</v>
      </c>
      <c r="QI57" s="476" t="s">
        <v>721</v>
      </c>
      <c r="QJ57" s="476" t="s">
        <v>721</v>
      </c>
      <c r="QK57" s="476" t="s">
        <v>721</v>
      </c>
      <c r="QL57" s="476">
        <v>0.26600000000000001</v>
      </c>
      <c r="QM57" s="476">
        <v>0.625</v>
      </c>
      <c r="QN57" s="476" t="s">
        <v>721</v>
      </c>
      <c r="QO57" s="476" t="s">
        <v>721</v>
      </c>
      <c r="QP57" s="476" t="s">
        <v>721</v>
      </c>
      <c r="QQ57" s="476" t="s">
        <v>721</v>
      </c>
      <c r="QR57" s="476" t="s">
        <v>721</v>
      </c>
      <c r="QS57" s="476" t="s">
        <v>721</v>
      </c>
      <c r="QT57" s="476" t="s">
        <v>721</v>
      </c>
      <c r="QU57" s="476" t="s">
        <v>721</v>
      </c>
      <c r="QV57" s="476" t="s">
        <v>721</v>
      </c>
      <c r="QW57" s="476" t="s">
        <v>721</v>
      </c>
      <c r="QX57" s="476" t="s">
        <v>721</v>
      </c>
      <c r="QY57" s="476" t="s">
        <v>721</v>
      </c>
      <c r="QZ57" s="476" t="s">
        <v>721</v>
      </c>
      <c r="RA57" s="476" t="s">
        <v>721</v>
      </c>
      <c r="RB57" s="476" t="s">
        <v>721</v>
      </c>
      <c r="RC57" s="476" t="s">
        <v>721</v>
      </c>
      <c r="RD57" s="476" t="s">
        <v>721</v>
      </c>
      <c r="RE57" s="476">
        <v>0.26300000000000001</v>
      </c>
      <c r="RF57" s="476">
        <v>0.59899999999999998</v>
      </c>
      <c r="RG57" s="476" t="s">
        <v>721</v>
      </c>
      <c r="RH57" s="476" t="s">
        <v>721</v>
      </c>
      <c r="RI57" s="476" t="s">
        <v>721</v>
      </c>
      <c r="RJ57" s="476" t="s">
        <v>721</v>
      </c>
      <c r="RK57" s="476" t="s">
        <v>721</v>
      </c>
      <c r="RL57" s="476" t="s">
        <v>721</v>
      </c>
      <c r="RM57" s="476" t="s">
        <v>721</v>
      </c>
      <c r="RN57" s="476" t="s">
        <v>721</v>
      </c>
      <c r="RO57" s="476" t="s">
        <v>721</v>
      </c>
      <c r="RP57" s="476" t="s">
        <v>721</v>
      </c>
      <c r="RQ57" s="476" t="s">
        <v>721</v>
      </c>
      <c r="RR57" s="476" t="s">
        <v>721</v>
      </c>
      <c r="RS57" s="476" t="s">
        <v>721</v>
      </c>
      <c r="RT57" s="476" t="s">
        <v>721</v>
      </c>
      <c r="RU57" s="476" t="s">
        <v>721</v>
      </c>
      <c r="RV57" s="476" t="s">
        <v>721</v>
      </c>
      <c r="RW57" s="476" t="s">
        <v>721</v>
      </c>
      <c r="RX57" s="476">
        <v>0.27800000000000002</v>
      </c>
      <c r="RY57" s="476">
        <v>0.59899999999999998</v>
      </c>
      <c r="RZ57" s="476">
        <v>3.5000000000000003E-2</v>
      </c>
      <c r="SA57" s="476">
        <v>2.4E-2</v>
      </c>
      <c r="SB57" s="476">
        <v>8.9999999999999993E-3</v>
      </c>
      <c r="SC57" s="476">
        <v>1.4E-2</v>
      </c>
      <c r="SD57" s="476">
        <v>4.0000000000000001E-3</v>
      </c>
      <c r="SE57" s="476" t="s">
        <v>721</v>
      </c>
      <c r="SF57" s="476">
        <v>2E-3</v>
      </c>
      <c r="SG57" s="476">
        <v>1E-3</v>
      </c>
      <c r="SH57" s="476">
        <v>0</v>
      </c>
      <c r="SI57" s="476">
        <v>0</v>
      </c>
      <c r="SJ57" s="476" t="s">
        <v>721</v>
      </c>
      <c r="SK57" s="476">
        <v>8.0000000000000002E-3</v>
      </c>
      <c r="SL57" s="476">
        <v>0</v>
      </c>
      <c r="SM57" s="476" t="s">
        <v>721</v>
      </c>
      <c r="SN57" s="476">
        <v>1.2999999999999999E-2</v>
      </c>
      <c r="SO57" s="476">
        <v>1E-3</v>
      </c>
      <c r="SP57" s="476">
        <v>1.0999999999999999E-2</v>
      </c>
      <c r="SQ57" s="476">
        <v>0.3</v>
      </c>
      <c r="SR57" s="476">
        <v>0.58799999999999997</v>
      </c>
      <c r="SS57" s="476">
        <v>2.7E-2</v>
      </c>
      <c r="ST57" s="476">
        <v>2.5000000000000001E-2</v>
      </c>
      <c r="SU57" s="476" t="s">
        <v>721</v>
      </c>
      <c r="SV57" s="476" t="s">
        <v>721</v>
      </c>
      <c r="SW57" s="476" t="s">
        <v>721</v>
      </c>
      <c r="SX57" s="476" t="s">
        <v>721</v>
      </c>
      <c r="SY57" s="476" t="s">
        <v>721</v>
      </c>
      <c r="SZ57" s="476" t="s">
        <v>721</v>
      </c>
      <c r="TA57" s="476" t="s">
        <v>721</v>
      </c>
      <c r="TB57" s="476" t="s">
        <v>721</v>
      </c>
      <c r="TC57" s="476" t="s">
        <v>721</v>
      </c>
      <c r="TD57" s="476" t="s">
        <v>721</v>
      </c>
      <c r="TE57" s="476" t="s">
        <v>721</v>
      </c>
      <c r="TF57" s="476" t="s">
        <v>721</v>
      </c>
      <c r="TG57" s="476">
        <v>1.4E-2</v>
      </c>
      <c r="TH57" s="476" t="s">
        <v>721</v>
      </c>
      <c r="TI57" s="476" t="s">
        <v>721</v>
      </c>
      <c r="TJ57" s="476">
        <v>0.19500000000000001</v>
      </c>
      <c r="TK57" s="476">
        <v>0.67700000000000005</v>
      </c>
      <c r="TL57" s="476">
        <v>3.2000000000000001E-2</v>
      </c>
      <c r="TM57" s="476">
        <v>3.1E-2</v>
      </c>
      <c r="TN57" s="476" t="s">
        <v>721</v>
      </c>
      <c r="TO57" s="476">
        <v>1.4999999999999999E-2</v>
      </c>
      <c r="TP57" s="476" t="s">
        <v>721</v>
      </c>
      <c r="TQ57" s="476" t="s">
        <v>721</v>
      </c>
      <c r="TR57" s="476" t="s">
        <v>721</v>
      </c>
      <c r="TS57" s="476" t="s">
        <v>721</v>
      </c>
      <c r="TT57" s="476" t="s">
        <v>721</v>
      </c>
      <c r="TU57" s="476" t="s">
        <v>721</v>
      </c>
      <c r="TV57" s="476" t="s">
        <v>721</v>
      </c>
      <c r="TW57" s="476">
        <v>8.0000000000000002E-3</v>
      </c>
      <c r="TX57" s="476" t="s">
        <v>721</v>
      </c>
      <c r="TY57" s="476" t="s">
        <v>721</v>
      </c>
      <c r="TZ57" s="476">
        <v>1.7000000000000001E-2</v>
      </c>
      <c r="UA57" s="476" t="s">
        <v>721</v>
      </c>
      <c r="UB57" s="476">
        <v>0.01</v>
      </c>
      <c r="UC57" s="476">
        <v>0.27700000000000002</v>
      </c>
      <c r="UD57" s="476">
        <v>0.60499999999999998</v>
      </c>
      <c r="UE57" s="476">
        <v>3.3000000000000002E-2</v>
      </c>
      <c r="UF57" s="476">
        <v>2.1999999999999999E-2</v>
      </c>
      <c r="UG57" s="476">
        <v>7.0000000000000001E-3</v>
      </c>
      <c r="UH57" s="476">
        <v>1.4999999999999999E-2</v>
      </c>
      <c r="UI57" s="476">
        <v>5.0000000000000001E-3</v>
      </c>
      <c r="UJ57" s="476" t="s">
        <v>721</v>
      </c>
      <c r="UK57" s="476">
        <v>2E-3</v>
      </c>
      <c r="UL57" s="476" t="s">
        <v>721</v>
      </c>
      <c r="UM57" s="476" t="s">
        <v>721</v>
      </c>
      <c r="UN57" s="476" t="s">
        <v>721</v>
      </c>
      <c r="UO57" s="476" t="s">
        <v>721</v>
      </c>
      <c r="UP57" s="476">
        <v>6.0000000000000001E-3</v>
      </c>
      <c r="UQ57" s="476" t="s">
        <v>721</v>
      </c>
      <c r="UR57" s="476" t="s">
        <v>721</v>
      </c>
      <c r="US57" s="476">
        <v>0.01</v>
      </c>
      <c r="UT57" s="476" t="s">
        <v>721</v>
      </c>
      <c r="UU57" s="476">
        <v>1.4999999999999999E-2</v>
      </c>
      <c r="UV57" s="476">
        <v>0.25700000000000001</v>
      </c>
      <c r="UW57" s="476">
        <v>0.60699999999999998</v>
      </c>
      <c r="UX57" s="476">
        <v>3.6999999999999998E-2</v>
      </c>
      <c r="UY57" s="476">
        <v>2.5999999999999999E-2</v>
      </c>
      <c r="UZ57" s="476">
        <v>0.01</v>
      </c>
      <c r="VA57" s="476">
        <v>1.7000000000000001E-2</v>
      </c>
      <c r="VB57" s="476" t="s">
        <v>721</v>
      </c>
      <c r="VC57" s="476" t="s">
        <v>721</v>
      </c>
      <c r="VD57" s="476" t="s">
        <v>721</v>
      </c>
      <c r="VE57" s="476" t="s">
        <v>721</v>
      </c>
      <c r="VF57" s="476" t="s">
        <v>721</v>
      </c>
      <c r="VG57" s="476" t="s">
        <v>721</v>
      </c>
      <c r="VH57" s="476" t="s">
        <v>721</v>
      </c>
      <c r="VI57" s="476">
        <v>8.9999999999999993E-3</v>
      </c>
      <c r="VJ57" s="476" t="s">
        <v>721</v>
      </c>
      <c r="VK57" s="476" t="s">
        <v>721</v>
      </c>
      <c r="VL57" s="476">
        <v>1.7999999999999999E-2</v>
      </c>
      <c r="VM57" s="476" t="s">
        <v>721</v>
      </c>
      <c r="VN57" s="476">
        <v>1.0999999999999999E-2</v>
      </c>
      <c r="VO57" s="28"/>
      <c r="VP57" s="28"/>
      <c r="VQ57" s="28"/>
      <c r="VR57" s="28"/>
      <c r="VS57" s="28"/>
      <c r="VT57" s="28"/>
      <c r="VU57" s="28"/>
      <c r="VV57" s="28"/>
      <c r="VW57" s="28"/>
      <c r="VX57" s="28"/>
      <c r="VY57" s="28"/>
      <c r="VZ57" s="28"/>
      <c r="WA57" s="28"/>
      <c r="WB57" s="28"/>
      <c r="WC57" s="28"/>
      <c r="WD57" s="28"/>
      <c r="WE57" s="28"/>
      <c r="WF57" s="28"/>
      <c r="WG57" s="28"/>
      <c r="WH57" s="28"/>
      <c r="WI57" s="28"/>
      <c r="WJ57" s="28"/>
      <c r="WK57" s="28"/>
      <c r="WL57" s="28"/>
      <c r="WM57" s="28"/>
      <c r="WN57" s="28"/>
      <c r="WO57" s="28"/>
      <c r="WP57" s="28"/>
      <c r="WQ57" s="28"/>
      <c r="WR57" s="28"/>
      <c r="WS57" s="28"/>
      <c r="WT57" s="28"/>
      <c r="WU57" s="28"/>
      <c r="WV57" s="28"/>
      <c r="WW57" s="28"/>
    </row>
    <row r="58" spans="1:621" s="151" customFormat="1" ht="15.75" customHeight="1" x14ac:dyDescent="0.35">
      <c r="A58" s="477" t="s">
        <v>62</v>
      </c>
      <c r="B58" s="492" t="s">
        <v>15</v>
      </c>
      <c r="C58" s="493">
        <v>16.5</v>
      </c>
      <c r="D58" s="494">
        <v>574</v>
      </c>
      <c r="E58" s="473">
        <v>68365.8</v>
      </c>
      <c r="F58" s="473">
        <v>119.1</v>
      </c>
      <c r="G58" s="474">
        <v>540</v>
      </c>
      <c r="H58" s="474">
        <v>530</v>
      </c>
      <c r="I58" s="474">
        <v>436</v>
      </c>
      <c r="J58" s="474">
        <v>323</v>
      </c>
      <c r="K58" s="474">
        <v>130</v>
      </c>
      <c r="L58" s="473">
        <v>25252.9</v>
      </c>
      <c r="M58" s="474">
        <v>440</v>
      </c>
      <c r="N58" s="473">
        <v>43112.9</v>
      </c>
      <c r="O58" s="494">
        <v>91</v>
      </c>
      <c r="P58" s="495">
        <v>16436.400000000001</v>
      </c>
      <c r="Q58" s="494">
        <v>48</v>
      </c>
      <c r="R58" s="495">
        <v>3857.7</v>
      </c>
      <c r="S58" s="494">
        <v>163</v>
      </c>
      <c r="T58" s="495">
        <v>16396.3</v>
      </c>
      <c r="U58" s="494">
        <v>6</v>
      </c>
      <c r="V58" s="495">
        <v>881</v>
      </c>
      <c r="W58" s="494">
        <v>405</v>
      </c>
      <c r="X58" s="495">
        <v>51088.5</v>
      </c>
      <c r="Y58" s="494">
        <v>535</v>
      </c>
      <c r="Z58" s="494">
        <v>270</v>
      </c>
      <c r="AA58" s="494">
        <v>292</v>
      </c>
      <c r="AB58" s="494">
        <v>201</v>
      </c>
      <c r="AC58" s="494">
        <v>39</v>
      </c>
      <c r="AD58" s="494">
        <v>109</v>
      </c>
      <c r="AE58" s="494">
        <v>326</v>
      </c>
      <c r="AF58" s="495">
        <v>23110</v>
      </c>
      <c r="AG58" s="494">
        <v>220</v>
      </c>
      <c r="AH58" s="495">
        <v>43901.9</v>
      </c>
      <c r="AI58" s="494">
        <v>16</v>
      </c>
      <c r="AJ58" s="495">
        <v>788.9</v>
      </c>
      <c r="AK58" s="494">
        <v>8</v>
      </c>
      <c r="AL58" s="495">
        <v>565</v>
      </c>
      <c r="AM58" s="496">
        <v>319</v>
      </c>
      <c r="AN58" s="496">
        <v>255</v>
      </c>
      <c r="AO58" s="496">
        <v>526</v>
      </c>
      <c r="AP58" s="496">
        <v>26</v>
      </c>
      <c r="AQ58" s="496" t="s">
        <v>721</v>
      </c>
      <c r="AR58" s="496" t="s">
        <v>721</v>
      </c>
      <c r="AS58" s="496" t="s">
        <v>721</v>
      </c>
      <c r="AT58" s="496" t="s">
        <v>721</v>
      </c>
      <c r="AU58" s="496">
        <v>11</v>
      </c>
      <c r="AV58" s="496" t="s">
        <v>721</v>
      </c>
      <c r="AW58" s="496" t="s">
        <v>721</v>
      </c>
      <c r="AX58" s="496" t="s">
        <v>721</v>
      </c>
      <c r="AY58" s="496" t="s">
        <v>721</v>
      </c>
      <c r="AZ58" s="496" t="s">
        <v>721</v>
      </c>
      <c r="BA58" s="496" t="s">
        <v>721</v>
      </c>
      <c r="BB58" s="496" t="s">
        <v>721</v>
      </c>
      <c r="BC58" s="496" t="s">
        <v>721</v>
      </c>
      <c r="BD58" s="496" t="s">
        <v>721</v>
      </c>
      <c r="BE58" s="496" t="s">
        <v>721</v>
      </c>
      <c r="BF58" s="496" t="s">
        <v>721</v>
      </c>
      <c r="BG58" s="496" t="s">
        <v>721</v>
      </c>
      <c r="BH58" s="496" t="s">
        <v>721</v>
      </c>
      <c r="BI58" s="496" t="s">
        <v>721</v>
      </c>
      <c r="BJ58" s="496" t="s">
        <v>721</v>
      </c>
      <c r="BK58" s="496" t="s">
        <v>721</v>
      </c>
      <c r="BL58" s="496" t="s">
        <v>721</v>
      </c>
      <c r="BM58" s="496" t="s">
        <v>721</v>
      </c>
      <c r="BN58" s="496" t="s">
        <v>721</v>
      </c>
      <c r="BO58" s="496">
        <v>566</v>
      </c>
      <c r="BP58" s="496" t="s">
        <v>721</v>
      </c>
      <c r="BQ58" s="496" t="s">
        <v>721</v>
      </c>
      <c r="BR58" s="496" t="s">
        <v>721</v>
      </c>
      <c r="BS58" s="496" t="s">
        <v>721</v>
      </c>
      <c r="BT58" s="496" t="s">
        <v>721</v>
      </c>
      <c r="BU58" s="496" t="s">
        <v>721</v>
      </c>
      <c r="BV58" s="496" t="s">
        <v>721</v>
      </c>
      <c r="BW58" s="496" t="s">
        <v>721</v>
      </c>
      <c r="BX58" s="496" t="s">
        <v>721</v>
      </c>
      <c r="BY58" s="496" t="s">
        <v>721</v>
      </c>
      <c r="BZ58" s="496" t="s">
        <v>721</v>
      </c>
      <c r="CA58" s="496" t="s">
        <v>721</v>
      </c>
      <c r="CB58" s="496" t="s">
        <v>721</v>
      </c>
      <c r="CC58" s="496" t="s">
        <v>721</v>
      </c>
      <c r="CD58" s="496" t="s">
        <v>721</v>
      </c>
      <c r="CE58" s="496" t="s">
        <v>721</v>
      </c>
      <c r="CF58" s="496" t="s">
        <v>721</v>
      </c>
      <c r="CG58" s="496" t="s">
        <v>721</v>
      </c>
      <c r="CH58" s="496" t="s">
        <v>721</v>
      </c>
      <c r="CI58" s="496" t="s">
        <v>721</v>
      </c>
      <c r="CJ58" s="496" t="s">
        <v>721</v>
      </c>
      <c r="CK58" s="496" t="s">
        <v>721</v>
      </c>
      <c r="CL58" s="496" t="s">
        <v>721</v>
      </c>
      <c r="CM58" s="496" t="s">
        <v>721</v>
      </c>
      <c r="CN58" s="496" t="s">
        <v>721</v>
      </c>
      <c r="CO58" s="496" t="s">
        <v>721</v>
      </c>
      <c r="CP58" s="496" t="s">
        <v>721</v>
      </c>
      <c r="CQ58" s="496" t="s">
        <v>721</v>
      </c>
      <c r="CR58" s="496" t="s">
        <v>721</v>
      </c>
      <c r="CS58" s="496" t="s">
        <v>721</v>
      </c>
      <c r="CT58" s="496" t="s">
        <v>721</v>
      </c>
      <c r="CU58" s="496" t="s">
        <v>721</v>
      </c>
      <c r="CV58" s="496">
        <v>529</v>
      </c>
      <c r="CW58" s="496" t="s">
        <v>721</v>
      </c>
      <c r="CX58" s="496" t="s">
        <v>721</v>
      </c>
      <c r="CY58" s="496" t="s">
        <v>721</v>
      </c>
      <c r="CZ58" s="496" t="s">
        <v>721</v>
      </c>
      <c r="DA58" s="496" t="s">
        <v>721</v>
      </c>
      <c r="DB58" s="496" t="s">
        <v>721</v>
      </c>
      <c r="DC58" s="496" t="s">
        <v>721</v>
      </c>
      <c r="DD58" s="496" t="s">
        <v>721</v>
      </c>
      <c r="DE58" s="496" t="s">
        <v>721</v>
      </c>
      <c r="DF58" s="496" t="s">
        <v>721</v>
      </c>
      <c r="DG58" s="496" t="s">
        <v>721</v>
      </c>
      <c r="DH58" s="496" t="s">
        <v>721</v>
      </c>
      <c r="DI58" s="496" t="s">
        <v>721</v>
      </c>
      <c r="DJ58" s="496" t="s">
        <v>721</v>
      </c>
      <c r="DK58" s="496" t="s">
        <v>721</v>
      </c>
      <c r="DL58" s="496" t="s">
        <v>721</v>
      </c>
      <c r="DM58" s="496" t="s">
        <v>721</v>
      </c>
      <c r="DN58" s="496" t="s">
        <v>721</v>
      </c>
      <c r="DO58" s="496" t="s">
        <v>721</v>
      </c>
      <c r="DP58" s="496" t="s">
        <v>721</v>
      </c>
      <c r="DQ58" s="496" t="s">
        <v>721</v>
      </c>
      <c r="DR58" s="496" t="s">
        <v>721</v>
      </c>
      <c r="DS58" s="483" t="s">
        <v>721</v>
      </c>
      <c r="DT58" s="483" t="s">
        <v>721</v>
      </c>
      <c r="DU58" s="483" t="s">
        <v>721</v>
      </c>
      <c r="DV58" s="496">
        <v>49</v>
      </c>
      <c r="DW58" s="497">
        <v>9803.7999999999993</v>
      </c>
      <c r="DX58" s="496">
        <v>96</v>
      </c>
      <c r="DY58" s="497">
        <v>16056.5</v>
      </c>
      <c r="DZ58" s="496">
        <v>157</v>
      </c>
      <c r="EA58" s="497">
        <v>15946.7</v>
      </c>
      <c r="EB58" s="496">
        <v>133</v>
      </c>
      <c r="EC58" s="497">
        <v>12379.6</v>
      </c>
      <c r="ED58" s="496">
        <v>90</v>
      </c>
      <c r="EE58" s="497">
        <v>8310.7000000000007</v>
      </c>
      <c r="EF58" s="496">
        <v>49</v>
      </c>
      <c r="EG58" s="497">
        <v>5868.5</v>
      </c>
      <c r="EH58" s="485">
        <v>481</v>
      </c>
      <c r="EI58" s="486">
        <v>1872.6</v>
      </c>
      <c r="EJ58" s="485">
        <v>481</v>
      </c>
      <c r="EK58" s="486">
        <v>10268.4</v>
      </c>
      <c r="EL58" s="485">
        <v>473</v>
      </c>
      <c r="EM58" s="486">
        <v>4661</v>
      </c>
      <c r="EN58" s="485">
        <v>485</v>
      </c>
      <c r="EO58" s="486">
        <v>2824.9</v>
      </c>
      <c r="EP58" s="485">
        <v>476</v>
      </c>
      <c r="EQ58" s="486">
        <v>1629.1</v>
      </c>
      <c r="ER58" s="485">
        <v>479</v>
      </c>
      <c r="ES58" s="486">
        <v>837.6</v>
      </c>
      <c r="ET58" s="485">
        <v>0</v>
      </c>
      <c r="EU58" s="485">
        <v>268</v>
      </c>
      <c r="EV58" s="486">
        <v>4520.3</v>
      </c>
      <c r="EW58" s="485">
        <v>125</v>
      </c>
      <c r="EX58" s="486">
        <v>732.1</v>
      </c>
      <c r="EY58" s="485">
        <v>63</v>
      </c>
      <c r="EZ58" s="486">
        <v>1045.4000000000001</v>
      </c>
      <c r="FA58" s="485">
        <v>55</v>
      </c>
      <c r="FB58" s="486">
        <v>638.1</v>
      </c>
      <c r="FC58" s="485">
        <v>504</v>
      </c>
      <c r="FD58" s="486">
        <v>5881.3</v>
      </c>
      <c r="FE58" s="485">
        <v>452</v>
      </c>
      <c r="FF58" s="486">
        <v>3583.5</v>
      </c>
      <c r="FG58" s="485">
        <v>112</v>
      </c>
      <c r="FH58" s="486">
        <v>1248.9000000000001</v>
      </c>
      <c r="FI58" s="485">
        <v>302</v>
      </c>
      <c r="FJ58" s="486">
        <v>1943</v>
      </c>
      <c r="FK58" s="485">
        <v>359</v>
      </c>
      <c r="FL58" s="486">
        <v>988.6</v>
      </c>
      <c r="FM58" s="485">
        <v>15</v>
      </c>
      <c r="FN58" s="486">
        <v>41.7</v>
      </c>
      <c r="FO58" s="485">
        <v>457</v>
      </c>
      <c r="FP58" s="486">
        <v>3124</v>
      </c>
      <c r="FQ58" s="485">
        <v>482</v>
      </c>
      <c r="FR58" s="486">
        <v>2091.1999999999998</v>
      </c>
      <c r="FS58" s="485">
        <v>16</v>
      </c>
      <c r="FT58" s="486">
        <v>167.6</v>
      </c>
      <c r="FU58" s="485">
        <v>1</v>
      </c>
      <c r="FV58" s="486">
        <v>40</v>
      </c>
      <c r="FW58" s="485">
        <v>0</v>
      </c>
      <c r="FX58" s="486">
        <v>0</v>
      </c>
      <c r="FY58" s="485">
        <v>1</v>
      </c>
      <c r="FZ58" s="486">
        <v>1.5</v>
      </c>
      <c r="GA58" s="485">
        <v>0</v>
      </c>
      <c r="GB58" s="485">
        <v>0</v>
      </c>
      <c r="GC58" s="487">
        <v>0</v>
      </c>
      <c r="GD58" s="488">
        <v>1</v>
      </c>
      <c r="GE58" s="488">
        <v>14</v>
      </c>
      <c r="GF58" s="488">
        <v>67</v>
      </c>
      <c r="GG58" s="488">
        <v>1</v>
      </c>
      <c r="GH58" s="488">
        <v>0</v>
      </c>
      <c r="GI58" s="488">
        <v>0</v>
      </c>
      <c r="GJ58" s="488">
        <v>0</v>
      </c>
      <c r="GK58" s="488">
        <v>24</v>
      </c>
      <c r="GL58" s="488">
        <v>57</v>
      </c>
      <c r="GM58" s="488">
        <v>82</v>
      </c>
      <c r="GN58" s="488">
        <v>20</v>
      </c>
      <c r="GO58" s="488">
        <v>17</v>
      </c>
      <c r="GP58" s="488">
        <v>0</v>
      </c>
      <c r="GQ58" s="488">
        <v>5</v>
      </c>
      <c r="GR58" s="488">
        <v>0</v>
      </c>
      <c r="GS58" s="488">
        <v>5</v>
      </c>
      <c r="GT58" s="489">
        <v>380</v>
      </c>
      <c r="GU58" s="488">
        <v>1</v>
      </c>
      <c r="GV58" s="490">
        <v>0</v>
      </c>
      <c r="GW58" s="490">
        <v>0</v>
      </c>
      <c r="GX58" s="490">
        <v>1</v>
      </c>
      <c r="GY58" s="491">
        <v>0</v>
      </c>
      <c r="GZ58" s="491">
        <v>3</v>
      </c>
      <c r="HA58" s="491">
        <v>3</v>
      </c>
      <c r="HB58" s="475">
        <v>0</v>
      </c>
      <c r="HC58" s="475">
        <v>0</v>
      </c>
      <c r="HD58" s="475">
        <v>0</v>
      </c>
      <c r="HE58" s="475">
        <v>0</v>
      </c>
      <c r="HF58" s="475">
        <v>0</v>
      </c>
      <c r="HG58" s="475">
        <v>1</v>
      </c>
      <c r="HH58" s="475">
        <v>0</v>
      </c>
      <c r="HI58" s="475">
        <v>0</v>
      </c>
      <c r="HJ58" s="475">
        <v>0</v>
      </c>
      <c r="HK58" s="475">
        <v>0</v>
      </c>
      <c r="HL58" s="475">
        <v>1</v>
      </c>
      <c r="HM58" s="475">
        <v>0</v>
      </c>
      <c r="HN58" s="475">
        <v>0</v>
      </c>
      <c r="HO58" s="475">
        <v>0</v>
      </c>
      <c r="HP58" s="475">
        <v>0</v>
      </c>
      <c r="HQ58" s="475">
        <v>0</v>
      </c>
      <c r="HR58" s="475">
        <v>4</v>
      </c>
      <c r="HS58" s="475">
        <v>0</v>
      </c>
      <c r="HT58" s="475">
        <v>0</v>
      </c>
      <c r="HU58" s="475">
        <v>0</v>
      </c>
      <c r="HV58" s="475">
        <v>0</v>
      </c>
      <c r="HW58" s="475">
        <v>0</v>
      </c>
      <c r="HX58" s="475">
        <v>0</v>
      </c>
      <c r="HY58" s="475">
        <v>0</v>
      </c>
      <c r="HZ58" s="475">
        <v>14</v>
      </c>
      <c r="IA58" s="475" t="s">
        <v>721</v>
      </c>
      <c r="IB58" s="475" t="s">
        <v>721</v>
      </c>
      <c r="IC58" s="475" t="s">
        <v>721</v>
      </c>
      <c r="ID58" s="475" t="s">
        <v>721</v>
      </c>
      <c r="IE58" s="475" t="s">
        <v>721</v>
      </c>
      <c r="IF58" s="475" t="s">
        <v>721</v>
      </c>
      <c r="IG58" s="475" t="s">
        <v>721</v>
      </c>
      <c r="IH58" s="475" t="s">
        <v>721</v>
      </c>
      <c r="II58" s="475" t="s">
        <v>721</v>
      </c>
      <c r="IJ58" s="475" t="s">
        <v>721</v>
      </c>
      <c r="IK58" s="475" t="s">
        <v>721</v>
      </c>
      <c r="IL58" s="475" t="s">
        <v>721</v>
      </c>
      <c r="IM58" s="475" t="s">
        <v>721</v>
      </c>
      <c r="IN58" s="475" t="s">
        <v>721</v>
      </c>
      <c r="IO58" s="475" t="s">
        <v>721</v>
      </c>
      <c r="IP58" s="475" t="s">
        <v>721</v>
      </c>
      <c r="IQ58" s="475" t="s">
        <v>721</v>
      </c>
      <c r="IR58" s="475" t="s">
        <v>721</v>
      </c>
      <c r="IS58" s="475" t="s">
        <v>721</v>
      </c>
      <c r="IT58" s="475" t="s">
        <v>721</v>
      </c>
      <c r="IU58" s="475" t="s">
        <v>721</v>
      </c>
      <c r="IV58" s="475" t="s">
        <v>721</v>
      </c>
      <c r="IW58" s="475" t="s">
        <v>721</v>
      </c>
      <c r="IX58" s="475" t="s">
        <v>721</v>
      </c>
      <c r="IY58" s="475" t="s">
        <v>721</v>
      </c>
      <c r="IZ58" s="475" t="s">
        <v>721</v>
      </c>
      <c r="JA58" s="475" t="s">
        <v>721</v>
      </c>
      <c r="JB58" s="475" t="s">
        <v>721</v>
      </c>
      <c r="JC58" s="475" t="s">
        <v>721</v>
      </c>
      <c r="JD58" s="475" t="s">
        <v>721</v>
      </c>
      <c r="JE58" s="475" t="s">
        <v>721</v>
      </c>
      <c r="JF58" s="475" t="s">
        <v>721</v>
      </c>
      <c r="JG58" s="475" t="s">
        <v>721</v>
      </c>
      <c r="JH58" s="475" t="s">
        <v>721</v>
      </c>
      <c r="JI58" s="475" t="s">
        <v>721</v>
      </c>
      <c r="JJ58" s="475" t="s">
        <v>721</v>
      </c>
      <c r="JK58" s="475" t="s">
        <v>721</v>
      </c>
      <c r="JL58" s="755">
        <v>60936.5</v>
      </c>
      <c r="JM58" s="755">
        <v>4522.3999999999996</v>
      </c>
      <c r="JN58" s="755">
        <v>283</v>
      </c>
      <c r="JO58" s="755">
        <v>100.5</v>
      </c>
      <c r="JP58" s="755">
        <v>526.79999999999995</v>
      </c>
      <c r="JQ58" s="755">
        <v>138.1</v>
      </c>
      <c r="JR58" s="755">
        <v>1688.5</v>
      </c>
      <c r="JS58" s="755" t="s">
        <v>721</v>
      </c>
      <c r="JT58" s="755" t="s">
        <v>721</v>
      </c>
      <c r="JU58" s="755" t="s">
        <v>721</v>
      </c>
      <c r="JV58" s="755" t="s">
        <v>721</v>
      </c>
      <c r="JW58" s="755" t="s">
        <v>721</v>
      </c>
      <c r="JX58" s="755" t="s">
        <v>721</v>
      </c>
      <c r="JY58" s="755" t="s">
        <v>721</v>
      </c>
      <c r="JZ58" s="755" t="s">
        <v>721</v>
      </c>
      <c r="KA58" s="755" t="s">
        <v>721</v>
      </c>
      <c r="KB58" s="755" t="s">
        <v>721</v>
      </c>
      <c r="KC58" s="755">
        <v>24.2</v>
      </c>
      <c r="KD58" s="755">
        <v>145.80000000000001</v>
      </c>
      <c r="KE58" s="475">
        <v>74</v>
      </c>
      <c r="KF58" s="475">
        <v>11</v>
      </c>
      <c r="KG58" s="475" t="s">
        <v>721</v>
      </c>
      <c r="KH58" s="475" t="s">
        <v>721</v>
      </c>
      <c r="KI58" s="475" t="s">
        <v>721</v>
      </c>
      <c r="KJ58" s="475" t="s">
        <v>721</v>
      </c>
      <c r="KK58" s="475" t="s">
        <v>721</v>
      </c>
      <c r="KL58" s="475" t="s">
        <v>721</v>
      </c>
      <c r="KM58" s="475" t="s">
        <v>721</v>
      </c>
      <c r="KN58" s="475" t="s">
        <v>721</v>
      </c>
      <c r="KO58" s="475" t="s">
        <v>721</v>
      </c>
      <c r="KP58" s="475" t="s">
        <v>721</v>
      </c>
      <c r="KQ58" s="475" t="s">
        <v>721</v>
      </c>
      <c r="KR58" s="475" t="s">
        <v>721</v>
      </c>
      <c r="KS58" s="475" t="s">
        <v>721</v>
      </c>
      <c r="KT58" s="475" t="s">
        <v>721</v>
      </c>
      <c r="KU58" s="475" t="s">
        <v>721</v>
      </c>
      <c r="KV58" s="475" t="s">
        <v>721</v>
      </c>
      <c r="KW58" s="475" t="s">
        <v>721</v>
      </c>
      <c r="KX58" s="475">
        <v>43</v>
      </c>
      <c r="KY58" s="475" t="s">
        <v>721</v>
      </c>
      <c r="KZ58" s="475" t="s">
        <v>721</v>
      </c>
      <c r="LA58" s="475" t="s">
        <v>721</v>
      </c>
      <c r="LB58" s="475" t="s">
        <v>721</v>
      </c>
      <c r="LC58" s="475" t="s">
        <v>721</v>
      </c>
      <c r="LD58" s="475" t="s">
        <v>721</v>
      </c>
      <c r="LE58" s="475" t="s">
        <v>721</v>
      </c>
      <c r="LF58" s="475" t="s">
        <v>721</v>
      </c>
      <c r="LG58" s="475" t="s">
        <v>721</v>
      </c>
      <c r="LH58" s="475" t="s">
        <v>721</v>
      </c>
      <c r="LI58" s="475" t="s">
        <v>721</v>
      </c>
      <c r="LJ58" s="475" t="s">
        <v>721</v>
      </c>
      <c r="LK58" s="475" t="s">
        <v>721</v>
      </c>
      <c r="LL58" s="475" t="s">
        <v>721</v>
      </c>
      <c r="LM58" s="475" t="s">
        <v>721</v>
      </c>
      <c r="LN58" s="475" t="s">
        <v>721</v>
      </c>
      <c r="LO58" s="475" t="s">
        <v>721</v>
      </c>
      <c r="LP58" s="475" t="s">
        <v>721</v>
      </c>
      <c r="LQ58" s="475">
        <v>402</v>
      </c>
      <c r="LR58" s="475">
        <v>21</v>
      </c>
      <c r="LS58" s="475" t="s">
        <v>721</v>
      </c>
      <c r="LT58" s="475" t="s">
        <v>721</v>
      </c>
      <c r="LU58" s="475" t="s">
        <v>721</v>
      </c>
      <c r="LV58" s="475" t="s">
        <v>721</v>
      </c>
      <c r="LW58" s="475" t="s">
        <v>721</v>
      </c>
      <c r="LX58" s="475" t="s">
        <v>721</v>
      </c>
      <c r="LY58" s="475" t="s">
        <v>721</v>
      </c>
      <c r="LZ58" s="475" t="s">
        <v>721</v>
      </c>
      <c r="MA58" s="475" t="s">
        <v>721</v>
      </c>
      <c r="MB58" s="475" t="s">
        <v>721</v>
      </c>
      <c r="MC58" s="475" t="s">
        <v>721</v>
      </c>
      <c r="MD58" s="475" t="s">
        <v>721</v>
      </c>
      <c r="ME58" s="475" t="s">
        <v>721</v>
      </c>
      <c r="MF58" s="475" t="s">
        <v>721</v>
      </c>
      <c r="MG58" s="475" t="s">
        <v>721</v>
      </c>
      <c r="MH58" s="475" t="s">
        <v>721</v>
      </c>
      <c r="MI58" s="475" t="s">
        <v>721</v>
      </c>
      <c r="MJ58" s="475">
        <v>120</v>
      </c>
      <c r="MK58" s="475" t="s">
        <v>721</v>
      </c>
      <c r="ML58" s="475" t="s">
        <v>721</v>
      </c>
      <c r="MM58" s="475" t="s">
        <v>721</v>
      </c>
      <c r="MN58" s="475" t="s">
        <v>721</v>
      </c>
      <c r="MO58" s="475" t="s">
        <v>721</v>
      </c>
      <c r="MP58" s="475" t="s">
        <v>721</v>
      </c>
      <c r="MQ58" s="475" t="s">
        <v>721</v>
      </c>
      <c r="MR58" s="475" t="s">
        <v>721</v>
      </c>
      <c r="MS58" s="475" t="s">
        <v>721</v>
      </c>
      <c r="MT58" s="475" t="s">
        <v>721</v>
      </c>
      <c r="MU58" s="475" t="s">
        <v>721</v>
      </c>
      <c r="MV58" s="475" t="s">
        <v>721</v>
      </c>
      <c r="MW58" s="475" t="s">
        <v>721</v>
      </c>
      <c r="MX58" s="475" t="s">
        <v>721</v>
      </c>
      <c r="MY58" s="475" t="s">
        <v>721</v>
      </c>
      <c r="MZ58" s="475" t="s">
        <v>721</v>
      </c>
      <c r="NA58" s="475" t="s">
        <v>721</v>
      </c>
      <c r="NB58" s="475" t="s">
        <v>721</v>
      </c>
      <c r="NC58" s="476">
        <v>0.55600000000000005</v>
      </c>
      <c r="ND58" s="476">
        <v>0.44400000000000001</v>
      </c>
      <c r="NE58" s="476">
        <v>0.91600000000000004</v>
      </c>
      <c r="NF58" s="476">
        <v>4.4999999999999998E-2</v>
      </c>
      <c r="NG58" s="476" t="s">
        <v>721</v>
      </c>
      <c r="NH58" s="476" t="s">
        <v>721</v>
      </c>
      <c r="NI58" s="476" t="s">
        <v>721</v>
      </c>
      <c r="NJ58" s="476" t="s">
        <v>721</v>
      </c>
      <c r="NK58" s="476">
        <v>1.9E-2</v>
      </c>
      <c r="NL58" s="476" t="s">
        <v>721</v>
      </c>
      <c r="NM58" s="476" t="s">
        <v>721</v>
      </c>
      <c r="NN58" s="476" t="s">
        <v>721</v>
      </c>
      <c r="NO58" s="476" t="s">
        <v>721</v>
      </c>
      <c r="NP58" s="476" t="s">
        <v>721</v>
      </c>
      <c r="NQ58" s="476" t="s">
        <v>721</v>
      </c>
      <c r="NR58" s="476" t="s">
        <v>721</v>
      </c>
      <c r="NS58" s="476" t="s">
        <v>721</v>
      </c>
      <c r="NT58" s="476" t="s">
        <v>721</v>
      </c>
      <c r="NU58" s="476" t="s">
        <v>721</v>
      </c>
      <c r="NV58" s="476" t="s">
        <v>721</v>
      </c>
      <c r="NW58" s="476" t="s">
        <v>721</v>
      </c>
      <c r="NX58" s="476" t="s">
        <v>721</v>
      </c>
      <c r="NY58" s="476" t="s">
        <v>721</v>
      </c>
      <c r="NZ58" s="476" t="s">
        <v>721</v>
      </c>
      <c r="OA58" s="476" t="s">
        <v>721</v>
      </c>
      <c r="OB58" s="476" t="s">
        <v>721</v>
      </c>
      <c r="OC58" s="476" t="s">
        <v>721</v>
      </c>
      <c r="OD58" s="476" t="s">
        <v>721</v>
      </c>
      <c r="OE58" s="476">
        <v>0.98599999999999999</v>
      </c>
      <c r="OF58" s="476" t="s">
        <v>721</v>
      </c>
      <c r="OG58" s="476" t="s">
        <v>721</v>
      </c>
      <c r="OH58" s="476" t="s">
        <v>721</v>
      </c>
      <c r="OI58" s="476" t="s">
        <v>721</v>
      </c>
      <c r="OJ58" s="476" t="s">
        <v>721</v>
      </c>
      <c r="OK58" s="476" t="s">
        <v>721</v>
      </c>
      <c r="OL58" s="476" t="s">
        <v>721</v>
      </c>
      <c r="OM58" s="476" t="s">
        <v>721</v>
      </c>
      <c r="ON58" s="476" t="s">
        <v>721</v>
      </c>
      <c r="OO58" s="476" t="s">
        <v>721</v>
      </c>
      <c r="OP58" s="476" t="s">
        <v>721</v>
      </c>
      <c r="OQ58" s="476" t="s">
        <v>721</v>
      </c>
      <c r="OR58" s="476" t="s">
        <v>721</v>
      </c>
      <c r="OS58" s="476" t="s">
        <v>721</v>
      </c>
      <c r="OT58" s="476" t="s">
        <v>721</v>
      </c>
      <c r="OU58" s="476" t="s">
        <v>721</v>
      </c>
      <c r="OV58" s="476" t="s">
        <v>721</v>
      </c>
      <c r="OW58" s="476" t="s">
        <v>721</v>
      </c>
      <c r="OX58" s="476" t="s">
        <v>721</v>
      </c>
      <c r="OY58" s="476" t="s">
        <v>721</v>
      </c>
      <c r="OZ58" s="476" t="s">
        <v>721</v>
      </c>
      <c r="PA58" s="476" t="s">
        <v>721</v>
      </c>
      <c r="PB58" s="476" t="s">
        <v>721</v>
      </c>
      <c r="PC58" s="476" t="s">
        <v>721</v>
      </c>
      <c r="PD58" s="476" t="s">
        <v>721</v>
      </c>
      <c r="PE58" s="476" t="s">
        <v>721</v>
      </c>
      <c r="PF58" s="476" t="s">
        <v>721</v>
      </c>
      <c r="PG58" s="476" t="s">
        <v>721</v>
      </c>
      <c r="PH58" s="476" t="s">
        <v>721</v>
      </c>
      <c r="PI58" s="476" t="s">
        <v>721</v>
      </c>
      <c r="PJ58" s="476" t="s">
        <v>721</v>
      </c>
      <c r="PK58" s="476" t="s">
        <v>721</v>
      </c>
      <c r="PL58" s="476">
        <v>0.98899999999999999</v>
      </c>
      <c r="PM58" s="476" t="s">
        <v>721</v>
      </c>
      <c r="PN58" s="476" t="s">
        <v>721</v>
      </c>
      <c r="PO58" s="476" t="s">
        <v>721</v>
      </c>
      <c r="PP58" s="476" t="s">
        <v>721</v>
      </c>
      <c r="PQ58" s="476" t="s">
        <v>721</v>
      </c>
      <c r="PR58" s="476" t="s">
        <v>721</v>
      </c>
      <c r="PS58" s="476" t="s">
        <v>721</v>
      </c>
      <c r="PT58" s="476" t="s">
        <v>721</v>
      </c>
      <c r="PU58" s="476" t="s">
        <v>721</v>
      </c>
      <c r="PV58" s="476" t="s">
        <v>721</v>
      </c>
      <c r="PW58" s="476" t="s">
        <v>721</v>
      </c>
      <c r="PX58" s="476" t="s">
        <v>721</v>
      </c>
      <c r="PY58" s="476" t="s">
        <v>721</v>
      </c>
      <c r="PZ58" s="476" t="s">
        <v>721</v>
      </c>
      <c r="QA58" s="476" t="s">
        <v>721</v>
      </c>
      <c r="QB58" s="476" t="s">
        <v>721</v>
      </c>
      <c r="QC58" s="476" t="s">
        <v>721</v>
      </c>
      <c r="QD58" s="476" t="s">
        <v>721</v>
      </c>
      <c r="QE58" s="476" t="s">
        <v>721</v>
      </c>
      <c r="QF58" s="476" t="s">
        <v>721</v>
      </c>
      <c r="QG58" s="476" t="s">
        <v>721</v>
      </c>
      <c r="QH58" s="476" t="s">
        <v>721</v>
      </c>
      <c r="QI58" s="476" t="s">
        <v>721</v>
      </c>
      <c r="QJ58" s="476" t="s">
        <v>721</v>
      </c>
      <c r="QK58" s="476" t="s">
        <v>721</v>
      </c>
      <c r="QL58" s="476">
        <v>0.82399999999999995</v>
      </c>
      <c r="QM58" s="476" t="s">
        <v>721</v>
      </c>
      <c r="QN58" s="476" t="s">
        <v>721</v>
      </c>
      <c r="QO58" s="476" t="s">
        <v>721</v>
      </c>
      <c r="QP58" s="476" t="s">
        <v>721</v>
      </c>
      <c r="QQ58" s="476" t="s">
        <v>721</v>
      </c>
      <c r="QR58" s="476" t="s">
        <v>721</v>
      </c>
      <c r="QS58" s="476" t="s">
        <v>721</v>
      </c>
      <c r="QT58" s="476" t="s">
        <v>721</v>
      </c>
      <c r="QU58" s="476" t="s">
        <v>721</v>
      </c>
      <c r="QV58" s="476" t="s">
        <v>721</v>
      </c>
      <c r="QW58" s="476" t="s">
        <v>721</v>
      </c>
      <c r="QX58" s="476" t="s">
        <v>721</v>
      </c>
      <c r="QY58" s="476" t="s">
        <v>721</v>
      </c>
      <c r="QZ58" s="476" t="s">
        <v>721</v>
      </c>
      <c r="RA58" s="476" t="s">
        <v>721</v>
      </c>
      <c r="RB58" s="476" t="s">
        <v>721</v>
      </c>
      <c r="RC58" s="476" t="s">
        <v>721</v>
      </c>
      <c r="RD58" s="476" t="s">
        <v>721</v>
      </c>
      <c r="RE58" s="476" t="s">
        <v>721</v>
      </c>
      <c r="RF58" s="476" t="s">
        <v>721</v>
      </c>
      <c r="RG58" s="476" t="s">
        <v>721</v>
      </c>
      <c r="RH58" s="476" t="s">
        <v>721</v>
      </c>
      <c r="RI58" s="476" t="s">
        <v>721</v>
      </c>
      <c r="RJ58" s="476" t="s">
        <v>721</v>
      </c>
      <c r="RK58" s="476" t="s">
        <v>721</v>
      </c>
      <c r="RL58" s="476" t="s">
        <v>721</v>
      </c>
      <c r="RM58" s="476" t="s">
        <v>721</v>
      </c>
      <c r="RN58" s="476" t="s">
        <v>721</v>
      </c>
      <c r="RO58" s="476" t="s">
        <v>721</v>
      </c>
      <c r="RP58" s="476" t="s">
        <v>721</v>
      </c>
      <c r="RQ58" s="476" t="s">
        <v>721</v>
      </c>
      <c r="RR58" s="476" t="s">
        <v>721</v>
      </c>
      <c r="RS58" s="476" t="s">
        <v>721</v>
      </c>
      <c r="RT58" s="476" t="s">
        <v>721</v>
      </c>
      <c r="RU58" s="476" t="s">
        <v>721</v>
      </c>
      <c r="RV58" s="476" t="s">
        <v>721</v>
      </c>
      <c r="RW58" s="476" t="s">
        <v>721</v>
      </c>
      <c r="RX58" s="476">
        <v>0.89100000000000001</v>
      </c>
      <c r="RY58" s="476">
        <v>6.6000000000000003E-2</v>
      </c>
      <c r="RZ58" s="476">
        <v>4.0000000000000001E-3</v>
      </c>
      <c r="SA58" s="476">
        <v>1E-3</v>
      </c>
      <c r="SB58" s="476">
        <v>8.0000000000000002E-3</v>
      </c>
      <c r="SC58" s="476">
        <v>2E-3</v>
      </c>
      <c r="SD58" s="476">
        <v>2.5000000000000001E-2</v>
      </c>
      <c r="SE58" s="476" t="s">
        <v>721</v>
      </c>
      <c r="SF58" s="476" t="s">
        <v>721</v>
      </c>
      <c r="SG58" s="476" t="s">
        <v>721</v>
      </c>
      <c r="SH58" s="476" t="s">
        <v>721</v>
      </c>
      <c r="SI58" s="476" t="s">
        <v>721</v>
      </c>
      <c r="SJ58" s="476" t="s">
        <v>721</v>
      </c>
      <c r="SK58" s="476" t="s">
        <v>721</v>
      </c>
      <c r="SL58" s="476" t="s">
        <v>721</v>
      </c>
      <c r="SM58" s="476" t="s">
        <v>721</v>
      </c>
      <c r="SN58" s="476" t="s">
        <v>721</v>
      </c>
      <c r="SO58" s="476">
        <v>0</v>
      </c>
      <c r="SP58" s="476">
        <v>2E-3</v>
      </c>
      <c r="SQ58" s="476">
        <v>0.81299999999999994</v>
      </c>
      <c r="SR58" s="476">
        <v>0.121</v>
      </c>
      <c r="SS58" s="476" t="s">
        <v>721</v>
      </c>
      <c r="ST58" s="476" t="s">
        <v>721</v>
      </c>
      <c r="SU58" s="476" t="s">
        <v>721</v>
      </c>
      <c r="SV58" s="476" t="s">
        <v>721</v>
      </c>
      <c r="SW58" s="476" t="s">
        <v>721</v>
      </c>
      <c r="SX58" s="476" t="s">
        <v>721</v>
      </c>
      <c r="SY58" s="476" t="s">
        <v>721</v>
      </c>
      <c r="SZ58" s="476" t="s">
        <v>721</v>
      </c>
      <c r="TA58" s="476" t="s">
        <v>721</v>
      </c>
      <c r="TB58" s="476" t="s">
        <v>721</v>
      </c>
      <c r="TC58" s="476" t="s">
        <v>721</v>
      </c>
      <c r="TD58" s="476" t="s">
        <v>721</v>
      </c>
      <c r="TE58" s="476" t="s">
        <v>721</v>
      </c>
      <c r="TF58" s="476" t="s">
        <v>721</v>
      </c>
      <c r="TG58" s="476" t="s">
        <v>721</v>
      </c>
      <c r="TH58" s="476" t="s">
        <v>721</v>
      </c>
      <c r="TI58" s="476" t="s">
        <v>721</v>
      </c>
      <c r="TJ58" s="476">
        <v>0.89600000000000002</v>
      </c>
      <c r="TK58" s="476" t="s">
        <v>721</v>
      </c>
      <c r="TL58" s="476" t="s">
        <v>721</v>
      </c>
      <c r="TM58" s="476" t="s">
        <v>721</v>
      </c>
      <c r="TN58" s="476" t="s">
        <v>721</v>
      </c>
      <c r="TO58" s="476" t="s">
        <v>721</v>
      </c>
      <c r="TP58" s="476" t="s">
        <v>721</v>
      </c>
      <c r="TQ58" s="476" t="s">
        <v>721</v>
      </c>
      <c r="TR58" s="476" t="s">
        <v>721</v>
      </c>
      <c r="TS58" s="476" t="s">
        <v>721</v>
      </c>
      <c r="TT58" s="476" t="s">
        <v>721</v>
      </c>
      <c r="TU58" s="476" t="s">
        <v>721</v>
      </c>
      <c r="TV58" s="476" t="s">
        <v>721</v>
      </c>
      <c r="TW58" s="476" t="s">
        <v>721</v>
      </c>
      <c r="TX58" s="476" t="s">
        <v>721</v>
      </c>
      <c r="TY58" s="476" t="s">
        <v>721</v>
      </c>
      <c r="TZ58" s="476" t="s">
        <v>721</v>
      </c>
      <c r="UA58" s="476" t="s">
        <v>721</v>
      </c>
      <c r="UB58" s="476" t="s">
        <v>721</v>
      </c>
      <c r="UC58" s="476">
        <v>0.91400000000000003</v>
      </c>
      <c r="UD58" s="476">
        <v>4.8000000000000001E-2</v>
      </c>
      <c r="UE58" s="476" t="s">
        <v>721</v>
      </c>
      <c r="UF58" s="476" t="s">
        <v>721</v>
      </c>
      <c r="UG58" s="476" t="s">
        <v>721</v>
      </c>
      <c r="UH58" s="476" t="s">
        <v>721</v>
      </c>
      <c r="UI58" s="476" t="s">
        <v>721</v>
      </c>
      <c r="UJ58" s="476" t="s">
        <v>721</v>
      </c>
      <c r="UK58" s="476" t="s">
        <v>721</v>
      </c>
      <c r="UL58" s="476" t="s">
        <v>721</v>
      </c>
      <c r="UM58" s="476" t="s">
        <v>721</v>
      </c>
      <c r="UN58" s="476" t="s">
        <v>721</v>
      </c>
      <c r="UO58" s="476" t="s">
        <v>721</v>
      </c>
      <c r="UP58" s="476" t="s">
        <v>721</v>
      </c>
      <c r="UQ58" s="476" t="s">
        <v>721</v>
      </c>
      <c r="UR58" s="476" t="s">
        <v>721</v>
      </c>
      <c r="US58" s="476" t="s">
        <v>721</v>
      </c>
      <c r="UT58" s="476" t="s">
        <v>721</v>
      </c>
      <c r="UU58" s="476" t="s">
        <v>721</v>
      </c>
      <c r="UV58" s="476">
        <v>0.92300000000000004</v>
      </c>
      <c r="UW58" s="476" t="s">
        <v>721</v>
      </c>
      <c r="UX58" s="476" t="s">
        <v>721</v>
      </c>
      <c r="UY58" s="476" t="s">
        <v>721</v>
      </c>
      <c r="UZ58" s="476" t="s">
        <v>721</v>
      </c>
      <c r="VA58" s="476" t="s">
        <v>721</v>
      </c>
      <c r="VB58" s="476" t="s">
        <v>721</v>
      </c>
      <c r="VC58" s="476" t="s">
        <v>721</v>
      </c>
      <c r="VD58" s="476" t="s">
        <v>721</v>
      </c>
      <c r="VE58" s="476" t="s">
        <v>721</v>
      </c>
      <c r="VF58" s="476" t="s">
        <v>721</v>
      </c>
      <c r="VG58" s="476" t="s">
        <v>721</v>
      </c>
      <c r="VH58" s="476" t="s">
        <v>721</v>
      </c>
      <c r="VI58" s="476" t="s">
        <v>721</v>
      </c>
      <c r="VJ58" s="476" t="s">
        <v>721</v>
      </c>
      <c r="VK58" s="476" t="s">
        <v>721</v>
      </c>
      <c r="VL58" s="476" t="s">
        <v>721</v>
      </c>
      <c r="VM58" s="476" t="s">
        <v>721</v>
      </c>
      <c r="VN58" s="476" t="s">
        <v>721</v>
      </c>
      <c r="VO58" s="28"/>
      <c r="VP58" s="28"/>
      <c r="VQ58" s="28"/>
      <c r="VR58" s="28"/>
      <c r="VS58" s="28"/>
      <c r="VT58" s="28"/>
      <c r="VU58" s="28"/>
      <c r="VV58" s="28"/>
      <c r="VW58" s="28"/>
      <c r="VX58" s="28"/>
      <c r="VY58" s="28"/>
      <c r="VZ58" s="28"/>
      <c r="WA58" s="28"/>
      <c r="WB58" s="28"/>
      <c r="WC58" s="28"/>
      <c r="WD58" s="28"/>
      <c r="WE58" s="28"/>
      <c r="WF58" s="28"/>
      <c r="WG58" s="28"/>
      <c r="WH58" s="28"/>
      <c r="WI58" s="28"/>
      <c r="WJ58" s="28"/>
      <c r="WK58" s="28"/>
      <c r="WL58" s="28"/>
      <c r="WM58" s="28"/>
      <c r="WN58" s="28"/>
      <c r="WO58" s="28"/>
      <c r="WP58" s="28"/>
      <c r="WQ58" s="28"/>
      <c r="WR58" s="28"/>
      <c r="WS58" s="28"/>
      <c r="WT58" s="28"/>
      <c r="WU58" s="28"/>
      <c r="WV58" s="28"/>
      <c r="WW58" s="28"/>
    </row>
    <row r="59" spans="1:621" s="151" customFormat="1" ht="15.75" customHeight="1" x14ac:dyDescent="0.35">
      <c r="A59" s="477" t="s">
        <v>63</v>
      </c>
      <c r="B59" s="492" t="s">
        <v>17</v>
      </c>
      <c r="C59" s="493">
        <v>17.75</v>
      </c>
      <c r="D59" s="494">
        <v>9013</v>
      </c>
      <c r="E59" s="473">
        <v>1039050.2</v>
      </c>
      <c r="F59" s="473">
        <v>115.3</v>
      </c>
      <c r="G59" s="474">
        <v>8571</v>
      </c>
      <c r="H59" s="474">
        <v>8093</v>
      </c>
      <c r="I59" s="474">
        <v>5255</v>
      </c>
      <c r="J59" s="474">
        <v>4208</v>
      </c>
      <c r="K59" s="474">
        <v>2803</v>
      </c>
      <c r="L59" s="473">
        <v>455870.1</v>
      </c>
      <c r="M59" s="474">
        <v>6162</v>
      </c>
      <c r="N59" s="473">
        <v>583180.1</v>
      </c>
      <c r="O59" s="494">
        <v>1114</v>
      </c>
      <c r="P59" s="495">
        <v>200395.2</v>
      </c>
      <c r="Q59" s="494">
        <v>1530</v>
      </c>
      <c r="R59" s="495">
        <v>41677</v>
      </c>
      <c r="S59" s="494">
        <v>2986</v>
      </c>
      <c r="T59" s="495">
        <v>299289.2</v>
      </c>
      <c r="U59" s="494">
        <v>87</v>
      </c>
      <c r="V59" s="495">
        <v>10993.7</v>
      </c>
      <c r="W59" s="494">
        <v>5940</v>
      </c>
      <c r="X59" s="495">
        <v>728767.3</v>
      </c>
      <c r="Y59" s="494">
        <v>8127</v>
      </c>
      <c r="Z59" s="494">
        <v>5118</v>
      </c>
      <c r="AA59" s="494">
        <v>6320</v>
      </c>
      <c r="AB59" s="494">
        <v>4665</v>
      </c>
      <c r="AC59" s="494">
        <v>448</v>
      </c>
      <c r="AD59" s="494">
        <v>2284</v>
      </c>
      <c r="AE59" s="494">
        <v>3740</v>
      </c>
      <c r="AF59" s="495">
        <v>274512.2</v>
      </c>
      <c r="AG59" s="494">
        <v>4739</v>
      </c>
      <c r="AH59" s="495">
        <v>734031.6</v>
      </c>
      <c r="AI59" s="494">
        <v>279</v>
      </c>
      <c r="AJ59" s="495">
        <v>11217.9</v>
      </c>
      <c r="AK59" s="494">
        <v>207</v>
      </c>
      <c r="AL59" s="495">
        <v>19288.5</v>
      </c>
      <c r="AM59" s="496">
        <v>5200</v>
      </c>
      <c r="AN59" s="496">
        <v>3813</v>
      </c>
      <c r="AO59" s="496">
        <v>3086</v>
      </c>
      <c r="AP59" s="496">
        <v>4298</v>
      </c>
      <c r="AQ59" s="496">
        <v>279</v>
      </c>
      <c r="AR59" s="496">
        <v>150</v>
      </c>
      <c r="AS59" s="496">
        <v>46</v>
      </c>
      <c r="AT59" s="496">
        <v>382</v>
      </c>
      <c r="AU59" s="496">
        <v>63</v>
      </c>
      <c r="AV59" s="496" t="s">
        <v>721</v>
      </c>
      <c r="AW59" s="496">
        <v>128</v>
      </c>
      <c r="AX59" s="496" t="s">
        <v>721</v>
      </c>
      <c r="AY59" s="496">
        <v>17</v>
      </c>
      <c r="AZ59" s="496">
        <v>30</v>
      </c>
      <c r="BA59" s="496">
        <v>12</v>
      </c>
      <c r="BB59" s="496">
        <v>90</v>
      </c>
      <c r="BC59" s="496" t="s">
        <v>721</v>
      </c>
      <c r="BD59" s="496" t="s">
        <v>721</v>
      </c>
      <c r="BE59" s="496" t="s">
        <v>721</v>
      </c>
      <c r="BF59" s="496">
        <v>88</v>
      </c>
      <c r="BG59" s="496">
        <v>321</v>
      </c>
      <c r="BH59" s="496" t="s">
        <v>721</v>
      </c>
      <c r="BI59" s="496">
        <v>2527</v>
      </c>
      <c r="BJ59" s="496">
        <v>24</v>
      </c>
      <c r="BK59" s="496" t="s">
        <v>721</v>
      </c>
      <c r="BL59" s="496">
        <v>18</v>
      </c>
      <c r="BM59" s="496">
        <v>148</v>
      </c>
      <c r="BN59" s="496">
        <v>71</v>
      </c>
      <c r="BO59" s="496">
        <v>5700</v>
      </c>
      <c r="BP59" s="496" t="s">
        <v>721</v>
      </c>
      <c r="BQ59" s="496" t="s">
        <v>721</v>
      </c>
      <c r="BR59" s="496">
        <v>73</v>
      </c>
      <c r="BS59" s="496">
        <v>14</v>
      </c>
      <c r="BT59" s="496" t="s">
        <v>721</v>
      </c>
      <c r="BU59" s="496">
        <v>45</v>
      </c>
      <c r="BV59" s="496" t="s">
        <v>721</v>
      </c>
      <c r="BW59" s="496" t="s">
        <v>721</v>
      </c>
      <c r="BX59" s="496" t="s">
        <v>721</v>
      </c>
      <c r="BY59" s="496" t="s">
        <v>721</v>
      </c>
      <c r="BZ59" s="496" t="s">
        <v>721</v>
      </c>
      <c r="CA59" s="496" t="s">
        <v>721</v>
      </c>
      <c r="CB59" s="496" t="s">
        <v>721</v>
      </c>
      <c r="CC59" s="496" t="s">
        <v>721</v>
      </c>
      <c r="CD59" s="496">
        <v>60</v>
      </c>
      <c r="CE59" s="496" t="s">
        <v>721</v>
      </c>
      <c r="CF59" s="496" t="s">
        <v>721</v>
      </c>
      <c r="CG59" s="496">
        <v>70</v>
      </c>
      <c r="CH59" s="496" t="s">
        <v>721</v>
      </c>
      <c r="CI59" s="496" t="s">
        <v>721</v>
      </c>
      <c r="CJ59" s="496">
        <v>142</v>
      </c>
      <c r="CK59" s="496">
        <v>69</v>
      </c>
      <c r="CL59" s="496" t="s">
        <v>721</v>
      </c>
      <c r="CM59" s="496" t="s">
        <v>721</v>
      </c>
      <c r="CN59" s="496" t="s">
        <v>721</v>
      </c>
      <c r="CO59" s="496" t="s">
        <v>721</v>
      </c>
      <c r="CP59" s="496">
        <v>1603</v>
      </c>
      <c r="CQ59" s="496" t="s">
        <v>721</v>
      </c>
      <c r="CR59" s="496" t="s">
        <v>721</v>
      </c>
      <c r="CS59" s="496">
        <v>14</v>
      </c>
      <c r="CT59" s="496">
        <v>46</v>
      </c>
      <c r="CU59" s="496">
        <v>16</v>
      </c>
      <c r="CV59" s="496">
        <v>6203</v>
      </c>
      <c r="CW59" s="496">
        <v>16</v>
      </c>
      <c r="CX59" s="496" t="s">
        <v>721</v>
      </c>
      <c r="CY59" s="496">
        <v>31</v>
      </c>
      <c r="CZ59" s="496" t="s">
        <v>721</v>
      </c>
      <c r="DA59" s="496" t="s">
        <v>721</v>
      </c>
      <c r="DB59" s="496">
        <v>26</v>
      </c>
      <c r="DC59" s="496" t="s">
        <v>721</v>
      </c>
      <c r="DD59" s="496" t="s">
        <v>721</v>
      </c>
      <c r="DE59" s="496" t="s">
        <v>721</v>
      </c>
      <c r="DF59" s="496" t="s">
        <v>721</v>
      </c>
      <c r="DG59" s="496" t="s">
        <v>721</v>
      </c>
      <c r="DH59" s="496" t="s">
        <v>721</v>
      </c>
      <c r="DI59" s="496" t="s">
        <v>721</v>
      </c>
      <c r="DJ59" s="496" t="s">
        <v>721</v>
      </c>
      <c r="DK59" s="496">
        <v>17</v>
      </c>
      <c r="DL59" s="496" t="s">
        <v>721</v>
      </c>
      <c r="DM59" s="496" t="s">
        <v>721</v>
      </c>
      <c r="DN59" s="496">
        <v>29</v>
      </c>
      <c r="DO59" s="496" t="s">
        <v>721</v>
      </c>
      <c r="DP59" s="496" t="s">
        <v>721</v>
      </c>
      <c r="DQ59" s="496">
        <v>51</v>
      </c>
      <c r="DR59" s="496">
        <v>36</v>
      </c>
      <c r="DS59" s="483" t="s">
        <v>721</v>
      </c>
      <c r="DT59" s="483" t="s">
        <v>721</v>
      </c>
      <c r="DU59" s="483" t="s">
        <v>721</v>
      </c>
      <c r="DV59" s="496">
        <v>1178</v>
      </c>
      <c r="DW59" s="497">
        <v>171267.9</v>
      </c>
      <c r="DX59" s="496">
        <v>1718</v>
      </c>
      <c r="DY59" s="497">
        <v>253616.7</v>
      </c>
      <c r="DZ59" s="496">
        <v>1698</v>
      </c>
      <c r="EA59" s="497">
        <v>165319.20000000001</v>
      </c>
      <c r="EB59" s="496">
        <v>1422</v>
      </c>
      <c r="EC59" s="497">
        <v>135206.20000000001</v>
      </c>
      <c r="ED59" s="496">
        <v>1588</v>
      </c>
      <c r="EE59" s="497">
        <v>153386.4</v>
      </c>
      <c r="EF59" s="496">
        <v>1409</v>
      </c>
      <c r="EG59" s="497">
        <v>160253.79999999999</v>
      </c>
      <c r="EH59" s="485">
        <v>7024</v>
      </c>
      <c r="EI59" s="486">
        <v>20115.3</v>
      </c>
      <c r="EJ59" s="485">
        <v>7096</v>
      </c>
      <c r="EK59" s="486">
        <v>171559.8</v>
      </c>
      <c r="EL59" s="485">
        <v>7010</v>
      </c>
      <c r="EM59" s="486">
        <v>79014.600000000006</v>
      </c>
      <c r="EN59" s="485">
        <v>7450</v>
      </c>
      <c r="EO59" s="486">
        <v>37156.5</v>
      </c>
      <c r="EP59" s="485">
        <v>7041</v>
      </c>
      <c r="EQ59" s="486">
        <v>20785.2</v>
      </c>
      <c r="ER59" s="485">
        <v>7073</v>
      </c>
      <c r="ES59" s="486">
        <v>14413.7</v>
      </c>
      <c r="ET59" s="485">
        <v>1</v>
      </c>
      <c r="EU59" s="485">
        <v>6437</v>
      </c>
      <c r="EV59" s="486">
        <v>95365.1</v>
      </c>
      <c r="EW59" s="485">
        <v>686</v>
      </c>
      <c r="EX59" s="486">
        <v>2930.4</v>
      </c>
      <c r="EY59" s="485">
        <v>2535</v>
      </c>
      <c r="EZ59" s="486">
        <v>31908.5</v>
      </c>
      <c r="FA59" s="485">
        <v>1053</v>
      </c>
      <c r="FB59" s="486">
        <v>9868.7000000000007</v>
      </c>
      <c r="FC59" s="485">
        <v>7972</v>
      </c>
      <c r="FD59" s="486">
        <v>97021.1</v>
      </c>
      <c r="FE59" s="485">
        <v>8010</v>
      </c>
      <c r="FF59" s="486">
        <v>62348.800000000003</v>
      </c>
      <c r="FG59" s="485">
        <v>4235</v>
      </c>
      <c r="FH59" s="486">
        <v>27271.8</v>
      </c>
      <c r="FI59" s="485">
        <v>5778</v>
      </c>
      <c r="FJ59" s="486">
        <v>33828.5</v>
      </c>
      <c r="FK59" s="485">
        <v>6147</v>
      </c>
      <c r="FL59" s="486">
        <v>16314.6</v>
      </c>
      <c r="FM59" s="485">
        <v>519</v>
      </c>
      <c r="FN59" s="486">
        <v>1181.3</v>
      </c>
      <c r="FO59" s="485">
        <v>7136</v>
      </c>
      <c r="FP59" s="486">
        <v>56052.4</v>
      </c>
      <c r="FQ59" s="485">
        <v>7231</v>
      </c>
      <c r="FR59" s="486">
        <v>19886.5</v>
      </c>
      <c r="FS59" s="485">
        <v>30</v>
      </c>
      <c r="FT59" s="486">
        <v>299.3</v>
      </c>
      <c r="FU59" s="485">
        <v>0</v>
      </c>
      <c r="FV59" s="486">
        <v>0</v>
      </c>
      <c r="FW59" s="485">
        <v>0</v>
      </c>
      <c r="FX59" s="486">
        <v>0</v>
      </c>
      <c r="FY59" s="485">
        <v>0</v>
      </c>
      <c r="FZ59" s="486">
        <v>0</v>
      </c>
      <c r="GA59" s="485">
        <v>0</v>
      </c>
      <c r="GB59" s="485">
        <v>0</v>
      </c>
      <c r="GC59" s="487">
        <v>0</v>
      </c>
      <c r="GD59" s="488">
        <v>28</v>
      </c>
      <c r="GE59" s="488">
        <v>386</v>
      </c>
      <c r="GF59" s="488">
        <v>2837</v>
      </c>
      <c r="GG59" s="488">
        <v>10</v>
      </c>
      <c r="GH59" s="488">
        <v>4</v>
      </c>
      <c r="GI59" s="488">
        <v>12</v>
      </c>
      <c r="GJ59" s="488">
        <v>0</v>
      </c>
      <c r="GK59" s="488">
        <v>1456</v>
      </c>
      <c r="GL59" s="488">
        <v>1769</v>
      </c>
      <c r="GM59" s="488">
        <v>3251</v>
      </c>
      <c r="GN59" s="488">
        <v>2242</v>
      </c>
      <c r="GO59" s="488">
        <v>273</v>
      </c>
      <c r="GP59" s="488">
        <v>12</v>
      </c>
      <c r="GQ59" s="488">
        <v>53</v>
      </c>
      <c r="GR59" s="488">
        <v>5</v>
      </c>
      <c r="GS59" s="488">
        <v>70</v>
      </c>
      <c r="GT59" s="489">
        <v>5927</v>
      </c>
      <c r="GU59" s="488">
        <v>10</v>
      </c>
      <c r="GV59" s="490">
        <v>0</v>
      </c>
      <c r="GW59" s="490">
        <v>6</v>
      </c>
      <c r="GX59" s="490">
        <v>16</v>
      </c>
      <c r="GY59" s="491">
        <v>21</v>
      </c>
      <c r="GZ59" s="491">
        <v>13</v>
      </c>
      <c r="HA59" s="491">
        <v>34</v>
      </c>
      <c r="HB59" s="475">
        <v>0</v>
      </c>
      <c r="HC59" s="475">
        <v>1</v>
      </c>
      <c r="HD59" s="475">
        <v>0</v>
      </c>
      <c r="HE59" s="475">
        <v>0</v>
      </c>
      <c r="HF59" s="475">
        <v>0</v>
      </c>
      <c r="HG59" s="475">
        <v>0</v>
      </c>
      <c r="HH59" s="475">
        <v>0</v>
      </c>
      <c r="HI59" s="475">
        <v>0</v>
      </c>
      <c r="HJ59" s="475">
        <v>0</v>
      </c>
      <c r="HK59" s="475">
        <v>0</v>
      </c>
      <c r="HL59" s="475">
        <v>0</v>
      </c>
      <c r="HM59" s="475">
        <v>1</v>
      </c>
      <c r="HN59" s="475">
        <v>0</v>
      </c>
      <c r="HO59" s="475">
        <v>2</v>
      </c>
      <c r="HP59" s="475">
        <v>0</v>
      </c>
      <c r="HQ59" s="475">
        <v>1</v>
      </c>
      <c r="HR59" s="475">
        <v>21</v>
      </c>
      <c r="HS59" s="475">
        <v>0</v>
      </c>
      <c r="HT59" s="475">
        <v>0</v>
      </c>
      <c r="HU59" s="475">
        <v>0</v>
      </c>
      <c r="HV59" s="475">
        <v>0</v>
      </c>
      <c r="HW59" s="475">
        <v>0</v>
      </c>
      <c r="HX59" s="475">
        <v>0</v>
      </c>
      <c r="HY59" s="475">
        <v>0</v>
      </c>
      <c r="HZ59" s="475">
        <v>91</v>
      </c>
      <c r="IA59" s="475">
        <v>140</v>
      </c>
      <c r="IB59" s="475" t="s">
        <v>721</v>
      </c>
      <c r="IC59" s="475" t="s">
        <v>721</v>
      </c>
      <c r="ID59" s="475" t="s">
        <v>721</v>
      </c>
      <c r="IE59" s="475" t="s">
        <v>721</v>
      </c>
      <c r="IF59" s="475" t="s">
        <v>721</v>
      </c>
      <c r="IG59" s="475" t="s">
        <v>721</v>
      </c>
      <c r="IH59" s="475" t="s">
        <v>721</v>
      </c>
      <c r="II59" s="475" t="s">
        <v>721</v>
      </c>
      <c r="IJ59" s="475" t="s">
        <v>721</v>
      </c>
      <c r="IK59" s="475" t="s">
        <v>721</v>
      </c>
      <c r="IL59" s="475" t="s">
        <v>721</v>
      </c>
      <c r="IM59" s="475" t="s">
        <v>721</v>
      </c>
      <c r="IN59" s="475" t="s">
        <v>721</v>
      </c>
      <c r="IO59" s="475" t="s">
        <v>721</v>
      </c>
      <c r="IP59" s="475" t="s">
        <v>721</v>
      </c>
      <c r="IQ59" s="475" t="s">
        <v>721</v>
      </c>
      <c r="IR59" s="475" t="s">
        <v>721</v>
      </c>
      <c r="IS59" s="475">
        <v>28</v>
      </c>
      <c r="IT59" s="475">
        <v>31</v>
      </c>
      <c r="IU59" s="475" t="s">
        <v>721</v>
      </c>
      <c r="IV59" s="475" t="s">
        <v>721</v>
      </c>
      <c r="IW59" s="475" t="s">
        <v>721</v>
      </c>
      <c r="IX59" s="475" t="s">
        <v>721</v>
      </c>
      <c r="IY59" s="475" t="s">
        <v>721</v>
      </c>
      <c r="IZ59" s="475" t="s">
        <v>721</v>
      </c>
      <c r="JA59" s="475" t="s">
        <v>721</v>
      </c>
      <c r="JB59" s="475" t="s">
        <v>721</v>
      </c>
      <c r="JC59" s="475" t="s">
        <v>721</v>
      </c>
      <c r="JD59" s="475" t="s">
        <v>721</v>
      </c>
      <c r="JE59" s="475" t="s">
        <v>721</v>
      </c>
      <c r="JF59" s="475" t="s">
        <v>721</v>
      </c>
      <c r="JG59" s="475" t="s">
        <v>721</v>
      </c>
      <c r="JH59" s="475" t="s">
        <v>721</v>
      </c>
      <c r="JI59" s="475" t="s">
        <v>721</v>
      </c>
      <c r="JJ59" s="475" t="s">
        <v>721</v>
      </c>
      <c r="JK59" s="475" t="s">
        <v>721</v>
      </c>
      <c r="JL59" s="755">
        <v>377195.6</v>
      </c>
      <c r="JM59" s="755">
        <v>477453.5</v>
      </c>
      <c r="JN59" s="755">
        <v>31802</v>
      </c>
      <c r="JO59" s="755">
        <v>19623.599999999999</v>
      </c>
      <c r="JP59" s="755">
        <v>5327.6</v>
      </c>
      <c r="JQ59" s="755">
        <v>41632.400000000001</v>
      </c>
      <c r="JR59" s="755">
        <v>6976.4</v>
      </c>
      <c r="JS59" s="755">
        <v>406</v>
      </c>
      <c r="JT59" s="755">
        <v>13732.2</v>
      </c>
      <c r="JU59" s="755">
        <v>652.9</v>
      </c>
      <c r="JV59" s="755">
        <v>2738.8</v>
      </c>
      <c r="JW59" s="755">
        <v>3448.8</v>
      </c>
      <c r="JX59" s="755">
        <v>1804.5</v>
      </c>
      <c r="JY59" s="755">
        <v>9843.5</v>
      </c>
      <c r="JZ59" s="755">
        <v>253.5</v>
      </c>
      <c r="KA59" s="755">
        <v>456.6</v>
      </c>
      <c r="KB59" s="755">
        <v>1060</v>
      </c>
      <c r="KC59" s="755">
        <v>10911.8</v>
      </c>
      <c r="KD59" s="755">
        <v>33730.5</v>
      </c>
      <c r="KE59" s="475">
        <v>519</v>
      </c>
      <c r="KF59" s="475">
        <v>410</v>
      </c>
      <c r="KG59" s="475">
        <v>25</v>
      </c>
      <c r="KH59" s="475">
        <v>27</v>
      </c>
      <c r="KI59" s="475" t="s">
        <v>721</v>
      </c>
      <c r="KJ59" s="475">
        <v>35</v>
      </c>
      <c r="KK59" s="475" t="s">
        <v>721</v>
      </c>
      <c r="KL59" s="475" t="s">
        <v>721</v>
      </c>
      <c r="KM59" s="475" t="s">
        <v>721</v>
      </c>
      <c r="KN59" s="475" t="s">
        <v>721</v>
      </c>
      <c r="KO59" s="475" t="s">
        <v>721</v>
      </c>
      <c r="KP59" s="475" t="s">
        <v>721</v>
      </c>
      <c r="KQ59" s="475" t="s">
        <v>721</v>
      </c>
      <c r="KR59" s="475" t="s">
        <v>721</v>
      </c>
      <c r="KS59" s="475" t="s">
        <v>721</v>
      </c>
      <c r="KT59" s="475" t="s">
        <v>721</v>
      </c>
      <c r="KU59" s="475" t="s">
        <v>721</v>
      </c>
      <c r="KV59" s="475">
        <v>12</v>
      </c>
      <c r="KW59" s="475">
        <v>45</v>
      </c>
      <c r="KX59" s="475">
        <v>390</v>
      </c>
      <c r="KY59" s="475">
        <v>868</v>
      </c>
      <c r="KZ59" s="475">
        <v>44</v>
      </c>
      <c r="LA59" s="475">
        <v>27</v>
      </c>
      <c r="LB59" s="475" t="s">
        <v>721</v>
      </c>
      <c r="LC59" s="475">
        <v>82</v>
      </c>
      <c r="LD59" s="475" t="s">
        <v>721</v>
      </c>
      <c r="LE59" s="475" t="s">
        <v>721</v>
      </c>
      <c r="LF59" s="475">
        <v>21</v>
      </c>
      <c r="LG59" s="475" t="s">
        <v>721</v>
      </c>
      <c r="LH59" s="475" t="s">
        <v>721</v>
      </c>
      <c r="LI59" s="475" t="s">
        <v>721</v>
      </c>
      <c r="LJ59" s="475" t="s">
        <v>721</v>
      </c>
      <c r="LK59" s="475">
        <v>17</v>
      </c>
      <c r="LL59" s="475" t="s">
        <v>721</v>
      </c>
      <c r="LM59" s="475" t="s">
        <v>721</v>
      </c>
      <c r="LN59" s="475" t="s">
        <v>721</v>
      </c>
      <c r="LO59" s="475">
        <v>15</v>
      </c>
      <c r="LP59" s="475">
        <v>36</v>
      </c>
      <c r="LQ59" s="475">
        <v>2207</v>
      </c>
      <c r="LR59" s="475">
        <v>2841</v>
      </c>
      <c r="LS59" s="475">
        <v>187</v>
      </c>
      <c r="LT59" s="475">
        <v>93</v>
      </c>
      <c r="LU59" s="475">
        <v>32</v>
      </c>
      <c r="LV59" s="475">
        <v>256</v>
      </c>
      <c r="LW59" s="475">
        <v>46</v>
      </c>
      <c r="LX59" s="475" t="s">
        <v>721</v>
      </c>
      <c r="LY59" s="475">
        <v>81</v>
      </c>
      <c r="LZ59" s="475" t="s">
        <v>721</v>
      </c>
      <c r="MA59" s="475">
        <v>11</v>
      </c>
      <c r="MB59" s="475">
        <v>20</v>
      </c>
      <c r="MC59" s="475" t="s">
        <v>721</v>
      </c>
      <c r="MD59" s="475">
        <v>60</v>
      </c>
      <c r="ME59" s="475" t="s">
        <v>721</v>
      </c>
      <c r="MF59" s="475" t="s">
        <v>721</v>
      </c>
      <c r="MG59" s="475" t="s">
        <v>721</v>
      </c>
      <c r="MH59" s="475">
        <v>53</v>
      </c>
      <c r="MI59" s="475">
        <v>255</v>
      </c>
      <c r="MJ59" s="475">
        <v>854</v>
      </c>
      <c r="MK59" s="475">
        <v>1439</v>
      </c>
      <c r="ML59" s="475">
        <v>90</v>
      </c>
      <c r="MM59" s="475">
        <v>56</v>
      </c>
      <c r="MN59" s="475">
        <v>14</v>
      </c>
      <c r="MO59" s="475">
        <v>126</v>
      </c>
      <c r="MP59" s="475">
        <v>17</v>
      </c>
      <c r="MQ59" s="475" t="s">
        <v>721</v>
      </c>
      <c r="MR59" s="475">
        <v>46</v>
      </c>
      <c r="MS59" s="475" t="s">
        <v>721</v>
      </c>
      <c r="MT59" s="475" t="s">
        <v>721</v>
      </c>
      <c r="MU59" s="475" t="s">
        <v>721</v>
      </c>
      <c r="MV59" s="475" t="s">
        <v>721</v>
      </c>
      <c r="MW59" s="475">
        <v>30</v>
      </c>
      <c r="MX59" s="475" t="s">
        <v>721</v>
      </c>
      <c r="MY59" s="475" t="s">
        <v>721</v>
      </c>
      <c r="MZ59" s="475" t="s">
        <v>721</v>
      </c>
      <c r="NA59" s="475">
        <v>35</v>
      </c>
      <c r="NB59" s="475">
        <v>65</v>
      </c>
      <c r="NC59" s="476">
        <v>0.57699999999999996</v>
      </c>
      <c r="ND59" s="476">
        <v>0.42299999999999999</v>
      </c>
      <c r="NE59" s="476">
        <v>0.34200000000000003</v>
      </c>
      <c r="NF59" s="476">
        <v>0.47699999999999998</v>
      </c>
      <c r="NG59" s="476">
        <v>3.1E-2</v>
      </c>
      <c r="NH59" s="476">
        <v>1.7000000000000001E-2</v>
      </c>
      <c r="NI59" s="476">
        <v>5.0000000000000001E-3</v>
      </c>
      <c r="NJ59" s="476">
        <v>4.2000000000000003E-2</v>
      </c>
      <c r="NK59" s="476">
        <v>7.0000000000000001E-3</v>
      </c>
      <c r="NL59" s="476" t="s">
        <v>721</v>
      </c>
      <c r="NM59" s="476">
        <v>1.4E-2</v>
      </c>
      <c r="NN59" s="476" t="s">
        <v>721</v>
      </c>
      <c r="NO59" s="476">
        <v>2E-3</v>
      </c>
      <c r="NP59" s="476">
        <v>3.0000000000000001E-3</v>
      </c>
      <c r="NQ59" s="476">
        <v>1E-3</v>
      </c>
      <c r="NR59" s="476">
        <v>0.01</v>
      </c>
      <c r="NS59" s="476" t="s">
        <v>721</v>
      </c>
      <c r="NT59" s="476" t="s">
        <v>721</v>
      </c>
      <c r="NU59" s="476" t="s">
        <v>721</v>
      </c>
      <c r="NV59" s="476">
        <v>0.01</v>
      </c>
      <c r="NW59" s="476">
        <v>3.5999999999999997E-2</v>
      </c>
      <c r="NX59" s="476" t="s">
        <v>721</v>
      </c>
      <c r="NY59" s="476">
        <v>0.28000000000000003</v>
      </c>
      <c r="NZ59" s="476">
        <v>3.0000000000000001E-3</v>
      </c>
      <c r="OA59" s="476" t="s">
        <v>721</v>
      </c>
      <c r="OB59" s="476">
        <v>2E-3</v>
      </c>
      <c r="OC59" s="476">
        <v>1.6E-2</v>
      </c>
      <c r="OD59" s="476">
        <v>8.0000000000000002E-3</v>
      </c>
      <c r="OE59" s="476">
        <v>0.63200000000000001</v>
      </c>
      <c r="OF59" s="476" t="s">
        <v>721</v>
      </c>
      <c r="OG59" s="476" t="s">
        <v>721</v>
      </c>
      <c r="OH59" s="476">
        <v>8.0000000000000002E-3</v>
      </c>
      <c r="OI59" s="476">
        <v>2E-3</v>
      </c>
      <c r="OJ59" s="476" t="s">
        <v>721</v>
      </c>
      <c r="OK59" s="476">
        <v>5.0000000000000001E-3</v>
      </c>
      <c r="OL59" s="476" t="s">
        <v>721</v>
      </c>
      <c r="OM59" s="476" t="s">
        <v>721</v>
      </c>
      <c r="ON59" s="476" t="s">
        <v>721</v>
      </c>
      <c r="OO59" s="476" t="s">
        <v>721</v>
      </c>
      <c r="OP59" s="476" t="s">
        <v>721</v>
      </c>
      <c r="OQ59" s="476" t="s">
        <v>721</v>
      </c>
      <c r="OR59" s="476" t="s">
        <v>721</v>
      </c>
      <c r="OS59" s="476" t="s">
        <v>721</v>
      </c>
      <c r="OT59" s="476">
        <v>7.0000000000000001E-3</v>
      </c>
      <c r="OU59" s="476" t="s">
        <v>721</v>
      </c>
      <c r="OV59" s="476" t="s">
        <v>721</v>
      </c>
      <c r="OW59" s="476">
        <v>8.0000000000000002E-3</v>
      </c>
      <c r="OX59" s="476" t="s">
        <v>721</v>
      </c>
      <c r="OY59" s="476" t="s">
        <v>721</v>
      </c>
      <c r="OZ59" s="476">
        <v>1.6E-2</v>
      </c>
      <c r="PA59" s="476">
        <v>8.0000000000000002E-3</v>
      </c>
      <c r="PB59" s="476" t="s">
        <v>721</v>
      </c>
      <c r="PC59" s="476" t="s">
        <v>721</v>
      </c>
      <c r="PD59" s="476" t="s">
        <v>721</v>
      </c>
      <c r="PE59" s="476" t="s">
        <v>721</v>
      </c>
      <c r="PF59" s="476">
        <v>0.19700000000000001</v>
      </c>
      <c r="PG59" s="476" t="s">
        <v>721</v>
      </c>
      <c r="PH59" s="476" t="s">
        <v>721</v>
      </c>
      <c r="PI59" s="476">
        <v>2E-3</v>
      </c>
      <c r="PJ59" s="476">
        <v>6.0000000000000001E-3</v>
      </c>
      <c r="PK59" s="476">
        <v>2E-3</v>
      </c>
      <c r="PL59" s="476">
        <v>0.76300000000000001</v>
      </c>
      <c r="PM59" s="476">
        <v>2E-3</v>
      </c>
      <c r="PN59" s="476" t="s">
        <v>721</v>
      </c>
      <c r="PO59" s="476">
        <v>4.0000000000000001E-3</v>
      </c>
      <c r="PP59" s="476" t="s">
        <v>721</v>
      </c>
      <c r="PQ59" s="476" t="s">
        <v>721</v>
      </c>
      <c r="PR59" s="476">
        <v>3.0000000000000001E-3</v>
      </c>
      <c r="PS59" s="476" t="s">
        <v>721</v>
      </c>
      <c r="PT59" s="476" t="s">
        <v>721</v>
      </c>
      <c r="PU59" s="476" t="s">
        <v>721</v>
      </c>
      <c r="PV59" s="476" t="s">
        <v>721</v>
      </c>
      <c r="PW59" s="476" t="s">
        <v>721</v>
      </c>
      <c r="PX59" s="476" t="s">
        <v>721</v>
      </c>
      <c r="PY59" s="476" t="s">
        <v>721</v>
      </c>
      <c r="PZ59" s="476" t="s">
        <v>721</v>
      </c>
      <c r="QA59" s="476">
        <v>2E-3</v>
      </c>
      <c r="QB59" s="476" t="s">
        <v>721</v>
      </c>
      <c r="QC59" s="476" t="s">
        <v>721</v>
      </c>
      <c r="QD59" s="476">
        <v>4.0000000000000001E-3</v>
      </c>
      <c r="QE59" s="476" t="s">
        <v>721</v>
      </c>
      <c r="QF59" s="476" t="s">
        <v>721</v>
      </c>
      <c r="QG59" s="476">
        <v>6.0000000000000001E-3</v>
      </c>
      <c r="QH59" s="476">
        <v>4.0000000000000001E-3</v>
      </c>
      <c r="QI59" s="476" t="s">
        <v>721</v>
      </c>
      <c r="QJ59" s="476" t="s">
        <v>721</v>
      </c>
      <c r="QK59" s="476" t="s">
        <v>721</v>
      </c>
      <c r="QL59" s="476">
        <v>0.33300000000000002</v>
      </c>
      <c r="QM59" s="476">
        <v>0.51300000000000001</v>
      </c>
      <c r="QN59" s="476" t="s">
        <v>721</v>
      </c>
      <c r="QO59" s="476" t="s">
        <v>721</v>
      </c>
      <c r="QP59" s="476" t="s">
        <v>721</v>
      </c>
      <c r="QQ59" s="476" t="s">
        <v>721</v>
      </c>
      <c r="QR59" s="476" t="s">
        <v>721</v>
      </c>
      <c r="QS59" s="476" t="s">
        <v>721</v>
      </c>
      <c r="QT59" s="476" t="s">
        <v>721</v>
      </c>
      <c r="QU59" s="476" t="s">
        <v>721</v>
      </c>
      <c r="QV59" s="476" t="s">
        <v>721</v>
      </c>
      <c r="QW59" s="476" t="s">
        <v>721</v>
      </c>
      <c r="QX59" s="476" t="s">
        <v>721</v>
      </c>
      <c r="QY59" s="476" t="s">
        <v>721</v>
      </c>
      <c r="QZ59" s="476" t="s">
        <v>721</v>
      </c>
      <c r="RA59" s="476" t="s">
        <v>721</v>
      </c>
      <c r="RB59" s="476" t="s">
        <v>721</v>
      </c>
      <c r="RC59" s="476" t="s">
        <v>721</v>
      </c>
      <c r="RD59" s="476" t="s">
        <v>721</v>
      </c>
      <c r="RE59" s="476">
        <v>0.4</v>
      </c>
      <c r="RF59" s="476">
        <v>0.443</v>
      </c>
      <c r="RG59" s="476" t="s">
        <v>721</v>
      </c>
      <c r="RH59" s="476" t="s">
        <v>721</v>
      </c>
      <c r="RI59" s="476" t="s">
        <v>721</v>
      </c>
      <c r="RJ59" s="476" t="s">
        <v>721</v>
      </c>
      <c r="RK59" s="476" t="s">
        <v>721</v>
      </c>
      <c r="RL59" s="476" t="s">
        <v>721</v>
      </c>
      <c r="RM59" s="476" t="s">
        <v>721</v>
      </c>
      <c r="RN59" s="476" t="s">
        <v>721</v>
      </c>
      <c r="RO59" s="476" t="s">
        <v>721</v>
      </c>
      <c r="RP59" s="476" t="s">
        <v>721</v>
      </c>
      <c r="RQ59" s="476" t="s">
        <v>721</v>
      </c>
      <c r="RR59" s="476" t="s">
        <v>721</v>
      </c>
      <c r="RS59" s="476" t="s">
        <v>721</v>
      </c>
      <c r="RT59" s="476" t="s">
        <v>721</v>
      </c>
      <c r="RU59" s="476" t="s">
        <v>721</v>
      </c>
      <c r="RV59" s="476" t="s">
        <v>721</v>
      </c>
      <c r="RW59" s="476" t="s">
        <v>721</v>
      </c>
      <c r="RX59" s="476">
        <v>0.36299999999999999</v>
      </c>
      <c r="RY59" s="476">
        <v>0.46</v>
      </c>
      <c r="RZ59" s="476">
        <v>3.1E-2</v>
      </c>
      <c r="SA59" s="476">
        <v>1.9E-2</v>
      </c>
      <c r="SB59" s="476">
        <v>5.0000000000000001E-3</v>
      </c>
      <c r="SC59" s="476">
        <v>0.04</v>
      </c>
      <c r="SD59" s="476">
        <v>7.0000000000000001E-3</v>
      </c>
      <c r="SE59" s="476">
        <v>0</v>
      </c>
      <c r="SF59" s="476">
        <v>1.2999999999999999E-2</v>
      </c>
      <c r="SG59" s="476">
        <v>1E-3</v>
      </c>
      <c r="SH59" s="476">
        <v>3.0000000000000001E-3</v>
      </c>
      <c r="SI59" s="476">
        <v>3.0000000000000001E-3</v>
      </c>
      <c r="SJ59" s="476">
        <v>2E-3</v>
      </c>
      <c r="SK59" s="476">
        <v>8.9999999999999993E-3</v>
      </c>
      <c r="SL59" s="476">
        <v>0</v>
      </c>
      <c r="SM59" s="476">
        <v>0</v>
      </c>
      <c r="SN59" s="476">
        <v>1E-3</v>
      </c>
      <c r="SO59" s="476">
        <v>1.0999999999999999E-2</v>
      </c>
      <c r="SP59" s="476">
        <v>3.2000000000000001E-2</v>
      </c>
      <c r="SQ59" s="476">
        <v>0.46600000000000003</v>
      </c>
      <c r="SR59" s="476">
        <v>0.36799999999999999</v>
      </c>
      <c r="SS59" s="476">
        <v>2.1999999999999999E-2</v>
      </c>
      <c r="ST59" s="476">
        <v>2.4E-2</v>
      </c>
      <c r="SU59" s="476" t="s">
        <v>721</v>
      </c>
      <c r="SV59" s="476">
        <v>3.1E-2</v>
      </c>
      <c r="SW59" s="476" t="s">
        <v>721</v>
      </c>
      <c r="SX59" s="476" t="s">
        <v>721</v>
      </c>
      <c r="SY59" s="476" t="s">
        <v>721</v>
      </c>
      <c r="SZ59" s="476" t="s">
        <v>721</v>
      </c>
      <c r="TA59" s="476" t="s">
        <v>721</v>
      </c>
      <c r="TB59" s="476" t="s">
        <v>721</v>
      </c>
      <c r="TC59" s="476" t="s">
        <v>721</v>
      </c>
      <c r="TD59" s="476" t="s">
        <v>721</v>
      </c>
      <c r="TE59" s="476" t="s">
        <v>721</v>
      </c>
      <c r="TF59" s="476" t="s">
        <v>721</v>
      </c>
      <c r="TG59" s="476" t="s">
        <v>721</v>
      </c>
      <c r="TH59" s="476">
        <v>1.0999999999999999E-2</v>
      </c>
      <c r="TI59" s="476">
        <v>0.04</v>
      </c>
      <c r="TJ59" s="476">
        <v>0.255</v>
      </c>
      <c r="TK59" s="476">
        <v>0.56699999999999995</v>
      </c>
      <c r="TL59" s="476">
        <v>2.9000000000000001E-2</v>
      </c>
      <c r="TM59" s="476">
        <v>1.7999999999999999E-2</v>
      </c>
      <c r="TN59" s="476" t="s">
        <v>721</v>
      </c>
      <c r="TO59" s="476">
        <v>5.3999999999999999E-2</v>
      </c>
      <c r="TP59" s="476" t="s">
        <v>721</v>
      </c>
      <c r="TQ59" s="476" t="s">
        <v>721</v>
      </c>
      <c r="TR59" s="476">
        <v>1.4E-2</v>
      </c>
      <c r="TS59" s="476" t="s">
        <v>721</v>
      </c>
      <c r="TT59" s="476" t="s">
        <v>721</v>
      </c>
      <c r="TU59" s="476" t="s">
        <v>721</v>
      </c>
      <c r="TV59" s="476" t="s">
        <v>721</v>
      </c>
      <c r="TW59" s="476">
        <v>1.0999999999999999E-2</v>
      </c>
      <c r="TX59" s="476" t="s">
        <v>721</v>
      </c>
      <c r="TY59" s="476" t="s">
        <v>721</v>
      </c>
      <c r="TZ59" s="476" t="s">
        <v>721</v>
      </c>
      <c r="UA59" s="476">
        <v>0.01</v>
      </c>
      <c r="UB59" s="476">
        <v>2.4E-2</v>
      </c>
      <c r="UC59" s="476">
        <v>0.35799999999999998</v>
      </c>
      <c r="UD59" s="476">
        <v>0.46100000000000002</v>
      </c>
      <c r="UE59" s="476">
        <v>0.03</v>
      </c>
      <c r="UF59" s="476">
        <v>1.4999999999999999E-2</v>
      </c>
      <c r="UG59" s="476">
        <v>5.0000000000000001E-3</v>
      </c>
      <c r="UH59" s="476">
        <v>4.2000000000000003E-2</v>
      </c>
      <c r="UI59" s="476">
        <v>7.0000000000000001E-3</v>
      </c>
      <c r="UJ59" s="476" t="s">
        <v>721</v>
      </c>
      <c r="UK59" s="476">
        <v>1.2999999999999999E-2</v>
      </c>
      <c r="UL59" s="476" t="s">
        <v>721</v>
      </c>
      <c r="UM59" s="476">
        <v>2E-3</v>
      </c>
      <c r="UN59" s="476">
        <v>3.0000000000000001E-3</v>
      </c>
      <c r="UO59" s="476" t="s">
        <v>721</v>
      </c>
      <c r="UP59" s="476">
        <v>0.01</v>
      </c>
      <c r="UQ59" s="476" t="s">
        <v>721</v>
      </c>
      <c r="UR59" s="476" t="s">
        <v>721</v>
      </c>
      <c r="US59" s="476" t="s">
        <v>721</v>
      </c>
      <c r="UT59" s="476">
        <v>8.9999999999999993E-3</v>
      </c>
      <c r="UU59" s="476">
        <v>4.1000000000000002E-2</v>
      </c>
      <c r="UV59" s="476">
        <v>0.30499999999999999</v>
      </c>
      <c r="UW59" s="476">
        <v>0.51300000000000001</v>
      </c>
      <c r="UX59" s="476">
        <v>3.2000000000000001E-2</v>
      </c>
      <c r="UY59" s="476">
        <v>0.02</v>
      </c>
      <c r="UZ59" s="476">
        <v>5.0000000000000001E-3</v>
      </c>
      <c r="VA59" s="476">
        <v>4.4999999999999998E-2</v>
      </c>
      <c r="VB59" s="476">
        <v>6.0000000000000001E-3</v>
      </c>
      <c r="VC59" s="476" t="s">
        <v>721</v>
      </c>
      <c r="VD59" s="476">
        <v>1.6E-2</v>
      </c>
      <c r="VE59" s="476" t="s">
        <v>721</v>
      </c>
      <c r="VF59" s="476" t="s">
        <v>721</v>
      </c>
      <c r="VG59" s="476" t="s">
        <v>721</v>
      </c>
      <c r="VH59" s="476" t="s">
        <v>721</v>
      </c>
      <c r="VI59" s="476">
        <v>1.0999999999999999E-2</v>
      </c>
      <c r="VJ59" s="476" t="s">
        <v>721</v>
      </c>
      <c r="VK59" s="476" t="s">
        <v>721</v>
      </c>
      <c r="VL59" s="476" t="s">
        <v>721</v>
      </c>
      <c r="VM59" s="476">
        <v>1.2E-2</v>
      </c>
      <c r="VN59" s="476">
        <v>2.3E-2</v>
      </c>
      <c r="VO59" s="28"/>
      <c r="VP59" s="28"/>
      <c r="VQ59" s="28"/>
      <c r="VR59" s="28"/>
      <c r="VS59" s="28"/>
      <c r="VT59" s="28"/>
      <c r="VU59" s="28"/>
      <c r="VV59" s="28"/>
      <c r="VW59" s="28"/>
      <c r="VX59" s="28"/>
      <c r="VY59" s="28"/>
      <c r="VZ59" s="28"/>
      <c r="WA59" s="28"/>
      <c r="WB59" s="28"/>
      <c r="WC59" s="28"/>
      <c r="WD59" s="28"/>
      <c r="WE59" s="28"/>
      <c r="WF59" s="28"/>
      <c r="WG59" s="28"/>
      <c r="WH59" s="28"/>
      <c r="WI59" s="28"/>
      <c r="WJ59" s="28"/>
      <c r="WK59" s="28"/>
      <c r="WL59" s="28"/>
      <c r="WM59" s="28"/>
      <c r="WN59" s="28"/>
      <c r="WO59" s="28"/>
      <c r="WP59" s="28"/>
      <c r="WQ59" s="28"/>
      <c r="WR59" s="28"/>
      <c r="WS59" s="28"/>
      <c r="WT59" s="28"/>
      <c r="WU59" s="28"/>
      <c r="WV59" s="28"/>
      <c r="WW59" s="28"/>
    </row>
    <row r="60" spans="1:621" s="151" customFormat="1" ht="15.75" customHeight="1" x14ac:dyDescent="0.35">
      <c r="A60" s="477" t="s">
        <v>64</v>
      </c>
      <c r="B60" s="492" t="s">
        <v>17</v>
      </c>
      <c r="C60" s="493">
        <v>16.25</v>
      </c>
      <c r="D60" s="494">
        <v>3287</v>
      </c>
      <c r="E60" s="473">
        <v>404504.6</v>
      </c>
      <c r="F60" s="473">
        <v>123.1</v>
      </c>
      <c r="G60" s="474">
        <v>3283</v>
      </c>
      <c r="H60" s="474">
        <v>3183</v>
      </c>
      <c r="I60" s="474">
        <v>2551</v>
      </c>
      <c r="J60" s="474">
        <v>1926</v>
      </c>
      <c r="K60" s="474">
        <v>1087</v>
      </c>
      <c r="L60" s="473">
        <v>194260.5</v>
      </c>
      <c r="M60" s="474">
        <v>2179</v>
      </c>
      <c r="N60" s="473">
        <v>210244.1</v>
      </c>
      <c r="O60" s="494">
        <v>529</v>
      </c>
      <c r="P60" s="495">
        <v>91534.7</v>
      </c>
      <c r="Q60" s="494">
        <v>699</v>
      </c>
      <c r="R60" s="495">
        <v>14731.5</v>
      </c>
      <c r="S60" s="494">
        <v>873</v>
      </c>
      <c r="T60" s="495">
        <v>98790.8</v>
      </c>
      <c r="U60" s="494">
        <v>34</v>
      </c>
      <c r="V60" s="495">
        <v>4406.5</v>
      </c>
      <c r="W60" s="494">
        <v>2380</v>
      </c>
      <c r="X60" s="495">
        <v>301307.3</v>
      </c>
      <c r="Y60" s="494">
        <v>3191</v>
      </c>
      <c r="Z60" s="494">
        <v>1572</v>
      </c>
      <c r="AA60" s="494">
        <v>1988</v>
      </c>
      <c r="AB60" s="494">
        <v>1302</v>
      </c>
      <c r="AC60" s="494">
        <v>135</v>
      </c>
      <c r="AD60" s="494">
        <v>635</v>
      </c>
      <c r="AE60" s="494">
        <v>1494</v>
      </c>
      <c r="AF60" s="495">
        <v>101322.8</v>
      </c>
      <c r="AG60" s="494">
        <v>1620</v>
      </c>
      <c r="AH60" s="495">
        <v>291555.59999999998</v>
      </c>
      <c r="AI60" s="494">
        <v>76</v>
      </c>
      <c r="AJ60" s="495">
        <v>3343.7</v>
      </c>
      <c r="AK60" s="494">
        <v>76</v>
      </c>
      <c r="AL60" s="495">
        <v>8282.5</v>
      </c>
      <c r="AM60" s="496">
        <v>1931</v>
      </c>
      <c r="AN60" s="496">
        <v>1356</v>
      </c>
      <c r="AO60" s="496">
        <v>1511</v>
      </c>
      <c r="AP60" s="496">
        <v>953</v>
      </c>
      <c r="AQ60" s="496">
        <v>211</v>
      </c>
      <c r="AR60" s="496">
        <v>126</v>
      </c>
      <c r="AS60" s="496">
        <v>19</v>
      </c>
      <c r="AT60" s="496">
        <v>37</v>
      </c>
      <c r="AU60" s="496">
        <v>32</v>
      </c>
      <c r="AV60" s="496" t="s">
        <v>721</v>
      </c>
      <c r="AW60" s="496">
        <v>46</v>
      </c>
      <c r="AX60" s="496">
        <v>14</v>
      </c>
      <c r="AY60" s="496" t="s">
        <v>721</v>
      </c>
      <c r="AZ60" s="496" t="s">
        <v>721</v>
      </c>
      <c r="BA60" s="496" t="s">
        <v>721</v>
      </c>
      <c r="BB60" s="496">
        <v>199</v>
      </c>
      <c r="BC60" s="496" t="s">
        <v>721</v>
      </c>
      <c r="BD60" s="496" t="s">
        <v>721</v>
      </c>
      <c r="BE60" s="496">
        <v>15</v>
      </c>
      <c r="BF60" s="496">
        <v>11</v>
      </c>
      <c r="BG60" s="496">
        <v>107</v>
      </c>
      <c r="BH60" s="496" t="s">
        <v>721</v>
      </c>
      <c r="BI60" s="496">
        <v>513</v>
      </c>
      <c r="BJ60" s="496">
        <v>23</v>
      </c>
      <c r="BK60" s="496" t="s">
        <v>721</v>
      </c>
      <c r="BL60" s="496" t="s">
        <v>721</v>
      </c>
      <c r="BM60" s="496" t="s">
        <v>721</v>
      </c>
      <c r="BN60" s="496">
        <v>161</v>
      </c>
      <c r="BO60" s="496">
        <v>2039</v>
      </c>
      <c r="BP60" s="496" t="s">
        <v>721</v>
      </c>
      <c r="BQ60" s="496" t="s">
        <v>721</v>
      </c>
      <c r="BR60" s="496">
        <v>40</v>
      </c>
      <c r="BS60" s="496" t="s">
        <v>721</v>
      </c>
      <c r="BT60" s="496" t="s">
        <v>721</v>
      </c>
      <c r="BU60" s="496" t="s">
        <v>721</v>
      </c>
      <c r="BV60" s="496" t="s">
        <v>721</v>
      </c>
      <c r="BW60" s="496">
        <v>15</v>
      </c>
      <c r="BX60" s="496" t="s">
        <v>721</v>
      </c>
      <c r="BY60" s="496" t="s">
        <v>721</v>
      </c>
      <c r="BZ60" s="496" t="s">
        <v>721</v>
      </c>
      <c r="CA60" s="496" t="s">
        <v>721</v>
      </c>
      <c r="CB60" s="496" t="s">
        <v>721</v>
      </c>
      <c r="CC60" s="496" t="s">
        <v>721</v>
      </c>
      <c r="CD60" s="496">
        <v>358</v>
      </c>
      <c r="CE60" s="496" t="s">
        <v>721</v>
      </c>
      <c r="CF60" s="496" t="s">
        <v>721</v>
      </c>
      <c r="CG60" s="496" t="s">
        <v>721</v>
      </c>
      <c r="CH60" s="496" t="s">
        <v>721</v>
      </c>
      <c r="CI60" s="496" t="s">
        <v>721</v>
      </c>
      <c r="CJ60" s="496">
        <v>27</v>
      </c>
      <c r="CK60" s="496">
        <v>11</v>
      </c>
      <c r="CL60" s="496" t="s">
        <v>721</v>
      </c>
      <c r="CM60" s="496">
        <v>25</v>
      </c>
      <c r="CN60" s="496" t="s">
        <v>721</v>
      </c>
      <c r="CO60" s="496" t="s">
        <v>721</v>
      </c>
      <c r="CP60" s="496">
        <v>331</v>
      </c>
      <c r="CQ60" s="496">
        <v>14</v>
      </c>
      <c r="CR60" s="496" t="s">
        <v>721</v>
      </c>
      <c r="CS60" s="496" t="s">
        <v>721</v>
      </c>
      <c r="CT60" s="496" t="s">
        <v>721</v>
      </c>
      <c r="CU60" s="496">
        <v>75</v>
      </c>
      <c r="CV60" s="496">
        <v>2365</v>
      </c>
      <c r="CW60" s="496">
        <v>102</v>
      </c>
      <c r="CX60" s="496" t="s">
        <v>721</v>
      </c>
      <c r="CY60" s="496">
        <v>22</v>
      </c>
      <c r="CZ60" s="496" t="s">
        <v>721</v>
      </c>
      <c r="DA60" s="496" t="s">
        <v>721</v>
      </c>
      <c r="DB60" s="496" t="s">
        <v>721</v>
      </c>
      <c r="DC60" s="496" t="s">
        <v>721</v>
      </c>
      <c r="DD60" s="496" t="s">
        <v>721</v>
      </c>
      <c r="DE60" s="496" t="s">
        <v>721</v>
      </c>
      <c r="DF60" s="496" t="s">
        <v>721</v>
      </c>
      <c r="DG60" s="496" t="s">
        <v>721</v>
      </c>
      <c r="DH60" s="496" t="s">
        <v>721</v>
      </c>
      <c r="DI60" s="496" t="s">
        <v>721</v>
      </c>
      <c r="DJ60" s="496" t="s">
        <v>721</v>
      </c>
      <c r="DK60" s="496">
        <v>229</v>
      </c>
      <c r="DL60" s="496" t="s">
        <v>721</v>
      </c>
      <c r="DM60" s="496" t="s">
        <v>721</v>
      </c>
      <c r="DN60" s="496" t="s">
        <v>721</v>
      </c>
      <c r="DO60" s="496" t="s">
        <v>721</v>
      </c>
      <c r="DP60" s="496" t="s">
        <v>721</v>
      </c>
      <c r="DQ60" s="496">
        <v>18</v>
      </c>
      <c r="DR60" s="496" t="s">
        <v>721</v>
      </c>
      <c r="DS60" s="483" t="s">
        <v>721</v>
      </c>
      <c r="DT60" s="483" t="s">
        <v>721</v>
      </c>
      <c r="DU60" s="483" t="s">
        <v>721</v>
      </c>
      <c r="DV60" s="496">
        <v>369</v>
      </c>
      <c r="DW60" s="497">
        <v>65128.7</v>
      </c>
      <c r="DX60" s="496">
        <v>536</v>
      </c>
      <c r="DY60" s="497">
        <v>86037</v>
      </c>
      <c r="DZ60" s="496">
        <v>762</v>
      </c>
      <c r="EA60" s="497">
        <v>76642.2</v>
      </c>
      <c r="EB60" s="496">
        <v>642</v>
      </c>
      <c r="EC60" s="497">
        <v>62135.3</v>
      </c>
      <c r="ED60" s="496">
        <v>575</v>
      </c>
      <c r="EE60" s="497">
        <v>61460.5</v>
      </c>
      <c r="EF60" s="496">
        <v>403</v>
      </c>
      <c r="EG60" s="497">
        <v>53100.9</v>
      </c>
      <c r="EH60" s="485">
        <v>2690</v>
      </c>
      <c r="EI60" s="486">
        <v>8565</v>
      </c>
      <c r="EJ60" s="485">
        <v>2699</v>
      </c>
      <c r="EK60" s="486">
        <v>63690.9</v>
      </c>
      <c r="EL60" s="485">
        <v>2652</v>
      </c>
      <c r="EM60" s="486">
        <v>26915.4</v>
      </c>
      <c r="EN60" s="485">
        <v>2796</v>
      </c>
      <c r="EO60" s="486">
        <v>14373.1</v>
      </c>
      <c r="EP60" s="485">
        <v>2680</v>
      </c>
      <c r="EQ60" s="486">
        <v>9099.4</v>
      </c>
      <c r="ER60" s="485">
        <v>2671</v>
      </c>
      <c r="ES60" s="486">
        <v>5680.4</v>
      </c>
      <c r="ET60" s="485">
        <v>1</v>
      </c>
      <c r="EU60" s="485">
        <v>2143</v>
      </c>
      <c r="EV60" s="486">
        <v>31295.5</v>
      </c>
      <c r="EW60" s="485">
        <v>396</v>
      </c>
      <c r="EX60" s="486">
        <v>1458.3</v>
      </c>
      <c r="EY60" s="485">
        <v>1210</v>
      </c>
      <c r="EZ60" s="486">
        <v>12779.1</v>
      </c>
      <c r="FA60" s="485">
        <v>443</v>
      </c>
      <c r="FB60" s="486">
        <v>4256.8</v>
      </c>
      <c r="FC60" s="485">
        <v>2765</v>
      </c>
      <c r="FD60" s="486">
        <v>33603.300000000003</v>
      </c>
      <c r="FE60" s="485">
        <v>2753</v>
      </c>
      <c r="FF60" s="486">
        <v>21794.799999999999</v>
      </c>
      <c r="FG60" s="485">
        <v>1657</v>
      </c>
      <c r="FH60" s="486">
        <v>15079</v>
      </c>
      <c r="FI60" s="485">
        <v>2104</v>
      </c>
      <c r="FJ60" s="486">
        <v>13245.3</v>
      </c>
      <c r="FK60" s="485">
        <v>2234</v>
      </c>
      <c r="FL60" s="486">
        <v>6295.7</v>
      </c>
      <c r="FM60" s="485">
        <v>152</v>
      </c>
      <c r="FN60" s="486">
        <v>324.3</v>
      </c>
      <c r="FO60" s="485">
        <v>2456</v>
      </c>
      <c r="FP60" s="486">
        <v>18689.8</v>
      </c>
      <c r="FQ60" s="485">
        <v>2621</v>
      </c>
      <c r="FR60" s="486">
        <v>10238.4</v>
      </c>
      <c r="FS60" s="485">
        <v>128</v>
      </c>
      <c r="FT60" s="486">
        <v>975.6</v>
      </c>
      <c r="FU60" s="485">
        <v>0</v>
      </c>
      <c r="FV60" s="486">
        <v>0</v>
      </c>
      <c r="FW60" s="485">
        <v>0</v>
      </c>
      <c r="FX60" s="486">
        <v>0</v>
      </c>
      <c r="FY60" s="485">
        <v>0</v>
      </c>
      <c r="FZ60" s="486">
        <v>0</v>
      </c>
      <c r="GA60" s="485">
        <v>0</v>
      </c>
      <c r="GB60" s="485">
        <v>0</v>
      </c>
      <c r="GC60" s="487">
        <v>0</v>
      </c>
      <c r="GD60" s="488">
        <v>12</v>
      </c>
      <c r="GE60" s="488">
        <v>292</v>
      </c>
      <c r="GF60" s="488">
        <v>1972</v>
      </c>
      <c r="GG60" s="488">
        <v>2</v>
      </c>
      <c r="GH60" s="488">
        <v>1</v>
      </c>
      <c r="GI60" s="488">
        <v>0</v>
      </c>
      <c r="GJ60" s="488">
        <v>0</v>
      </c>
      <c r="GK60" s="488">
        <v>780</v>
      </c>
      <c r="GL60" s="488">
        <v>1493</v>
      </c>
      <c r="GM60" s="488">
        <v>2276</v>
      </c>
      <c r="GN60" s="488">
        <v>884</v>
      </c>
      <c r="GO60" s="488">
        <v>101</v>
      </c>
      <c r="GP60" s="488">
        <v>5</v>
      </c>
      <c r="GQ60" s="488">
        <v>35</v>
      </c>
      <c r="GR60" s="488">
        <v>1</v>
      </c>
      <c r="GS60" s="488">
        <v>41</v>
      </c>
      <c r="GT60" s="489">
        <v>2099</v>
      </c>
      <c r="GU60" s="488">
        <v>3</v>
      </c>
      <c r="GV60" s="490">
        <v>0</v>
      </c>
      <c r="GW60" s="490">
        <v>5</v>
      </c>
      <c r="GX60" s="490">
        <v>8</v>
      </c>
      <c r="GY60" s="491">
        <v>6</v>
      </c>
      <c r="GZ60" s="491">
        <v>8</v>
      </c>
      <c r="HA60" s="491">
        <v>14</v>
      </c>
      <c r="HB60" s="475">
        <v>1</v>
      </c>
      <c r="HC60" s="475">
        <v>1</v>
      </c>
      <c r="HD60" s="475">
        <v>0</v>
      </c>
      <c r="HE60" s="475">
        <v>0</v>
      </c>
      <c r="HF60" s="475">
        <v>0</v>
      </c>
      <c r="HG60" s="475">
        <v>0</v>
      </c>
      <c r="HH60" s="475">
        <v>4</v>
      </c>
      <c r="HI60" s="475">
        <v>0</v>
      </c>
      <c r="HJ60" s="475">
        <v>0</v>
      </c>
      <c r="HK60" s="475">
        <v>0</v>
      </c>
      <c r="HL60" s="475">
        <v>0</v>
      </c>
      <c r="HM60" s="475">
        <v>0</v>
      </c>
      <c r="HN60" s="475">
        <v>0</v>
      </c>
      <c r="HO60" s="475">
        <v>1</v>
      </c>
      <c r="HP60" s="475">
        <v>0</v>
      </c>
      <c r="HQ60" s="475">
        <v>1</v>
      </c>
      <c r="HR60" s="475">
        <v>11</v>
      </c>
      <c r="HS60" s="475">
        <v>0</v>
      </c>
      <c r="HT60" s="475">
        <v>0</v>
      </c>
      <c r="HU60" s="475">
        <v>0</v>
      </c>
      <c r="HV60" s="475">
        <v>0</v>
      </c>
      <c r="HW60" s="475">
        <v>0</v>
      </c>
      <c r="HX60" s="475">
        <v>0</v>
      </c>
      <c r="HY60" s="475">
        <v>0</v>
      </c>
      <c r="HZ60" s="475">
        <v>39</v>
      </c>
      <c r="IA60" s="475">
        <v>26</v>
      </c>
      <c r="IB60" s="475" t="s">
        <v>721</v>
      </c>
      <c r="IC60" s="475" t="s">
        <v>721</v>
      </c>
      <c r="ID60" s="475" t="s">
        <v>721</v>
      </c>
      <c r="IE60" s="475" t="s">
        <v>721</v>
      </c>
      <c r="IF60" s="475" t="s">
        <v>721</v>
      </c>
      <c r="IG60" s="475" t="s">
        <v>721</v>
      </c>
      <c r="IH60" s="475" t="s">
        <v>721</v>
      </c>
      <c r="II60" s="475" t="s">
        <v>721</v>
      </c>
      <c r="IJ60" s="475" t="s">
        <v>721</v>
      </c>
      <c r="IK60" s="475" t="s">
        <v>721</v>
      </c>
      <c r="IL60" s="475" t="s">
        <v>721</v>
      </c>
      <c r="IM60" s="475" t="s">
        <v>721</v>
      </c>
      <c r="IN60" s="475" t="s">
        <v>721</v>
      </c>
      <c r="IO60" s="475" t="s">
        <v>721</v>
      </c>
      <c r="IP60" s="475" t="s">
        <v>721</v>
      </c>
      <c r="IQ60" s="475" t="s">
        <v>721</v>
      </c>
      <c r="IR60" s="475" t="s">
        <v>721</v>
      </c>
      <c r="IS60" s="475">
        <v>19</v>
      </c>
      <c r="IT60" s="475" t="s">
        <v>721</v>
      </c>
      <c r="IU60" s="475" t="s">
        <v>721</v>
      </c>
      <c r="IV60" s="475" t="s">
        <v>721</v>
      </c>
      <c r="IW60" s="475" t="s">
        <v>721</v>
      </c>
      <c r="IX60" s="475" t="s">
        <v>721</v>
      </c>
      <c r="IY60" s="475" t="s">
        <v>721</v>
      </c>
      <c r="IZ60" s="475" t="s">
        <v>721</v>
      </c>
      <c r="JA60" s="475" t="s">
        <v>721</v>
      </c>
      <c r="JB60" s="475" t="s">
        <v>721</v>
      </c>
      <c r="JC60" s="475" t="s">
        <v>721</v>
      </c>
      <c r="JD60" s="475" t="s">
        <v>721</v>
      </c>
      <c r="JE60" s="475" t="s">
        <v>721</v>
      </c>
      <c r="JF60" s="475" t="s">
        <v>721</v>
      </c>
      <c r="JG60" s="475" t="s">
        <v>721</v>
      </c>
      <c r="JH60" s="475" t="s">
        <v>721</v>
      </c>
      <c r="JI60" s="475" t="s">
        <v>721</v>
      </c>
      <c r="JJ60" s="475" t="s">
        <v>721</v>
      </c>
      <c r="JK60" s="475" t="s">
        <v>721</v>
      </c>
      <c r="JL60" s="755">
        <v>183533.1</v>
      </c>
      <c r="JM60" s="755">
        <v>121396.2</v>
      </c>
      <c r="JN60" s="755">
        <v>24418.3</v>
      </c>
      <c r="JO60" s="755">
        <v>15473.1</v>
      </c>
      <c r="JP60" s="755">
        <v>2021.7</v>
      </c>
      <c r="JQ60" s="755">
        <v>5050.7</v>
      </c>
      <c r="JR60" s="755">
        <v>4187.8999999999996</v>
      </c>
      <c r="JS60" s="755" t="s">
        <v>721</v>
      </c>
      <c r="JT60" s="755">
        <v>4678.8</v>
      </c>
      <c r="JU60" s="755">
        <v>1323.1</v>
      </c>
      <c r="JV60" s="755">
        <v>283</v>
      </c>
      <c r="JW60" s="755">
        <v>763.6</v>
      </c>
      <c r="JX60" s="755" t="s">
        <v>721</v>
      </c>
      <c r="JY60" s="755">
        <v>23360.9</v>
      </c>
      <c r="JZ60" s="755" t="s">
        <v>721</v>
      </c>
      <c r="KA60" s="755" t="s">
        <v>721</v>
      </c>
      <c r="KB60" s="755">
        <v>1768.6</v>
      </c>
      <c r="KC60" s="755">
        <v>1611.5</v>
      </c>
      <c r="KD60" s="755">
        <v>14634.1</v>
      </c>
      <c r="KE60" s="475">
        <v>230</v>
      </c>
      <c r="KF60" s="475">
        <v>176</v>
      </c>
      <c r="KG60" s="475">
        <v>25</v>
      </c>
      <c r="KH60" s="475">
        <v>21</v>
      </c>
      <c r="KI60" s="475" t="s">
        <v>721</v>
      </c>
      <c r="KJ60" s="475" t="s">
        <v>721</v>
      </c>
      <c r="KK60" s="475" t="s">
        <v>721</v>
      </c>
      <c r="KL60" s="475" t="s">
        <v>721</v>
      </c>
      <c r="KM60" s="475" t="s">
        <v>721</v>
      </c>
      <c r="KN60" s="475" t="s">
        <v>721</v>
      </c>
      <c r="KO60" s="475" t="s">
        <v>721</v>
      </c>
      <c r="KP60" s="475" t="s">
        <v>721</v>
      </c>
      <c r="KQ60" s="475" t="s">
        <v>721</v>
      </c>
      <c r="KR60" s="475">
        <v>23</v>
      </c>
      <c r="KS60" s="475" t="s">
        <v>721</v>
      </c>
      <c r="KT60" s="475" t="s">
        <v>721</v>
      </c>
      <c r="KU60" s="475" t="s">
        <v>721</v>
      </c>
      <c r="KV60" s="475" t="s">
        <v>721</v>
      </c>
      <c r="KW60" s="475">
        <v>28</v>
      </c>
      <c r="KX60" s="475">
        <v>280</v>
      </c>
      <c r="KY60" s="475">
        <v>249</v>
      </c>
      <c r="KZ60" s="475">
        <v>32</v>
      </c>
      <c r="LA60" s="475">
        <v>40</v>
      </c>
      <c r="LB60" s="475" t="s">
        <v>721</v>
      </c>
      <c r="LC60" s="475" t="s">
        <v>721</v>
      </c>
      <c r="LD60" s="475" t="s">
        <v>721</v>
      </c>
      <c r="LE60" s="475" t="s">
        <v>721</v>
      </c>
      <c r="LF60" s="475">
        <v>12</v>
      </c>
      <c r="LG60" s="475" t="s">
        <v>721</v>
      </c>
      <c r="LH60" s="475" t="s">
        <v>721</v>
      </c>
      <c r="LI60" s="475" t="s">
        <v>721</v>
      </c>
      <c r="LJ60" s="475" t="s">
        <v>721</v>
      </c>
      <c r="LK60" s="475">
        <v>46</v>
      </c>
      <c r="LL60" s="475" t="s">
        <v>721</v>
      </c>
      <c r="LM60" s="475" t="s">
        <v>721</v>
      </c>
      <c r="LN60" s="475" t="s">
        <v>721</v>
      </c>
      <c r="LO60" s="475" t="s">
        <v>721</v>
      </c>
      <c r="LP60" s="475">
        <v>17</v>
      </c>
      <c r="LQ60" s="475">
        <v>1013</v>
      </c>
      <c r="LR60" s="475">
        <v>624</v>
      </c>
      <c r="LS60" s="475">
        <v>153</v>
      </c>
      <c r="LT60" s="475">
        <v>82</v>
      </c>
      <c r="LU60" s="475">
        <v>13</v>
      </c>
      <c r="LV60" s="475">
        <v>22</v>
      </c>
      <c r="LW60" s="475">
        <v>23</v>
      </c>
      <c r="LX60" s="475" t="s">
        <v>721</v>
      </c>
      <c r="LY60" s="475">
        <v>31</v>
      </c>
      <c r="LZ60" s="475" t="s">
        <v>721</v>
      </c>
      <c r="MA60" s="475" t="s">
        <v>721</v>
      </c>
      <c r="MB60" s="475" t="s">
        <v>721</v>
      </c>
      <c r="MC60" s="475" t="s">
        <v>721</v>
      </c>
      <c r="MD60" s="475">
        <v>117</v>
      </c>
      <c r="ME60" s="475" t="s">
        <v>721</v>
      </c>
      <c r="MF60" s="475" t="s">
        <v>721</v>
      </c>
      <c r="MG60" s="475" t="s">
        <v>721</v>
      </c>
      <c r="MH60" s="475" t="s">
        <v>721</v>
      </c>
      <c r="MI60" s="475">
        <v>71</v>
      </c>
      <c r="MJ60" s="475">
        <v>488</v>
      </c>
      <c r="MK60" s="475">
        <v>321</v>
      </c>
      <c r="ML60" s="475">
        <v>58</v>
      </c>
      <c r="MM60" s="475">
        <v>44</v>
      </c>
      <c r="MN60" s="475" t="s">
        <v>721</v>
      </c>
      <c r="MO60" s="475">
        <v>15</v>
      </c>
      <c r="MP60" s="475" t="s">
        <v>721</v>
      </c>
      <c r="MQ60" s="475" t="s">
        <v>721</v>
      </c>
      <c r="MR60" s="475">
        <v>14</v>
      </c>
      <c r="MS60" s="475" t="s">
        <v>721</v>
      </c>
      <c r="MT60" s="475" t="s">
        <v>721</v>
      </c>
      <c r="MU60" s="475" t="s">
        <v>721</v>
      </c>
      <c r="MV60" s="475" t="s">
        <v>721</v>
      </c>
      <c r="MW60" s="475">
        <v>82</v>
      </c>
      <c r="MX60" s="475" t="s">
        <v>721</v>
      </c>
      <c r="MY60" s="475" t="s">
        <v>721</v>
      </c>
      <c r="MZ60" s="475" t="s">
        <v>721</v>
      </c>
      <c r="NA60" s="475" t="s">
        <v>721</v>
      </c>
      <c r="NB60" s="475">
        <v>35</v>
      </c>
      <c r="NC60" s="476">
        <v>0.58699999999999997</v>
      </c>
      <c r="ND60" s="476">
        <v>0.41299999999999998</v>
      </c>
      <c r="NE60" s="476">
        <v>0.46</v>
      </c>
      <c r="NF60" s="476">
        <v>0.28999999999999998</v>
      </c>
      <c r="NG60" s="476">
        <v>6.4000000000000001E-2</v>
      </c>
      <c r="NH60" s="476">
        <v>3.7999999999999999E-2</v>
      </c>
      <c r="NI60" s="476">
        <v>6.0000000000000001E-3</v>
      </c>
      <c r="NJ60" s="476">
        <v>1.0999999999999999E-2</v>
      </c>
      <c r="NK60" s="476">
        <v>0.01</v>
      </c>
      <c r="NL60" s="476" t="s">
        <v>721</v>
      </c>
      <c r="NM60" s="476">
        <v>1.4E-2</v>
      </c>
      <c r="NN60" s="476">
        <v>4.0000000000000001E-3</v>
      </c>
      <c r="NO60" s="476" t="s">
        <v>721</v>
      </c>
      <c r="NP60" s="476" t="s">
        <v>721</v>
      </c>
      <c r="NQ60" s="476" t="s">
        <v>721</v>
      </c>
      <c r="NR60" s="476">
        <v>6.0999999999999999E-2</v>
      </c>
      <c r="NS60" s="476" t="s">
        <v>721</v>
      </c>
      <c r="NT60" s="476" t="s">
        <v>721</v>
      </c>
      <c r="NU60" s="476">
        <v>5.0000000000000001E-3</v>
      </c>
      <c r="NV60" s="476">
        <v>3.0000000000000001E-3</v>
      </c>
      <c r="NW60" s="476">
        <v>3.3000000000000002E-2</v>
      </c>
      <c r="NX60" s="476" t="s">
        <v>721</v>
      </c>
      <c r="NY60" s="476">
        <v>0.156</v>
      </c>
      <c r="NZ60" s="476">
        <v>7.0000000000000001E-3</v>
      </c>
      <c r="OA60" s="476" t="s">
        <v>721</v>
      </c>
      <c r="OB60" s="476" t="s">
        <v>721</v>
      </c>
      <c r="OC60" s="476" t="s">
        <v>721</v>
      </c>
      <c r="OD60" s="476">
        <v>4.9000000000000002E-2</v>
      </c>
      <c r="OE60" s="476">
        <v>0.62</v>
      </c>
      <c r="OF60" s="476" t="s">
        <v>721</v>
      </c>
      <c r="OG60" s="476" t="s">
        <v>721</v>
      </c>
      <c r="OH60" s="476">
        <v>1.2E-2</v>
      </c>
      <c r="OI60" s="476" t="s">
        <v>721</v>
      </c>
      <c r="OJ60" s="476" t="s">
        <v>721</v>
      </c>
      <c r="OK60" s="476" t="s">
        <v>721</v>
      </c>
      <c r="OL60" s="476" t="s">
        <v>721</v>
      </c>
      <c r="OM60" s="476">
        <v>5.0000000000000001E-3</v>
      </c>
      <c r="ON60" s="476" t="s">
        <v>721</v>
      </c>
      <c r="OO60" s="476" t="s">
        <v>721</v>
      </c>
      <c r="OP60" s="476" t="s">
        <v>721</v>
      </c>
      <c r="OQ60" s="476" t="s">
        <v>721</v>
      </c>
      <c r="OR60" s="476" t="s">
        <v>721</v>
      </c>
      <c r="OS60" s="476" t="s">
        <v>721</v>
      </c>
      <c r="OT60" s="476">
        <v>0.109</v>
      </c>
      <c r="OU60" s="476" t="s">
        <v>721</v>
      </c>
      <c r="OV60" s="476" t="s">
        <v>721</v>
      </c>
      <c r="OW60" s="476" t="s">
        <v>721</v>
      </c>
      <c r="OX60" s="476" t="s">
        <v>721</v>
      </c>
      <c r="OY60" s="476" t="s">
        <v>721</v>
      </c>
      <c r="OZ60" s="476">
        <v>8.0000000000000002E-3</v>
      </c>
      <c r="PA60" s="476">
        <v>3.0000000000000001E-3</v>
      </c>
      <c r="PB60" s="476" t="s">
        <v>721</v>
      </c>
      <c r="PC60" s="476">
        <v>8.0000000000000002E-3</v>
      </c>
      <c r="PD60" s="476" t="s">
        <v>721</v>
      </c>
      <c r="PE60" s="476" t="s">
        <v>721</v>
      </c>
      <c r="PF60" s="476">
        <v>0.104</v>
      </c>
      <c r="PG60" s="476">
        <v>4.0000000000000001E-3</v>
      </c>
      <c r="PH60" s="476" t="s">
        <v>721</v>
      </c>
      <c r="PI60" s="476" t="s">
        <v>721</v>
      </c>
      <c r="PJ60" s="476" t="s">
        <v>721</v>
      </c>
      <c r="PK60" s="476">
        <v>2.4E-2</v>
      </c>
      <c r="PL60" s="476">
        <v>0.74099999999999999</v>
      </c>
      <c r="PM60" s="476">
        <v>3.2000000000000001E-2</v>
      </c>
      <c r="PN60" s="476" t="s">
        <v>721</v>
      </c>
      <c r="PO60" s="476">
        <v>7.0000000000000001E-3</v>
      </c>
      <c r="PP60" s="476" t="s">
        <v>721</v>
      </c>
      <c r="PQ60" s="476" t="s">
        <v>721</v>
      </c>
      <c r="PR60" s="476" t="s">
        <v>721</v>
      </c>
      <c r="PS60" s="476" t="s">
        <v>721</v>
      </c>
      <c r="PT60" s="476" t="s">
        <v>721</v>
      </c>
      <c r="PU60" s="476" t="s">
        <v>721</v>
      </c>
      <c r="PV60" s="476" t="s">
        <v>721</v>
      </c>
      <c r="PW60" s="476" t="s">
        <v>721</v>
      </c>
      <c r="PX60" s="476" t="s">
        <v>721</v>
      </c>
      <c r="PY60" s="476" t="s">
        <v>721</v>
      </c>
      <c r="PZ60" s="476" t="s">
        <v>721</v>
      </c>
      <c r="QA60" s="476">
        <v>7.1999999999999995E-2</v>
      </c>
      <c r="QB60" s="476" t="s">
        <v>721</v>
      </c>
      <c r="QC60" s="476" t="s">
        <v>721</v>
      </c>
      <c r="QD60" s="476" t="s">
        <v>721</v>
      </c>
      <c r="QE60" s="476" t="s">
        <v>721</v>
      </c>
      <c r="QF60" s="476" t="s">
        <v>721</v>
      </c>
      <c r="QG60" s="476">
        <v>6.0000000000000001E-3</v>
      </c>
      <c r="QH60" s="476" t="s">
        <v>721</v>
      </c>
      <c r="QI60" s="476" t="s">
        <v>721</v>
      </c>
      <c r="QJ60" s="476" t="s">
        <v>721</v>
      </c>
      <c r="QK60" s="476" t="s">
        <v>721</v>
      </c>
      <c r="QL60" s="476">
        <v>0.38600000000000001</v>
      </c>
      <c r="QM60" s="476">
        <v>0.25700000000000001</v>
      </c>
      <c r="QN60" s="476" t="s">
        <v>721</v>
      </c>
      <c r="QO60" s="476" t="s">
        <v>721</v>
      </c>
      <c r="QP60" s="476" t="s">
        <v>721</v>
      </c>
      <c r="QQ60" s="476" t="s">
        <v>721</v>
      </c>
      <c r="QR60" s="476" t="s">
        <v>721</v>
      </c>
      <c r="QS60" s="476" t="s">
        <v>721</v>
      </c>
      <c r="QT60" s="476" t="s">
        <v>721</v>
      </c>
      <c r="QU60" s="476" t="s">
        <v>721</v>
      </c>
      <c r="QV60" s="476" t="s">
        <v>721</v>
      </c>
      <c r="QW60" s="476" t="s">
        <v>721</v>
      </c>
      <c r="QX60" s="476" t="s">
        <v>721</v>
      </c>
      <c r="QY60" s="476" t="s">
        <v>721</v>
      </c>
      <c r="QZ60" s="476" t="s">
        <v>721</v>
      </c>
      <c r="RA60" s="476" t="s">
        <v>721</v>
      </c>
      <c r="RB60" s="476" t="s">
        <v>721</v>
      </c>
      <c r="RC60" s="476" t="s">
        <v>721</v>
      </c>
      <c r="RD60" s="476" t="s">
        <v>721</v>
      </c>
      <c r="RE60" s="476">
        <v>0.46300000000000002</v>
      </c>
      <c r="RF60" s="476" t="s">
        <v>721</v>
      </c>
      <c r="RG60" s="476" t="s">
        <v>721</v>
      </c>
      <c r="RH60" s="476" t="s">
        <v>721</v>
      </c>
      <c r="RI60" s="476" t="s">
        <v>721</v>
      </c>
      <c r="RJ60" s="476" t="s">
        <v>721</v>
      </c>
      <c r="RK60" s="476" t="s">
        <v>721</v>
      </c>
      <c r="RL60" s="476" t="s">
        <v>721</v>
      </c>
      <c r="RM60" s="476" t="s">
        <v>721</v>
      </c>
      <c r="RN60" s="476" t="s">
        <v>721</v>
      </c>
      <c r="RO60" s="476" t="s">
        <v>721</v>
      </c>
      <c r="RP60" s="476" t="s">
        <v>721</v>
      </c>
      <c r="RQ60" s="476" t="s">
        <v>721</v>
      </c>
      <c r="RR60" s="476" t="s">
        <v>721</v>
      </c>
      <c r="RS60" s="476" t="s">
        <v>721</v>
      </c>
      <c r="RT60" s="476" t="s">
        <v>721</v>
      </c>
      <c r="RU60" s="476" t="s">
        <v>721</v>
      </c>
      <c r="RV60" s="476" t="s">
        <v>721</v>
      </c>
      <c r="RW60" s="476" t="s">
        <v>721</v>
      </c>
      <c r="RX60" s="476">
        <v>0.45400000000000001</v>
      </c>
      <c r="RY60" s="476">
        <v>0.3</v>
      </c>
      <c r="RZ60" s="476">
        <v>0.06</v>
      </c>
      <c r="SA60" s="476">
        <v>3.7999999999999999E-2</v>
      </c>
      <c r="SB60" s="476">
        <v>5.0000000000000001E-3</v>
      </c>
      <c r="SC60" s="476">
        <v>1.2E-2</v>
      </c>
      <c r="SD60" s="476">
        <v>0.01</v>
      </c>
      <c r="SE60" s="476" t="s">
        <v>721</v>
      </c>
      <c r="SF60" s="476">
        <v>1.2E-2</v>
      </c>
      <c r="SG60" s="476">
        <v>3.0000000000000001E-3</v>
      </c>
      <c r="SH60" s="476">
        <v>1E-3</v>
      </c>
      <c r="SI60" s="476">
        <v>2E-3</v>
      </c>
      <c r="SJ60" s="476" t="s">
        <v>721</v>
      </c>
      <c r="SK60" s="476">
        <v>5.8000000000000003E-2</v>
      </c>
      <c r="SL60" s="476" t="s">
        <v>721</v>
      </c>
      <c r="SM60" s="476" t="s">
        <v>721</v>
      </c>
      <c r="SN60" s="476">
        <v>4.0000000000000001E-3</v>
      </c>
      <c r="SO60" s="476">
        <v>4.0000000000000001E-3</v>
      </c>
      <c r="SP60" s="476">
        <v>3.5999999999999997E-2</v>
      </c>
      <c r="SQ60" s="476">
        <v>0.435</v>
      </c>
      <c r="SR60" s="476">
        <v>0.33300000000000002</v>
      </c>
      <c r="SS60" s="476">
        <v>4.7E-2</v>
      </c>
      <c r="ST60" s="476">
        <v>0.04</v>
      </c>
      <c r="SU60" s="476" t="s">
        <v>721</v>
      </c>
      <c r="SV60" s="476" t="s">
        <v>721</v>
      </c>
      <c r="SW60" s="476" t="s">
        <v>721</v>
      </c>
      <c r="SX60" s="476" t="s">
        <v>721</v>
      </c>
      <c r="SY60" s="476" t="s">
        <v>721</v>
      </c>
      <c r="SZ60" s="476" t="s">
        <v>721</v>
      </c>
      <c r="TA60" s="476" t="s">
        <v>721</v>
      </c>
      <c r="TB60" s="476" t="s">
        <v>721</v>
      </c>
      <c r="TC60" s="476" t="s">
        <v>721</v>
      </c>
      <c r="TD60" s="476">
        <v>4.2999999999999997E-2</v>
      </c>
      <c r="TE60" s="476" t="s">
        <v>721</v>
      </c>
      <c r="TF60" s="476" t="s">
        <v>721</v>
      </c>
      <c r="TG60" s="476" t="s">
        <v>721</v>
      </c>
      <c r="TH60" s="476" t="s">
        <v>721</v>
      </c>
      <c r="TI60" s="476">
        <v>5.2999999999999999E-2</v>
      </c>
      <c r="TJ60" s="476">
        <v>0.40100000000000002</v>
      </c>
      <c r="TK60" s="476">
        <v>0.35599999999999998</v>
      </c>
      <c r="TL60" s="476">
        <v>4.5999999999999999E-2</v>
      </c>
      <c r="TM60" s="476">
        <v>5.7000000000000002E-2</v>
      </c>
      <c r="TN60" s="476" t="s">
        <v>721</v>
      </c>
      <c r="TO60" s="476" t="s">
        <v>721</v>
      </c>
      <c r="TP60" s="476" t="s">
        <v>721</v>
      </c>
      <c r="TQ60" s="476" t="s">
        <v>721</v>
      </c>
      <c r="TR60" s="476">
        <v>1.7000000000000001E-2</v>
      </c>
      <c r="TS60" s="476" t="s">
        <v>721</v>
      </c>
      <c r="TT60" s="476" t="s">
        <v>721</v>
      </c>
      <c r="TU60" s="476" t="s">
        <v>721</v>
      </c>
      <c r="TV60" s="476" t="s">
        <v>721</v>
      </c>
      <c r="TW60" s="476">
        <v>6.6000000000000003E-2</v>
      </c>
      <c r="TX60" s="476" t="s">
        <v>721</v>
      </c>
      <c r="TY60" s="476" t="s">
        <v>721</v>
      </c>
      <c r="TZ60" s="476" t="s">
        <v>721</v>
      </c>
      <c r="UA60" s="476" t="s">
        <v>721</v>
      </c>
      <c r="UB60" s="476">
        <v>2.4E-2</v>
      </c>
      <c r="UC60" s="476">
        <v>0.46500000000000002</v>
      </c>
      <c r="UD60" s="476">
        <v>0.28599999999999998</v>
      </c>
      <c r="UE60" s="476">
        <v>7.0000000000000007E-2</v>
      </c>
      <c r="UF60" s="476">
        <v>3.7999999999999999E-2</v>
      </c>
      <c r="UG60" s="476">
        <v>6.0000000000000001E-3</v>
      </c>
      <c r="UH60" s="476">
        <v>0.01</v>
      </c>
      <c r="UI60" s="476">
        <v>1.0999999999999999E-2</v>
      </c>
      <c r="UJ60" s="476" t="s">
        <v>721</v>
      </c>
      <c r="UK60" s="476">
        <v>1.4E-2</v>
      </c>
      <c r="UL60" s="476" t="s">
        <v>721</v>
      </c>
      <c r="UM60" s="476" t="s">
        <v>721</v>
      </c>
      <c r="UN60" s="476" t="s">
        <v>721</v>
      </c>
      <c r="UO60" s="476" t="s">
        <v>721</v>
      </c>
      <c r="UP60" s="476">
        <v>5.3999999999999999E-2</v>
      </c>
      <c r="UQ60" s="476" t="s">
        <v>721</v>
      </c>
      <c r="UR60" s="476" t="s">
        <v>721</v>
      </c>
      <c r="US60" s="476" t="s">
        <v>721</v>
      </c>
      <c r="UT60" s="476" t="s">
        <v>721</v>
      </c>
      <c r="UU60" s="476">
        <v>3.3000000000000002E-2</v>
      </c>
      <c r="UV60" s="476">
        <v>0.44900000000000001</v>
      </c>
      <c r="UW60" s="476">
        <v>0.29499999999999998</v>
      </c>
      <c r="UX60" s="476">
        <v>5.2999999999999999E-2</v>
      </c>
      <c r="UY60" s="476">
        <v>0.04</v>
      </c>
      <c r="UZ60" s="476" t="s">
        <v>721</v>
      </c>
      <c r="VA60" s="476">
        <v>1.4E-2</v>
      </c>
      <c r="VB60" s="476" t="s">
        <v>721</v>
      </c>
      <c r="VC60" s="476" t="s">
        <v>721</v>
      </c>
      <c r="VD60" s="476">
        <v>1.2999999999999999E-2</v>
      </c>
      <c r="VE60" s="476" t="s">
        <v>721</v>
      </c>
      <c r="VF60" s="476" t="s">
        <v>721</v>
      </c>
      <c r="VG60" s="476" t="s">
        <v>721</v>
      </c>
      <c r="VH60" s="476" t="s">
        <v>721</v>
      </c>
      <c r="VI60" s="476">
        <v>7.4999999999999997E-2</v>
      </c>
      <c r="VJ60" s="476" t="s">
        <v>721</v>
      </c>
      <c r="VK60" s="476" t="s">
        <v>721</v>
      </c>
      <c r="VL60" s="476" t="s">
        <v>721</v>
      </c>
      <c r="VM60" s="476" t="s">
        <v>721</v>
      </c>
      <c r="VN60" s="476">
        <v>3.2000000000000001E-2</v>
      </c>
      <c r="VO60" s="28"/>
      <c r="VP60" s="28"/>
      <c r="VQ60" s="28"/>
      <c r="VR60" s="28"/>
      <c r="VS60" s="28"/>
      <c r="VT60" s="28"/>
      <c r="VU60" s="28"/>
      <c r="VV60" s="28"/>
      <c r="VW60" s="28"/>
      <c r="VX60" s="28"/>
      <c r="VY60" s="28"/>
      <c r="VZ60" s="28"/>
      <c r="WA60" s="28"/>
      <c r="WB60" s="28"/>
      <c r="WC60" s="28"/>
      <c r="WD60" s="28"/>
      <c r="WE60" s="28"/>
      <c r="WF60" s="28"/>
      <c r="WG60" s="28"/>
      <c r="WH60" s="28"/>
      <c r="WI60" s="28"/>
      <c r="WJ60" s="28"/>
      <c r="WK60" s="28"/>
      <c r="WL60" s="28"/>
      <c r="WM60" s="28"/>
      <c r="WN60" s="28"/>
      <c r="WO60" s="28"/>
      <c r="WP60" s="28"/>
      <c r="WQ60" s="28"/>
      <c r="WR60" s="28"/>
      <c r="WS60" s="28"/>
      <c r="WT60" s="28"/>
      <c r="WU60" s="28"/>
      <c r="WV60" s="28"/>
      <c r="WW60" s="28"/>
    </row>
    <row r="61" spans="1:621" s="151" customFormat="1" ht="15.75" customHeight="1" thickBot="1" x14ac:dyDescent="0.4">
      <c r="A61" s="498" t="s">
        <v>65</v>
      </c>
      <c r="B61" s="499" t="s">
        <v>17</v>
      </c>
      <c r="C61" s="500">
        <v>16.149999999999999</v>
      </c>
      <c r="D61" s="501">
        <v>1255</v>
      </c>
      <c r="E61" s="502">
        <v>146616.79999999999</v>
      </c>
      <c r="F61" s="502">
        <v>116.8</v>
      </c>
      <c r="G61" s="503">
        <v>1252</v>
      </c>
      <c r="H61" s="503">
        <v>1163</v>
      </c>
      <c r="I61" s="503">
        <v>827</v>
      </c>
      <c r="J61" s="503">
        <v>663</v>
      </c>
      <c r="K61" s="503">
        <v>381</v>
      </c>
      <c r="L61" s="502">
        <v>63130.5</v>
      </c>
      <c r="M61" s="503">
        <v>860</v>
      </c>
      <c r="N61" s="502">
        <v>83486.3</v>
      </c>
      <c r="O61" s="501">
        <v>146</v>
      </c>
      <c r="P61" s="504">
        <v>26900.1</v>
      </c>
      <c r="Q61" s="501">
        <v>173</v>
      </c>
      <c r="R61" s="504">
        <v>6819.5</v>
      </c>
      <c r="S61" s="501">
        <v>301</v>
      </c>
      <c r="T61" s="504">
        <v>29970.400000000001</v>
      </c>
      <c r="U61" s="501">
        <v>18</v>
      </c>
      <c r="V61" s="504">
        <v>2107.9</v>
      </c>
      <c r="W61" s="501">
        <v>936</v>
      </c>
      <c r="X61" s="504">
        <v>114538.5</v>
      </c>
      <c r="Y61" s="501">
        <v>1163</v>
      </c>
      <c r="Z61" s="501">
        <v>654</v>
      </c>
      <c r="AA61" s="501">
        <v>784</v>
      </c>
      <c r="AB61" s="501">
        <v>558</v>
      </c>
      <c r="AC61" s="501">
        <v>57</v>
      </c>
      <c r="AD61" s="501">
        <v>228</v>
      </c>
      <c r="AE61" s="501">
        <v>632</v>
      </c>
      <c r="AF61" s="504">
        <v>46696.1</v>
      </c>
      <c r="AG61" s="501">
        <v>552</v>
      </c>
      <c r="AH61" s="504">
        <v>96037.4</v>
      </c>
      <c r="AI61" s="501">
        <v>43</v>
      </c>
      <c r="AJ61" s="504">
        <v>2249.3000000000002</v>
      </c>
      <c r="AK61" s="501">
        <v>14</v>
      </c>
      <c r="AL61" s="504">
        <v>1634</v>
      </c>
      <c r="AM61" s="505">
        <v>737</v>
      </c>
      <c r="AN61" s="505">
        <v>518</v>
      </c>
      <c r="AO61" s="505">
        <v>731</v>
      </c>
      <c r="AP61" s="505">
        <v>222</v>
      </c>
      <c r="AQ61" s="505">
        <v>80</v>
      </c>
      <c r="AR61" s="505">
        <v>61</v>
      </c>
      <c r="AS61" s="505">
        <v>36</v>
      </c>
      <c r="AT61" s="505" t="s">
        <v>721</v>
      </c>
      <c r="AU61" s="505" t="s">
        <v>721</v>
      </c>
      <c r="AV61" s="505" t="s">
        <v>721</v>
      </c>
      <c r="AW61" s="505" t="s">
        <v>721</v>
      </c>
      <c r="AX61" s="505" t="s">
        <v>721</v>
      </c>
      <c r="AY61" s="505" t="s">
        <v>721</v>
      </c>
      <c r="AZ61" s="505" t="s">
        <v>721</v>
      </c>
      <c r="BA61" s="505" t="s">
        <v>721</v>
      </c>
      <c r="BB61" s="505">
        <v>21</v>
      </c>
      <c r="BC61" s="505" t="s">
        <v>721</v>
      </c>
      <c r="BD61" s="505" t="s">
        <v>721</v>
      </c>
      <c r="BE61" s="505">
        <v>15</v>
      </c>
      <c r="BF61" s="505" t="s">
        <v>721</v>
      </c>
      <c r="BG61" s="505">
        <v>54</v>
      </c>
      <c r="BH61" s="505" t="s">
        <v>721</v>
      </c>
      <c r="BI61" s="505">
        <v>101</v>
      </c>
      <c r="BJ61" s="505" t="s">
        <v>721</v>
      </c>
      <c r="BK61" s="505" t="s">
        <v>721</v>
      </c>
      <c r="BL61" s="505" t="s">
        <v>721</v>
      </c>
      <c r="BM61" s="505" t="s">
        <v>721</v>
      </c>
      <c r="BN61" s="505">
        <v>19</v>
      </c>
      <c r="BO61" s="505">
        <v>1036</v>
      </c>
      <c r="BP61" s="505" t="s">
        <v>721</v>
      </c>
      <c r="BQ61" s="505" t="s">
        <v>721</v>
      </c>
      <c r="BR61" s="505" t="s">
        <v>721</v>
      </c>
      <c r="BS61" s="505" t="s">
        <v>721</v>
      </c>
      <c r="BT61" s="505" t="s">
        <v>721</v>
      </c>
      <c r="BU61" s="505" t="s">
        <v>721</v>
      </c>
      <c r="BV61" s="505" t="s">
        <v>721</v>
      </c>
      <c r="BW61" s="505" t="s">
        <v>721</v>
      </c>
      <c r="BX61" s="505">
        <v>49</v>
      </c>
      <c r="BY61" s="505" t="s">
        <v>721</v>
      </c>
      <c r="BZ61" s="505" t="s">
        <v>721</v>
      </c>
      <c r="CA61" s="505" t="s">
        <v>721</v>
      </c>
      <c r="CB61" s="505" t="s">
        <v>721</v>
      </c>
      <c r="CC61" s="505" t="s">
        <v>721</v>
      </c>
      <c r="CD61" s="505">
        <v>14</v>
      </c>
      <c r="CE61" s="505" t="s">
        <v>721</v>
      </c>
      <c r="CF61" s="505" t="s">
        <v>721</v>
      </c>
      <c r="CG61" s="505" t="s">
        <v>721</v>
      </c>
      <c r="CH61" s="505" t="s">
        <v>721</v>
      </c>
      <c r="CI61" s="505" t="s">
        <v>721</v>
      </c>
      <c r="CJ61" s="505" t="s">
        <v>721</v>
      </c>
      <c r="CK61" s="505" t="s">
        <v>721</v>
      </c>
      <c r="CL61" s="505" t="s">
        <v>721</v>
      </c>
      <c r="CM61" s="505" t="s">
        <v>721</v>
      </c>
      <c r="CN61" s="505" t="s">
        <v>721</v>
      </c>
      <c r="CO61" s="505" t="s">
        <v>721</v>
      </c>
      <c r="CP61" s="505">
        <v>56</v>
      </c>
      <c r="CQ61" s="505" t="s">
        <v>721</v>
      </c>
      <c r="CR61" s="505" t="s">
        <v>721</v>
      </c>
      <c r="CS61" s="505" t="s">
        <v>721</v>
      </c>
      <c r="CT61" s="505" t="s">
        <v>721</v>
      </c>
      <c r="CU61" s="505" t="s">
        <v>721</v>
      </c>
      <c r="CV61" s="505">
        <v>1038</v>
      </c>
      <c r="CW61" s="505">
        <v>27</v>
      </c>
      <c r="CX61" s="505" t="s">
        <v>721</v>
      </c>
      <c r="CY61" s="505" t="s">
        <v>721</v>
      </c>
      <c r="CZ61" s="505" t="s">
        <v>721</v>
      </c>
      <c r="DA61" s="505" t="s">
        <v>721</v>
      </c>
      <c r="DB61" s="505" t="s">
        <v>721</v>
      </c>
      <c r="DC61" s="505" t="s">
        <v>721</v>
      </c>
      <c r="DD61" s="505" t="s">
        <v>721</v>
      </c>
      <c r="DE61" s="505">
        <v>26</v>
      </c>
      <c r="DF61" s="505" t="s">
        <v>721</v>
      </c>
      <c r="DG61" s="505" t="s">
        <v>721</v>
      </c>
      <c r="DH61" s="505" t="s">
        <v>721</v>
      </c>
      <c r="DI61" s="505" t="s">
        <v>721</v>
      </c>
      <c r="DJ61" s="505" t="s">
        <v>721</v>
      </c>
      <c r="DK61" s="505" t="s">
        <v>721</v>
      </c>
      <c r="DL61" s="505" t="s">
        <v>721</v>
      </c>
      <c r="DM61" s="505" t="s">
        <v>721</v>
      </c>
      <c r="DN61" s="505" t="s">
        <v>721</v>
      </c>
      <c r="DO61" s="505" t="s">
        <v>721</v>
      </c>
      <c r="DP61" s="505" t="s">
        <v>721</v>
      </c>
      <c r="DQ61" s="505" t="s">
        <v>721</v>
      </c>
      <c r="DR61" s="505" t="s">
        <v>721</v>
      </c>
      <c r="DS61" s="505" t="s">
        <v>721</v>
      </c>
      <c r="DT61" s="505" t="s">
        <v>721</v>
      </c>
      <c r="DU61" s="505" t="s">
        <v>721</v>
      </c>
      <c r="DV61" s="505">
        <v>128</v>
      </c>
      <c r="DW61" s="506">
        <v>22339.9</v>
      </c>
      <c r="DX61" s="505">
        <v>198</v>
      </c>
      <c r="DY61" s="506">
        <v>29820.5</v>
      </c>
      <c r="DZ61" s="505">
        <v>344</v>
      </c>
      <c r="EA61" s="506">
        <v>35300.800000000003</v>
      </c>
      <c r="EB61" s="505">
        <v>290</v>
      </c>
      <c r="EC61" s="506">
        <v>28511.5</v>
      </c>
      <c r="ED61" s="505">
        <v>213</v>
      </c>
      <c r="EE61" s="506">
        <v>21103.7</v>
      </c>
      <c r="EF61" s="505">
        <v>82</v>
      </c>
      <c r="EG61" s="506">
        <v>9540.4</v>
      </c>
      <c r="EH61" s="507">
        <v>1032</v>
      </c>
      <c r="EI61" s="508">
        <v>3002.5</v>
      </c>
      <c r="EJ61" s="507">
        <v>1031</v>
      </c>
      <c r="EK61" s="508">
        <v>23590.2</v>
      </c>
      <c r="EL61" s="507">
        <v>1024</v>
      </c>
      <c r="EM61" s="508">
        <v>9884.5</v>
      </c>
      <c r="EN61" s="507">
        <v>1080</v>
      </c>
      <c r="EO61" s="508">
        <v>5579</v>
      </c>
      <c r="EP61" s="507">
        <v>1027</v>
      </c>
      <c r="EQ61" s="508">
        <v>3023.1</v>
      </c>
      <c r="ER61" s="507">
        <v>1024</v>
      </c>
      <c r="ES61" s="508">
        <v>1939.7</v>
      </c>
      <c r="ET61" s="507">
        <v>0</v>
      </c>
      <c r="EU61" s="507">
        <v>762</v>
      </c>
      <c r="EV61" s="508">
        <v>11502.9</v>
      </c>
      <c r="EW61" s="507">
        <v>250</v>
      </c>
      <c r="EX61" s="508">
        <v>1442.9</v>
      </c>
      <c r="EY61" s="507">
        <v>233</v>
      </c>
      <c r="EZ61" s="508">
        <v>3189.8</v>
      </c>
      <c r="FA61" s="507">
        <v>249</v>
      </c>
      <c r="FB61" s="508">
        <v>2240.3000000000002</v>
      </c>
      <c r="FC61" s="507">
        <v>1158</v>
      </c>
      <c r="FD61" s="508">
        <v>14458.3</v>
      </c>
      <c r="FE61" s="507">
        <v>1045</v>
      </c>
      <c r="FF61" s="508">
        <v>8428</v>
      </c>
      <c r="FG61" s="507">
        <v>589</v>
      </c>
      <c r="FH61" s="508">
        <v>5632.5</v>
      </c>
      <c r="FI61" s="507">
        <v>662</v>
      </c>
      <c r="FJ61" s="508">
        <v>4143.5</v>
      </c>
      <c r="FK61" s="507">
        <v>855</v>
      </c>
      <c r="FL61" s="508">
        <v>2574.4</v>
      </c>
      <c r="FM61" s="507">
        <v>44</v>
      </c>
      <c r="FN61" s="508">
        <v>104.1</v>
      </c>
      <c r="FO61" s="507">
        <v>1019</v>
      </c>
      <c r="FP61" s="508">
        <v>7706.4</v>
      </c>
      <c r="FQ61" s="507">
        <v>1032</v>
      </c>
      <c r="FR61" s="508">
        <v>4439.6000000000004</v>
      </c>
      <c r="FS61" s="507">
        <v>4</v>
      </c>
      <c r="FT61" s="508">
        <v>17.899999999999999</v>
      </c>
      <c r="FU61" s="507">
        <v>0</v>
      </c>
      <c r="FV61" s="508">
        <v>0</v>
      </c>
      <c r="FW61" s="507">
        <v>0</v>
      </c>
      <c r="FX61" s="508">
        <v>0</v>
      </c>
      <c r="FY61" s="507">
        <v>0</v>
      </c>
      <c r="FZ61" s="508">
        <v>0</v>
      </c>
      <c r="GA61" s="507">
        <v>0</v>
      </c>
      <c r="GB61" s="507">
        <v>0</v>
      </c>
      <c r="GC61" s="509">
        <v>0</v>
      </c>
      <c r="GD61" s="510">
        <v>1</v>
      </c>
      <c r="GE61" s="510">
        <v>22</v>
      </c>
      <c r="GF61" s="510">
        <v>361</v>
      </c>
      <c r="GG61" s="510">
        <v>0</v>
      </c>
      <c r="GH61" s="510">
        <v>0</v>
      </c>
      <c r="GI61" s="510">
        <v>0</v>
      </c>
      <c r="GJ61" s="510">
        <v>0</v>
      </c>
      <c r="GK61" s="510">
        <v>114</v>
      </c>
      <c r="GL61" s="510">
        <v>270</v>
      </c>
      <c r="GM61" s="510">
        <v>384</v>
      </c>
      <c r="GN61" s="510">
        <v>23</v>
      </c>
      <c r="GO61" s="510">
        <v>36</v>
      </c>
      <c r="GP61" s="510">
        <v>8</v>
      </c>
      <c r="GQ61" s="510">
        <v>15</v>
      </c>
      <c r="GR61" s="510">
        <v>0</v>
      </c>
      <c r="GS61" s="510">
        <v>23</v>
      </c>
      <c r="GT61" s="511">
        <v>878</v>
      </c>
      <c r="GU61" s="510">
        <v>1</v>
      </c>
      <c r="GV61" s="512">
        <v>0</v>
      </c>
      <c r="GW61" s="512">
        <v>0</v>
      </c>
      <c r="GX61" s="512">
        <v>1</v>
      </c>
      <c r="GY61" s="513">
        <v>2</v>
      </c>
      <c r="GZ61" s="513">
        <v>3</v>
      </c>
      <c r="HA61" s="513">
        <v>5</v>
      </c>
      <c r="HB61" s="514">
        <v>0</v>
      </c>
      <c r="HC61" s="514">
        <v>0</v>
      </c>
      <c r="HD61" s="514">
        <v>0</v>
      </c>
      <c r="HE61" s="514">
        <v>0</v>
      </c>
      <c r="HF61" s="514">
        <v>0</v>
      </c>
      <c r="HG61" s="514">
        <v>1</v>
      </c>
      <c r="HH61" s="514">
        <v>0</v>
      </c>
      <c r="HI61" s="514">
        <v>0</v>
      </c>
      <c r="HJ61" s="514">
        <v>0</v>
      </c>
      <c r="HK61" s="514">
        <v>0</v>
      </c>
      <c r="HL61" s="514">
        <v>0</v>
      </c>
      <c r="HM61" s="514">
        <v>0</v>
      </c>
      <c r="HN61" s="514">
        <v>0</v>
      </c>
      <c r="HO61" s="514">
        <v>1</v>
      </c>
      <c r="HP61" s="514">
        <v>0</v>
      </c>
      <c r="HQ61" s="514">
        <v>0</v>
      </c>
      <c r="HR61" s="514">
        <v>5</v>
      </c>
      <c r="HS61" s="514">
        <v>0</v>
      </c>
      <c r="HT61" s="514">
        <v>0</v>
      </c>
      <c r="HU61" s="514">
        <v>0</v>
      </c>
      <c r="HV61" s="514">
        <v>0</v>
      </c>
      <c r="HW61" s="514">
        <v>0</v>
      </c>
      <c r="HX61" s="514">
        <v>0</v>
      </c>
      <c r="HY61" s="514">
        <v>0</v>
      </c>
      <c r="HZ61" s="514">
        <v>17</v>
      </c>
      <c r="IA61" s="514" t="s">
        <v>721</v>
      </c>
      <c r="IB61" s="514" t="s">
        <v>721</v>
      </c>
      <c r="IC61" s="514" t="s">
        <v>721</v>
      </c>
      <c r="ID61" s="514" t="s">
        <v>721</v>
      </c>
      <c r="IE61" s="514" t="s">
        <v>721</v>
      </c>
      <c r="IF61" s="514" t="s">
        <v>721</v>
      </c>
      <c r="IG61" s="514" t="s">
        <v>721</v>
      </c>
      <c r="IH61" s="514" t="s">
        <v>721</v>
      </c>
      <c r="II61" s="514" t="s">
        <v>721</v>
      </c>
      <c r="IJ61" s="514" t="s">
        <v>721</v>
      </c>
      <c r="IK61" s="514" t="s">
        <v>721</v>
      </c>
      <c r="IL61" s="514" t="s">
        <v>721</v>
      </c>
      <c r="IM61" s="514" t="s">
        <v>721</v>
      </c>
      <c r="IN61" s="514" t="s">
        <v>721</v>
      </c>
      <c r="IO61" s="514" t="s">
        <v>721</v>
      </c>
      <c r="IP61" s="514" t="s">
        <v>721</v>
      </c>
      <c r="IQ61" s="514" t="s">
        <v>721</v>
      </c>
      <c r="IR61" s="514" t="s">
        <v>721</v>
      </c>
      <c r="IS61" s="514" t="s">
        <v>721</v>
      </c>
      <c r="IT61" s="514" t="s">
        <v>721</v>
      </c>
      <c r="IU61" s="514" t="s">
        <v>721</v>
      </c>
      <c r="IV61" s="514" t="s">
        <v>721</v>
      </c>
      <c r="IW61" s="514" t="s">
        <v>721</v>
      </c>
      <c r="IX61" s="514" t="s">
        <v>721</v>
      </c>
      <c r="IY61" s="514" t="s">
        <v>721</v>
      </c>
      <c r="IZ61" s="514" t="s">
        <v>721</v>
      </c>
      <c r="JA61" s="514" t="s">
        <v>721</v>
      </c>
      <c r="JB61" s="514" t="s">
        <v>721</v>
      </c>
      <c r="JC61" s="514" t="s">
        <v>721</v>
      </c>
      <c r="JD61" s="514" t="s">
        <v>721</v>
      </c>
      <c r="JE61" s="514" t="s">
        <v>721</v>
      </c>
      <c r="JF61" s="514" t="s">
        <v>721</v>
      </c>
      <c r="JG61" s="514" t="s">
        <v>721</v>
      </c>
      <c r="JH61" s="514" t="s">
        <v>721</v>
      </c>
      <c r="JI61" s="514" t="s">
        <v>721</v>
      </c>
      <c r="JJ61" s="514" t="s">
        <v>721</v>
      </c>
      <c r="JK61" s="514" t="s">
        <v>721</v>
      </c>
      <c r="JL61" s="756">
        <v>82971.7</v>
      </c>
      <c r="JM61" s="756">
        <v>27774.9</v>
      </c>
      <c r="JN61" s="756">
        <v>9703.2000000000007</v>
      </c>
      <c r="JO61" s="756">
        <v>7604</v>
      </c>
      <c r="JP61" s="756">
        <v>4120.2</v>
      </c>
      <c r="JQ61" s="756">
        <v>1897.2</v>
      </c>
      <c r="JR61" s="756">
        <v>671.2</v>
      </c>
      <c r="JS61" s="756" t="s">
        <v>721</v>
      </c>
      <c r="JT61" s="756" t="s">
        <v>721</v>
      </c>
      <c r="JU61" s="756">
        <v>972.9</v>
      </c>
      <c r="JV61" s="756" t="s">
        <v>721</v>
      </c>
      <c r="JW61" s="756">
        <v>167.4</v>
      </c>
      <c r="JX61" s="756" t="s">
        <v>721</v>
      </c>
      <c r="JY61" s="756">
        <v>2395.1</v>
      </c>
      <c r="JZ61" s="756" t="s">
        <v>721</v>
      </c>
      <c r="KA61" s="756">
        <v>463.6</v>
      </c>
      <c r="KB61" s="756">
        <v>1466.1</v>
      </c>
      <c r="KC61" s="756">
        <v>707.6</v>
      </c>
      <c r="KD61" s="756">
        <v>5701.7</v>
      </c>
      <c r="KE61" s="514">
        <v>81</v>
      </c>
      <c r="KF61" s="514">
        <v>30</v>
      </c>
      <c r="KG61" s="514">
        <v>11</v>
      </c>
      <c r="KH61" s="514" t="s">
        <v>721</v>
      </c>
      <c r="KI61" s="514" t="s">
        <v>721</v>
      </c>
      <c r="KJ61" s="514" t="s">
        <v>721</v>
      </c>
      <c r="KK61" s="514" t="s">
        <v>721</v>
      </c>
      <c r="KL61" s="514" t="s">
        <v>721</v>
      </c>
      <c r="KM61" s="514" t="s">
        <v>721</v>
      </c>
      <c r="KN61" s="514" t="s">
        <v>721</v>
      </c>
      <c r="KO61" s="514" t="s">
        <v>721</v>
      </c>
      <c r="KP61" s="514" t="s">
        <v>721</v>
      </c>
      <c r="KQ61" s="514" t="s">
        <v>721</v>
      </c>
      <c r="KR61" s="514" t="s">
        <v>721</v>
      </c>
      <c r="KS61" s="514" t="s">
        <v>721</v>
      </c>
      <c r="KT61" s="514" t="s">
        <v>721</v>
      </c>
      <c r="KU61" s="514" t="s">
        <v>721</v>
      </c>
      <c r="KV61" s="514" t="s">
        <v>721</v>
      </c>
      <c r="KW61" s="514" t="s">
        <v>721</v>
      </c>
      <c r="KX61" s="514">
        <v>78</v>
      </c>
      <c r="KY61" s="514">
        <v>35</v>
      </c>
      <c r="KZ61" s="514">
        <v>11</v>
      </c>
      <c r="LA61" s="514">
        <v>17</v>
      </c>
      <c r="LB61" s="514" t="s">
        <v>721</v>
      </c>
      <c r="LC61" s="514" t="s">
        <v>721</v>
      </c>
      <c r="LD61" s="514" t="s">
        <v>721</v>
      </c>
      <c r="LE61" s="514" t="s">
        <v>721</v>
      </c>
      <c r="LF61" s="514" t="s">
        <v>721</v>
      </c>
      <c r="LG61" s="514" t="s">
        <v>721</v>
      </c>
      <c r="LH61" s="514" t="s">
        <v>721</v>
      </c>
      <c r="LI61" s="514" t="s">
        <v>721</v>
      </c>
      <c r="LJ61" s="514" t="s">
        <v>721</v>
      </c>
      <c r="LK61" s="514" t="s">
        <v>721</v>
      </c>
      <c r="LL61" s="514" t="s">
        <v>721</v>
      </c>
      <c r="LM61" s="514" t="s">
        <v>721</v>
      </c>
      <c r="LN61" s="514" t="s">
        <v>721</v>
      </c>
      <c r="LO61" s="514" t="s">
        <v>721</v>
      </c>
      <c r="LP61" s="514">
        <v>17</v>
      </c>
      <c r="LQ61" s="514">
        <v>524</v>
      </c>
      <c r="LR61" s="514">
        <v>142</v>
      </c>
      <c r="LS61" s="514">
        <v>55</v>
      </c>
      <c r="LT61" s="514">
        <v>38</v>
      </c>
      <c r="LU61" s="514">
        <v>23</v>
      </c>
      <c r="LV61" s="514" t="s">
        <v>721</v>
      </c>
      <c r="LW61" s="514" t="s">
        <v>721</v>
      </c>
      <c r="LX61" s="514" t="s">
        <v>721</v>
      </c>
      <c r="LY61" s="514" t="s">
        <v>721</v>
      </c>
      <c r="LZ61" s="514" t="s">
        <v>721</v>
      </c>
      <c r="MA61" s="514" t="s">
        <v>721</v>
      </c>
      <c r="MB61" s="514" t="s">
        <v>721</v>
      </c>
      <c r="MC61" s="514" t="s">
        <v>721</v>
      </c>
      <c r="MD61" s="514">
        <v>11</v>
      </c>
      <c r="ME61" s="514" t="s">
        <v>721</v>
      </c>
      <c r="MF61" s="514" t="s">
        <v>721</v>
      </c>
      <c r="MG61" s="514" t="s">
        <v>721</v>
      </c>
      <c r="MH61" s="514" t="s">
        <v>721</v>
      </c>
      <c r="MI61" s="514">
        <v>38</v>
      </c>
      <c r="MJ61" s="514">
        <v>199</v>
      </c>
      <c r="MK61" s="514">
        <v>78</v>
      </c>
      <c r="ML61" s="514">
        <v>23</v>
      </c>
      <c r="MM61" s="514">
        <v>23</v>
      </c>
      <c r="MN61" s="514">
        <v>12</v>
      </c>
      <c r="MO61" s="514" t="s">
        <v>721</v>
      </c>
      <c r="MP61" s="514" t="s">
        <v>721</v>
      </c>
      <c r="MQ61" s="514" t="s">
        <v>721</v>
      </c>
      <c r="MR61" s="514" t="s">
        <v>721</v>
      </c>
      <c r="MS61" s="514" t="s">
        <v>721</v>
      </c>
      <c r="MT61" s="514" t="s">
        <v>721</v>
      </c>
      <c r="MU61" s="514" t="s">
        <v>721</v>
      </c>
      <c r="MV61" s="514" t="s">
        <v>721</v>
      </c>
      <c r="MW61" s="514" t="s">
        <v>721</v>
      </c>
      <c r="MX61" s="514" t="s">
        <v>721</v>
      </c>
      <c r="MY61" s="514" t="s">
        <v>721</v>
      </c>
      <c r="MZ61" s="514" t="s">
        <v>721</v>
      </c>
      <c r="NA61" s="514" t="s">
        <v>721</v>
      </c>
      <c r="NB61" s="514">
        <v>16</v>
      </c>
      <c r="NC61" s="515">
        <v>0.58699999999999997</v>
      </c>
      <c r="ND61" s="515">
        <v>0.41299999999999998</v>
      </c>
      <c r="NE61" s="515">
        <v>0.58199999999999996</v>
      </c>
      <c r="NF61" s="515">
        <v>0.17699999999999999</v>
      </c>
      <c r="NG61" s="515">
        <v>6.6000000000000003E-2</v>
      </c>
      <c r="NH61" s="515">
        <v>0.05</v>
      </c>
      <c r="NI61" s="515">
        <v>2.9000000000000001E-2</v>
      </c>
      <c r="NJ61" s="515" t="s">
        <v>721</v>
      </c>
      <c r="NK61" s="515" t="s">
        <v>721</v>
      </c>
      <c r="NL61" s="515" t="s">
        <v>721</v>
      </c>
      <c r="NM61" s="515" t="s">
        <v>721</v>
      </c>
      <c r="NN61" s="515" t="s">
        <v>721</v>
      </c>
      <c r="NO61" s="515" t="s">
        <v>721</v>
      </c>
      <c r="NP61" s="515" t="s">
        <v>721</v>
      </c>
      <c r="NQ61" s="515" t="s">
        <v>721</v>
      </c>
      <c r="NR61" s="515">
        <v>1.7000000000000001E-2</v>
      </c>
      <c r="NS61" s="515" t="s">
        <v>721</v>
      </c>
      <c r="NT61" s="515" t="s">
        <v>721</v>
      </c>
      <c r="NU61" s="515">
        <v>1.2E-2</v>
      </c>
      <c r="NV61" s="515" t="s">
        <v>721</v>
      </c>
      <c r="NW61" s="515">
        <v>4.2999999999999997E-2</v>
      </c>
      <c r="NX61" s="515" t="s">
        <v>721</v>
      </c>
      <c r="NY61" s="515">
        <v>0.08</v>
      </c>
      <c r="NZ61" s="515" t="s">
        <v>721</v>
      </c>
      <c r="OA61" s="515" t="s">
        <v>721</v>
      </c>
      <c r="OB61" s="515" t="s">
        <v>721</v>
      </c>
      <c r="OC61" s="515" t="s">
        <v>721</v>
      </c>
      <c r="OD61" s="515">
        <v>1.4999999999999999E-2</v>
      </c>
      <c r="OE61" s="515">
        <v>0.82499999999999996</v>
      </c>
      <c r="OF61" s="515" t="s">
        <v>721</v>
      </c>
      <c r="OG61" s="515" t="s">
        <v>721</v>
      </c>
      <c r="OH61" s="515" t="s">
        <v>721</v>
      </c>
      <c r="OI61" s="515" t="s">
        <v>721</v>
      </c>
      <c r="OJ61" s="515" t="s">
        <v>721</v>
      </c>
      <c r="OK61" s="515" t="s">
        <v>721</v>
      </c>
      <c r="OL61" s="515" t="s">
        <v>721</v>
      </c>
      <c r="OM61" s="515" t="s">
        <v>721</v>
      </c>
      <c r="ON61" s="515">
        <v>3.9E-2</v>
      </c>
      <c r="OO61" s="515" t="s">
        <v>721</v>
      </c>
      <c r="OP61" s="515" t="s">
        <v>721</v>
      </c>
      <c r="OQ61" s="515" t="s">
        <v>721</v>
      </c>
      <c r="OR61" s="515" t="s">
        <v>721</v>
      </c>
      <c r="OS61" s="515" t="s">
        <v>721</v>
      </c>
      <c r="OT61" s="515">
        <v>1.0999999999999999E-2</v>
      </c>
      <c r="OU61" s="515" t="s">
        <v>721</v>
      </c>
      <c r="OV61" s="515" t="s">
        <v>721</v>
      </c>
      <c r="OW61" s="515" t="s">
        <v>721</v>
      </c>
      <c r="OX61" s="515" t="s">
        <v>721</v>
      </c>
      <c r="OY61" s="515" t="s">
        <v>721</v>
      </c>
      <c r="OZ61" s="515" t="s">
        <v>721</v>
      </c>
      <c r="PA61" s="515" t="s">
        <v>721</v>
      </c>
      <c r="PB61" s="476" t="s">
        <v>721</v>
      </c>
      <c r="PC61" s="476" t="s">
        <v>721</v>
      </c>
      <c r="PD61" s="476" t="s">
        <v>721</v>
      </c>
      <c r="PE61" s="515" t="s">
        <v>721</v>
      </c>
      <c r="PF61" s="515">
        <v>4.8000000000000001E-2</v>
      </c>
      <c r="PG61" s="515" t="s">
        <v>721</v>
      </c>
      <c r="PH61" s="515" t="s">
        <v>721</v>
      </c>
      <c r="PI61" s="515" t="s">
        <v>721</v>
      </c>
      <c r="PJ61" s="515" t="s">
        <v>721</v>
      </c>
      <c r="PK61" s="515" t="s">
        <v>721</v>
      </c>
      <c r="PL61" s="515">
        <v>0.89300000000000002</v>
      </c>
      <c r="PM61" s="515">
        <v>2.3E-2</v>
      </c>
      <c r="PN61" s="515" t="s">
        <v>721</v>
      </c>
      <c r="PO61" s="515" t="s">
        <v>721</v>
      </c>
      <c r="PP61" s="515" t="s">
        <v>721</v>
      </c>
      <c r="PQ61" s="515" t="s">
        <v>721</v>
      </c>
      <c r="PR61" s="515" t="s">
        <v>721</v>
      </c>
      <c r="PS61" s="515" t="s">
        <v>721</v>
      </c>
      <c r="PT61" s="515" t="s">
        <v>721</v>
      </c>
      <c r="PU61" s="515">
        <v>2.1999999999999999E-2</v>
      </c>
      <c r="PV61" s="515" t="s">
        <v>721</v>
      </c>
      <c r="PW61" s="515" t="s">
        <v>721</v>
      </c>
      <c r="PX61" s="515" t="s">
        <v>721</v>
      </c>
      <c r="PY61" s="515" t="s">
        <v>721</v>
      </c>
      <c r="PZ61" s="515" t="s">
        <v>721</v>
      </c>
      <c r="QA61" s="515" t="s">
        <v>721</v>
      </c>
      <c r="QB61" s="515" t="s">
        <v>721</v>
      </c>
      <c r="QC61" s="515" t="s">
        <v>721</v>
      </c>
      <c r="QD61" s="515" t="s">
        <v>721</v>
      </c>
      <c r="QE61" s="515" t="s">
        <v>721</v>
      </c>
      <c r="QF61" s="515" t="s">
        <v>721</v>
      </c>
      <c r="QG61" s="515" t="s">
        <v>721</v>
      </c>
      <c r="QH61" s="515" t="s">
        <v>721</v>
      </c>
      <c r="QI61" s="515" t="s">
        <v>721</v>
      </c>
      <c r="QJ61" s="515" t="s">
        <v>721</v>
      </c>
      <c r="QK61" s="515" t="s">
        <v>721</v>
      </c>
      <c r="QL61" s="515">
        <v>0.47199999999999998</v>
      </c>
      <c r="QM61" s="515" t="s">
        <v>721</v>
      </c>
      <c r="QN61" s="515" t="s">
        <v>721</v>
      </c>
      <c r="QO61" s="515" t="s">
        <v>721</v>
      </c>
      <c r="QP61" s="515" t="s">
        <v>721</v>
      </c>
      <c r="QQ61" s="515" t="s">
        <v>721</v>
      </c>
      <c r="QR61" s="515" t="s">
        <v>721</v>
      </c>
      <c r="QS61" s="515" t="s">
        <v>721</v>
      </c>
      <c r="QT61" s="515" t="s">
        <v>721</v>
      </c>
      <c r="QU61" s="515" t="s">
        <v>721</v>
      </c>
      <c r="QV61" s="515" t="s">
        <v>721</v>
      </c>
      <c r="QW61" s="515" t="s">
        <v>721</v>
      </c>
      <c r="QX61" s="515" t="s">
        <v>721</v>
      </c>
      <c r="QY61" s="515" t="s">
        <v>721</v>
      </c>
      <c r="QZ61" s="515" t="s">
        <v>721</v>
      </c>
      <c r="RA61" s="515" t="s">
        <v>721</v>
      </c>
      <c r="RB61" s="515" t="s">
        <v>721</v>
      </c>
      <c r="RC61" s="515" t="s">
        <v>721</v>
      </c>
      <c r="RD61" s="515" t="s">
        <v>721</v>
      </c>
      <c r="RE61" s="515" t="s">
        <v>721</v>
      </c>
      <c r="RF61" s="515" t="s">
        <v>721</v>
      </c>
      <c r="RG61" s="515" t="s">
        <v>721</v>
      </c>
      <c r="RH61" s="515" t="s">
        <v>721</v>
      </c>
      <c r="RI61" s="515" t="s">
        <v>721</v>
      </c>
      <c r="RJ61" s="515" t="s">
        <v>721</v>
      </c>
      <c r="RK61" s="515" t="s">
        <v>721</v>
      </c>
      <c r="RL61" s="515" t="s">
        <v>721</v>
      </c>
      <c r="RM61" s="515" t="s">
        <v>721</v>
      </c>
      <c r="RN61" s="515" t="s">
        <v>721</v>
      </c>
      <c r="RO61" s="515" t="s">
        <v>721</v>
      </c>
      <c r="RP61" s="515" t="s">
        <v>721</v>
      </c>
      <c r="RQ61" s="515" t="s">
        <v>721</v>
      </c>
      <c r="RR61" s="515" t="s">
        <v>721</v>
      </c>
      <c r="RS61" s="515" t="s">
        <v>721</v>
      </c>
      <c r="RT61" s="515" t="s">
        <v>721</v>
      </c>
      <c r="RU61" s="515" t="s">
        <v>721</v>
      </c>
      <c r="RV61" s="515" t="s">
        <v>721</v>
      </c>
      <c r="RW61" s="515" t="s">
        <v>721</v>
      </c>
      <c r="RX61" s="515">
        <v>0.56599999999999995</v>
      </c>
      <c r="RY61" s="515">
        <v>0.189</v>
      </c>
      <c r="RZ61" s="515">
        <v>6.6000000000000003E-2</v>
      </c>
      <c r="SA61" s="515">
        <v>5.1999999999999998E-2</v>
      </c>
      <c r="SB61" s="515">
        <v>2.8000000000000001E-2</v>
      </c>
      <c r="SC61" s="515">
        <v>1.2999999999999999E-2</v>
      </c>
      <c r="SD61" s="515">
        <v>5.0000000000000001E-3</v>
      </c>
      <c r="SE61" s="515" t="s">
        <v>721</v>
      </c>
      <c r="SF61" s="515" t="s">
        <v>721</v>
      </c>
      <c r="SG61" s="515">
        <v>7.0000000000000001E-3</v>
      </c>
      <c r="SH61" s="515" t="s">
        <v>721</v>
      </c>
      <c r="SI61" s="515">
        <v>1E-3</v>
      </c>
      <c r="SJ61" s="515" t="s">
        <v>721</v>
      </c>
      <c r="SK61" s="515">
        <v>1.6E-2</v>
      </c>
      <c r="SL61" s="515" t="s">
        <v>721</v>
      </c>
      <c r="SM61" s="515">
        <v>3.0000000000000001E-3</v>
      </c>
      <c r="SN61" s="515">
        <v>0.01</v>
      </c>
      <c r="SO61" s="515">
        <v>5.0000000000000001E-3</v>
      </c>
      <c r="SP61" s="515">
        <v>3.9E-2</v>
      </c>
      <c r="SQ61" s="515">
        <v>0.55500000000000005</v>
      </c>
      <c r="SR61" s="515">
        <v>0.20499999999999999</v>
      </c>
      <c r="SS61" s="515">
        <v>7.4999999999999997E-2</v>
      </c>
      <c r="ST61" s="515" t="s">
        <v>721</v>
      </c>
      <c r="SU61" s="515" t="s">
        <v>721</v>
      </c>
      <c r="SV61" s="515" t="s">
        <v>721</v>
      </c>
      <c r="SW61" s="515" t="s">
        <v>721</v>
      </c>
      <c r="SX61" s="515" t="s">
        <v>721</v>
      </c>
      <c r="SY61" s="515" t="s">
        <v>721</v>
      </c>
      <c r="SZ61" s="515" t="s">
        <v>721</v>
      </c>
      <c r="TA61" s="515" t="s">
        <v>721</v>
      </c>
      <c r="TB61" s="515" t="s">
        <v>721</v>
      </c>
      <c r="TC61" s="515" t="s">
        <v>721</v>
      </c>
      <c r="TD61" s="515" t="s">
        <v>721</v>
      </c>
      <c r="TE61" s="515" t="s">
        <v>721</v>
      </c>
      <c r="TF61" s="515" t="s">
        <v>721</v>
      </c>
      <c r="TG61" s="515" t="s">
        <v>721</v>
      </c>
      <c r="TH61" s="515" t="s">
        <v>721</v>
      </c>
      <c r="TI61" s="515" t="s">
        <v>721</v>
      </c>
      <c r="TJ61" s="515">
        <v>0.45100000000000001</v>
      </c>
      <c r="TK61" s="515">
        <v>0.20200000000000001</v>
      </c>
      <c r="TL61" s="515">
        <v>6.4000000000000001E-2</v>
      </c>
      <c r="TM61" s="515">
        <v>9.8000000000000004E-2</v>
      </c>
      <c r="TN61" s="515" t="s">
        <v>721</v>
      </c>
      <c r="TO61" s="515" t="s">
        <v>721</v>
      </c>
      <c r="TP61" s="515" t="s">
        <v>721</v>
      </c>
      <c r="TQ61" s="515" t="s">
        <v>721</v>
      </c>
      <c r="TR61" s="515" t="s">
        <v>721</v>
      </c>
      <c r="TS61" s="515" t="s">
        <v>721</v>
      </c>
      <c r="TT61" s="515" t="s">
        <v>721</v>
      </c>
      <c r="TU61" s="515" t="s">
        <v>721</v>
      </c>
      <c r="TV61" s="515" t="s">
        <v>721</v>
      </c>
      <c r="TW61" s="515" t="s">
        <v>721</v>
      </c>
      <c r="TX61" s="515" t="s">
        <v>721</v>
      </c>
      <c r="TY61" s="515" t="s">
        <v>721</v>
      </c>
      <c r="TZ61" s="515" t="s">
        <v>721</v>
      </c>
      <c r="UA61" s="515" t="s">
        <v>721</v>
      </c>
      <c r="UB61" s="515">
        <v>9.8000000000000004E-2</v>
      </c>
      <c r="UC61" s="515">
        <v>0.60899999999999999</v>
      </c>
      <c r="UD61" s="515">
        <v>0.16500000000000001</v>
      </c>
      <c r="UE61" s="515">
        <v>6.4000000000000001E-2</v>
      </c>
      <c r="UF61" s="515">
        <v>4.3999999999999997E-2</v>
      </c>
      <c r="UG61" s="515">
        <v>2.7E-2</v>
      </c>
      <c r="UH61" s="515" t="s">
        <v>721</v>
      </c>
      <c r="UI61" s="515" t="s">
        <v>721</v>
      </c>
      <c r="UJ61" s="515" t="s">
        <v>721</v>
      </c>
      <c r="UK61" s="515" t="s">
        <v>721</v>
      </c>
      <c r="UL61" s="515" t="s">
        <v>721</v>
      </c>
      <c r="UM61" s="515" t="s">
        <v>721</v>
      </c>
      <c r="UN61" s="515" t="s">
        <v>721</v>
      </c>
      <c r="UO61" s="515" t="s">
        <v>721</v>
      </c>
      <c r="UP61" s="515">
        <v>1.2999999999999999E-2</v>
      </c>
      <c r="UQ61" s="515" t="s">
        <v>721</v>
      </c>
      <c r="UR61" s="515" t="s">
        <v>721</v>
      </c>
      <c r="US61" s="515" t="s">
        <v>721</v>
      </c>
      <c r="UT61" s="515" t="s">
        <v>721</v>
      </c>
      <c r="UU61" s="515">
        <v>4.3999999999999997E-2</v>
      </c>
      <c r="UV61" s="515">
        <v>0.52200000000000002</v>
      </c>
      <c r="UW61" s="515">
        <v>0.20499999999999999</v>
      </c>
      <c r="UX61" s="515">
        <v>0.06</v>
      </c>
      <c r="UY61" s="515">
        <v>0.06</v>
      </c>
      <c r="UZ61" s="515">
        <v>3.1E-2</v>
      </c>
      <c r="VA61" s="515" t="s">
        <v>721</v>
      </c>
      <c r="VB61" s="515" t="s">
        <v>721</v>
      </c>
      <c r="VC61" s="515" t="s">
        <v>721</v>
      </c>
      <c r="VD61" s="515" t="s">
        <v>721</v>
      </c>
      <c r="VE61" s="515" t="s">
        <v>721</v>
      </c>
      <c r="VF61" s="515" t="s">
        <v>721</v>
      </c>
      <c r="VG61" s="515" t="s">
        <v>721</v>
      </c>
      <c r="VH61" s="515" t="s">
        <v>721</v>
      </c>
      <c r="VI61" s="515" t="s">
        <v>721</v>
      </c>
      <c r="VJ61" s="515" t="s">
        <v>721</v>
      </c>
      <c r="VK61" s="515" t="s">
        <v>721</v>
      </c>
      <c r="VL61" s="515" t="s">
        <v>721</v>
      </c>
      <c r="VM61" s="515" t="s">
        <v>721</v>
      </c>
      <c r="VN61" s="515">
        <v>4.2000000000000003E-2</v>
      </c>
      <c r="VO61" s="28"/>
      <c r="VP61" s="28"/>
      <c r="VQ61" s="28"/>
      <c r="VR61" s="28"/>
      <c r="VS61" s="28"/>
      <c r="VT61" s="28"/>
      <c r="VU61" s="28"/>
      <c r="VV61" s="28"/>
      <c r="VW61" s="28"/>
      <c r="VX61" s="28"/>
      <c r="VY61" s="28"/>
      <c r="VZ61" s="28"/>
      <c r="WA61" s="28"/>
      <c r="WB61" s="28"/>
      <c r="WC61" s="28"/>
      <c r="WD61" s="28"/>
      <c r="WE61" s="28"/>
      <c r="WF61" s="28"/>
      <c r="WG61" s="28"/>
      <c r="WH61" s="28"/>
      <c r="WI61" s="28"/>
      <c r="WJ61" s="28"/>
      <c r="WK61" s="28"/>
      <c r="WL61" s="28"/>
      <c r="WM61" s="28"/>
      <c r="WN61" s="28"/>
      <c r="WO61" s="28"/>
      <c r="WP61" s="28"/>
      <c r="WQ61" s="28"/>
      <c r="WR61" s="28"/>
      <c r="WS61" s="28"/>
      <c r="WT61" s="28"/>
      <c r="WU61" s="28"/>
      <c r="WV61" s="28"/>
      <c r="WW61" s="28"/>
    </row>
    <row r="62" spans="1:621" s="151" customFormat="1" ht="15.75" customHeight="1" thickTop="1" thickBot="1" x14ac:dyDescent="0.4">
      <c r="A62" s="516" t="s">
        <v>10</v>
      </c>
      <c r="B62" s="517" t="s">
        <v>100</v>
      </c>
      <c r="C62" s="518">
        <v>16.63</v>
      </c>
      <c r="D62" s="519">
        <v>737348</v>
      </c>
      <c r="E62" s="520">
        <v>85189743.400000006</v>
      </c>
      <c r="F62" s="520">
        <v>115.5</v>
      </c>
      <c r="G62" s="519">
        <v>730766</v>
      </c>
      <c r="H62" s="519">
        <v>637746</v>
      </c>
      <c r="I62" s="519">
        <v>462036</v>
      </c>
      <c r="J62" s="519">
        <v>359593</v>
      </c>
      <c r="K62" s="519">
        <v>261957</v>
      </c>
      <c r="L62" s="520">
        <v>41920929.899999999</v>
      </c>
      <c r="M62" s="519">
        <v>472960</v>
      </c>
      <c r="N62" s="520">
        <v>43268813.5</v>
      </c>
      <c r="O62" s="519">
        <v>75766</v>
      </c>
      <c r="P62" s="521">
        <v>13528600.6</v>
      </c>
      <c r="Q62" s="519">
        <v>78410</v>
      </c>
      <c r="R62" s="521">
        <v>2536705.2999999998</v>
      </c>
      <c r="S62" s="519">
        <v>265217</v>
      </c>
      <c r="T62" s="521">
        <v>27770167.399999999</v>
      </c>
      <c r="U62" s="519">
        <v>8728</v>
      </c>
      <c r="V62" s="521">
        <v>1143231.8</v>
      </c>
      <c r="W62" s="519">
        <v>463403</v>
      </c>
      <c r="X62" s="521">
        <v>56276344.200000003</v>
      </c>
      <c r="Y62" s="519">
        <v>640029</v>
      </c>
      <c r="Z62" s="519">
        <v>369817</v>
      </c>
      <c r="AA62" s="519">
        <v>461102</v>
      </c>
      <c r="AB62" s="519">
        <v>316509</v>
      </c>
      <c r="AC62" s="519">
        <v>31368</v>
      </c>
      <c r="AD62" s="519">
        <v>125786</v>
      </c>
      <c r="AE62" s="519">
        <v>332329</v>
      </c>
      <c r="AF62" s="521">
        <v>24109188.699999999</v>
      </c>
      <c r="AG62" s="519">
        <v>365069</v>
      </c>
      <c r="AH62" s="521">
        <v>58333213.799999997</v>
      </c>
      <c r="AI62" s="519">
        <v>20117</v>
      </c>
      <c r="AJ62" s="521">
        <v>911951.9</v>
      </c>
      <c r="AK62" s="519">
        <v>17402</v>
      </c>
      <c r="AL62" s="521">
        <v>1835389</v>
      </c>
      <c r="AM62" s="522">
        <v>428495</v>
      </c>
      <c r="AN62" s="522">
        <v>308853</v>
      </c>
      <c r="AO62" s="522">
        <v>212329</v>
      </c>
      <c r="AP62" s="522">
        <v>231440</v>
      </c>
      <c r="AQ62" s="522">
        <v>100908</v>
      </c>
      <c r="AR62" s="522">
        <v>16731</v>
      </c>
      <c r="AS62" s="522">
        <v>3463</v>
      </c>
      <c r="AT62" s="522">
        <v>22537</v>
      </c>
      <c r="AU62" s="522">
        <v>10193</v>
      </c>
      <c r="AV62" s="522">
        <v>397</v>
      </c>
      <c r="AW62" s="522">
        <v>46077</v>
      </c>
      <c r="AX62" s="522">
        <v>6404</v>
      </c>
      <c r="AY62" s="522">
        <v>890</v>
      </c>
      <c r="AZ62" s="522">
        <v>14121</v>
      </c>
      <c r="BA62" s="522">
        <v>783</v>
      </c>
      <c r="BB62" s="522">
        <v>11392</v>
      </c>
      <c r="BC62" s="522">
        <v>222</v>
      </c>
      <c r="BD62" s="522">
        <v>111</v>
      </c>
      <c r="BE62" s="522">
        <v>4110</v>
      </c>
      <c r="BF62" s="522">
        <v>31670</v>
      </c>
      <c r="BG62" s="522">
        <v>23570</v>
      </c>
      <c r="BH62" s="522">
        <v>676</v>
      </c>
      <c r="BI62" s="522">
        <v>139435</v>
      </c>
      <c r="BJ62" s="522">
        <v>29122</v>
      </c>
      <c r="BK62" s="522">
        <v>210</v>
      </c>
      <c r="BL62" s="522">
        <v>12792</v>
      </c>
      <c r="BM62" s="522">
        <v>10825</v>
      </c>
      <c r="BN62" s="522">
        <v>11572</v>
      </c>
      <c r="BO62" s="522">
        <v>391125</v>
      </c>
      <c r="BP62" s="522">
        <v>356</v>
      </c>
      <c r="BQ62" s="522">
        <v>190</v>
      </c>
      <c r="BR62" s="522">
        <v>14334</v>
      </c>
      <c r="BS62" s="522">
        <v>1065</v>
      </c>
      <c r="BT62" s="522">
        <v>5586</v>
      </c>
      <c r="BU62" s="522">
        <v>40202</v>
      </c>
      <c r="BV62" s="522">
        <v>340</v>
      </c>
      <c r="BW62" s="522">
        <v>851</v>
      </c>
      <c r="BX62" s="522">
        <v>2893</v>
      </c>
      <c r="BY62" s="522">
        <v>2440</v>
      </c>
      <c r="BZ62" s="522">
        <v>83</v>
      </c>
      <c r="CA62" s="522">
        <v>50</v>
      </c>
      <c r="CB62" s="522">
        <v>62</v>
      </c>
      <c r="CC62" s="522">
        <v>57</v>
      </c>
      <c r="CD62" s="522">
        <v>15907</v>
      </c>
      <c r="CE62" s="522">
        <v>402</v>
      </c>
      <c r="CF62" s="522">
        <v>65</v>
      </c>
      <c r="CG62" s="522">
        <v>8343</v>
      </c>
      <c r="CH62" s="522">
        <v>204</v>
      </c>
      <c r="CI62" s="522">
        <v>480</v>
      </c>
      <c r="CJ62" s="522">
        <v>14471</v>
      </c>
      <c r="CK62" s="522">
        <v>30814</v>
      </c>
      <c r="CL62" s="522">
        <v>436</v>
      </c>
      <c r="CM62" s="522">
        <v>1833</v>
      </c>
      <c r="CN62" s="522">
        <v>127</v>
      </c>
      <c r="CO62" s="522">
        <v>257</v>
      </c>
      <c r="CP62" s="522">
        <v>81512</v>
      </c>
      <c r="CQ62" s="522">
        <v>19668</v>
      </c>
      <c r="CR62" s="522">
        <v>135</v>
      </c>
      <c r="CS62" s="522">
        <v>5800</v>
      </c>
      <c r="CT62" s="522">
        <v>3655</v>
      </c>
      <c r="CU62" s="522">
        <v>3583</v>
      </c>
      <c r="CV62" s="522">
        <v>446593</v>
      </c>
      <c r="CW62" s="522">
        <v>43519</v>
      </c>
      <c r="CX62" s="522">
        <v>37</v>
      </c>
      <c r="CY62" s="522">
        <v>6873</v>
      </c>
      <c r="CZ62" s="522">
        <v>1707</v>
      </c>
      <c r="DA62" s="522">
        <v>1264</v>
      </c>
      <c r="DB62" s="522">
        <v>15805</v>
      </c>
      <c r="DC62" s="522">
        <v>74</v>
      </c>
      <c r="DD62" s="522">
        <v>116</v>
      </c>
      <c r="DE62" s="522">
        <v>903</v>
      </c>
      <c r="DF62" s="522">
        <v>506</v>
      </c>
      <c r="DG62" s="522">
        <v>21</v>
      </c>
      <c r="DH62" s="522">
        <v>28</v>
      </c>
      <c r="DI62" s="522">
        <v>62</v>
      </c>
      <c r="DJ62" s="522">
        <v>31</v>
      </c>
      <c r="DK62" s="522">
        <v>6420</v>
      </c>
      <c r="DL62" s="522">
        <v>136</v>
      </c>
      <c r="DM62" s="522">
        <v>17</v>
      </c>
      <c r="DN62" s="522">
        <v>3278</v>
      </c>
      <c r="DO62" s="522">
        <v>67</v>
      </c>
      <c r="DP62" s="522">
        <v>199</v>
      </c>
      <c r="DQ62" s="522">
        <v>4535</v>
      </c>
      <c r="DR62" s="522">
        <v>14405</v>
      </c>
      <c r="DS62" s="522">
        <v>16</v>
      </c>
      <c r="DT62" s="522">
        <v>63</v>
      </c>
      <c r="DU62" s="522">
        <v>14</v>
      </c>
      <c r="DV62" s="522">
        <v>68755</v>
      </c>
      <c r="DW62" s="523">
        <v>10541845.199999999</v>
      </c>
      <c r="DX62" s="522">
        <v>106517</v>
      </c>
      <c r="DY62" s="523">
        <v>15531167.800000001</v>
      </c>
      <c r="DZ62" s="522">
        <v>151505</v>
      </c>
      <c r="EA62" s="523">
        <v>15626250</v>
      </c>
      <c r="EB62" s="522">
        <v>153224</v>
      </c>
      <c r="EC62" s="523">
        <v>14820840.800000001</v>
      </c>
      <c r="ED62" s="522">
        <v>150237</v>
      </c>
      <c r="EE62" s="523">
        <v>15332618.6</v>
      </c>
      <c r="EF62" s="522">
        <v>107110</v>
      </c>
      <c r="EG62" s="523">
        <v>13337021</v>
      </c>
      <c r="EH62" s="747">
        <v>613942</v>
      </c>
      <c r="EI62" s="748">
        <v>1912593.2</v>
      </c>
      <c r="EJ62" s="747">
        <v>616596</v>
      </c>
      <c r="EK62" s="748">
        <v>14001263.9</v>
      </c>
      <c r="EL62" s="747">
        <v>609180</v>
      </c>
      <c r="EM62" s="748">
        <v>5715496.5</v>
      </c>
      <c r="EN62" s="747">
        <v>631887</v>
      </c>
      <c r="EO62" s="748">
        <v>3115276.9</v>
      </c>
      <c r="EP62" s="747">
        <v>610741</v>
      </c>
      <c r="EQ62" s="748">
        <v>1747037</v>
      </c>
      <c r="ER62" s="747">
        <v>611931</v>
      </c>
      <c r="ES62" s="748">
        <v>1256006.8999999999</v>
      </c>
      <c r="ET62" s="747">
        <v>96</v>
      </c>
      <c r="EU62" s="747">
        <v>520218</v>
      </c>
      <c r="EV62" s="748">
        <v>8001317</v>
      </c>
      <c r="EW62" s="747">
        <v>82977</v>
      </c>
      <c r="EX62" s="748">
        <v>487486.9</v>
      </c>
      <c r="EY62" s="747">
        <v>201885</v>
      </c>
      <c r="EZ62" s="748">
        <v>2788278</v>
      </c>
      <c r="FA62" s="747">
        <v>63301</v>
      </c>
      <c r="FB62" s="748">
        <v>661614.80000000005</v>
      </c>
      <c r="FC62" s="747">
        <v>657421</v>
      </c>
      <c r="FD62" s="748">
        <v>8709101.3000000007</v>
      </c>
      <c r="FE62" s="747">
        <v>648278</v>
      </c>
      <c r="FF62" s="748">
        <v>5367560</v>
      </c>
      <c r="FG62" s="747">
        <v>345831</v>
      </c>
      <c r="FH62" s="748">
        <v>3102389.4</v>
      </c>
      <c r="FI62" s="747">
        <v>499097</v>
      </c>
      <c r="FJ62" s="748">
        <v>3360510.3</v>
      </c>
      <c r="FK62" s="747">
        <v>566222</v>
      </c>
      <c r="FL62" s="748">
        <v>1964058.7</v>
      </c>
      <c r="FM62" s="747">
        <v>32613</v>
      </c>
      <c r="FN62" s="748">
        <v>86226.7</v>
      </c>
      <c r="FO62" s="747">
        <v>577095</v>
      </c>
      <c r="FP62" s="748">
        <v>4971078.4000000004</v>
      </c>
      <c r="FQ62" s="747">
        <v>587886</v>
      </c>
      <c r="FR62" s="748">
        <v>1849182.3</v>
      </c>
      <c r="FS62" s="747">
        <v>7221</v>
      </c>
      <c r="FT62" s="748">
        <v>52527.199999999997</v>
      </c>
      <c r="FU62" s="747">
        <v>14</v>
      </c>
      <c r="FV62" s="748">
        <v>372.3</v>
      </c>
      <c r="FW62" s="747">
        <v>0</v>
      </c>
      <c r="FX62" s="748">
        <v>0</v>
      </c>
      <c r="FY62" s="747">
        <v>56</v>
      </c>
      <c r="FZ62" s="748">
        <v>171.5</v>
      </c>
      <c r="GA62" s="747">
        <v>0</v>
      </c>
      <c r="GB62" s="747">
        <v>0</v>
      </c>
      <c r="GC62" s="749">
        <v>0</v>
      </c>
      <c r="GD62" s="749">
        <v>2131</v>
      </c>
      <c r="GE62" s="749">
        <v>17208</v>
      </c>
      <c r="GF62" s="749">
        <v>217847</v>
      </c>
      <c r="GG62" s="749">
        <v>687</v>
      </c>
      <c r="GH62" s="749">
        <v>266</v>
      </c>
      <c r="GI62" s="749">
        <v>612</v>
      </c>
      <c r="GJ62" s="749">
        <v>41</v>
      </c>
      <c r="GK62" s="749">
        <v>88455</v>
      </c>
      <c r="GL62" s="749">
        <v>147125</v>
      </c>
      <c r="GM62" s="749">
        <v>237186</v>
      </c>
      <c r="GN62" s="749">
        <v>72723</v>
      </c>
      <c r="GO62" s="749">
        <v>21828</v>
      </c>
      <c r="GP62" s="749">
        <v>1781</v>
      </c>
      <c r="GQ62" s="749">
        <v>6434</v>
      </c>
      <c r="GR62" s="749">
        <v>909</v>
      </c>
      <c r="GS62" s="749">
        <v>9124</v>
      </c>
      <c r="GT62" s="749">
        <v>501023</v>
      </c>
      <c r="GU62" s="749">
        <v>1079</v>
      </c>
      <c r="GV62" s="750">
        <v>37</v>
      </c>
      <c r="GW62" s="750">
        <v>729</v>
      </c>
      <c r="GX62" s="750">
        <v>1845</v>
      </c>
      <c r="GY62" s="751">
        <v>1117</v>
      </c>
      <c r="GZ62" s="751">
        <v>852</v>
      </c>
      <c r="HA62" s="749">
        <v>1969</v>
      </c>
      <c r="HB62" s="749">
        <v>86</v>
      </c>
      <c r="HC62" s="749">
        <v>216</v>
      </c>
      <c r="HD62" s="749">
        <v>0</v>
      </c>
      <c r="HE62" s="749">
        <v>27</v>
      </c>
      <c r="HF62" s="749">
        <v>40</v>
      </c>
      <c r="HG62" s="749">
        <v>86</v>
      </c>
      <c r="HH62" s="749">
        <v>222</v>
      </c>
      <c r="HI62" s="749">
        <v>0</v>
      </c>
      <c r="HJ62" s="749">
        <v>1</v>
      </c>
      <c r="HK62" s="749">
        <v>1</v>
      </c>
      <c r="HL62" s="749">
        <v>172</v>
      </c>
      <c r="HM62" s="749">
        <v>56</v>
      </c>
      <c r="HN62" s="749">
        <v>3</v>
      </c>
      <c r="HO62" s="749">
        <v>129</v>
      </c>
      <c r="HP62" s="749">
        <v>10</v>
      </c>
      <c r="HQ62" s="749">
        <v>99</v>
      </c>
      <c r="HR62" s="749">
        <v>2751</v>
      </c>
      <c r="HS62" s="749">
        <v>0</v>
      </c>
      <c r="HT62" s="749">
        <v>0</v>
      </c>
      <c r="HU62" s="749">
        <v>0</v>
      </c>
      <c r="HV62" s="749">
        <v>0</v>
      </c>
      <c r="HW62" s="749">
        <v>40</v>
      </c>
      <c r="HX62" s="749">
        <v>3</v>
      </c>
      <c r="HY62" s="749">
        <v>0</v>
      </c>
      <c r="HZ62" s="749">
        <v>5841</v>
      </c>
      <c r="IA62" s="749">
        <v>7803</v>
      </c>
      <c r="IB62" s="749">
        <v>2901</v>
      </c>
      <c r="IC62" s="749">
        <v>449</v>
      </c>
      <c r="ID62" s="749">
        <v>121</v>
      </c>
      <c r="IE62" s="749">
        <v>597</v>
      </c>
      <c r="IF62" s="749">
        <v>1024</v>
      </c>
      <c r="IG62" s="749">
        <v>8</v>
      </c>
      <c r="IH62" s="749">
        <v>606</v>
      </c>
      <c r="II62" s="749">
        <v>85</v>
      </c>
      <c r="IJ62" s="749">
        <v>42</v>
      </c>
      <c r="IK62" s="749">
        <v>240</v>
      </c>
      <c r="IL62" s="749">
        <v>27</v>
      </c>
      <c r="IM62" s="749">
        <v>301</v>
      </c>
      <c r="IN62" s="749">
        <v>12</v>
      </c>
      <c r="IO62" s="749">
        <v>7</v>
      </c>
      <c r="IP62" s="749">
        <v>56</v>
      </c>
      <c r="IQ62" s="749">
        <v>537</v>
      </c>
      <c r="IR62" s="749">
        <v>1171</v>
      </c>
      <c r="IS62" s="749">
        <v>2602</v>
      </c>
      <c r="IT62" s="749">
        <v>3333</v>
      </c>
      <c r="IU62" s="749">
        <v>1396</v>
      </c>
      <c r="IV62" s="749">
        <v>170</v>
      </c>
      <c r="IW62" s="749">
        <v>76</v>
      </c>
      <c r="IX62" s="749">
        <v>211</v>
      </c>
      <c r="IY62" s="749">
        <v>460</v>
      </c>
      <c r="IZ62" s="749">
        <v>0</v>
      </c>
      <c r="JA62" s="749">
        <v>117</v>
      </c>
      <c r="JB62" s="749">
        <v>25</v>
      </c>
      <c r="JC62" s="749">
        <v>19</v>
      </c>
      <c r="JD62" s="749">
        <v>55</v>
      </c>
      <c r="JE62" s="749">
        <v>9</v>
      </c>
      <c r="JF62" s="749">
        <v>113</v>
      </c>
      <c r="JG62" s="749">
        <v>5</v>
      </c>
      <c r="JH62" s="749">
        <v>2</v>
      </c>
      <c r="JI62" s="749">
        <v>20</v>
      </c>
      <c r="JJ62" s="749">
        <v>89</v>
      </c>
      <c r="JK62" s="749">
        <v>422</v>
      </c>
      <c r="JL62" s="757">
        <v>25856120</v>
      </c>
      <c r="JM62" s="757">
        <v>27235502.699999999</v>
      </c>
      <c r="JN62" s="757">
        <v>11697170.1</v>
      </c>
      <c r="JO62" s="757">
        <v>1910185.2</v>
      </c>
      <c r="JP62" s="757">
        <v>391374.7</v>
      </c>
      <c r="JQ62" s="757">
        <v>2615225.7000000002</v>
      </c>
      <c r="JR62" s="757">
        <v>1110867.8999999999</v>
      </c>
      <c r="JS62" s="757">
        <v>44891.6</v>
      </c>
      <c r="JT62" s="757">
        <v>4454641.0999999996</v>
      </c>
      <c r="JU62" s="757">
        <v>646204.30000000005</v>
      </c>
      <c r="JV62" s="757">
        <v>118288</v>
      </c>
      <c r="JW62" s="757">
        <v>1383851.7</v>
      </c>
      <c r="JX62" s="757">
        <v>93687.9</v>
      </c>
      <c r="JY62" s="757">
        <v>1343194.4</v>
      </c>
      <c r="JZ62" s="757">
        <v>28729.8</v>
      </c>
      <c r="KA62" s="757">
        <v>13669.6</v>
      </c>
      <c r="KB62" s="757">
        <v>479408.8</v>
      </c>
      <c r="KC62" s="757">
        <v>3107053.3</v>
      </c>
      <c r="KD62" s="757">
        <v>2659676.6</v>
      </c>
      <c r="KE62" s="749">
        <v>24421</v>
      </c>
      <c r="KF62" s="749">
        <v>27540</v>
      </c>
      <c r="KG62" s="749">
        <v>7610</v>
      </c>
      <c r="KH62" s="749">
        <v>1895</v>
      </c>
      <c r="KI62" s="749">
        <v>347</v>
      </c>
      <c r="KJ62" s="749">
        <v>2425</v>
      </c>
      <c r="KK62" s="749">
        <v>1208</v>
      </c>
      <c r="KL62" s="749">
        <v>32</v>
      </c>
      <c r="KM62" s="749">
        <v>1877</v>
      </c>
      <c r="KN62" s="749">
        <v>345</v>
      </c>
      <c r="KO62" s="749">
        <v>177</v>
      </c>
      <c r="KP62" s="749">
        <v>834</v>
      </c>
      <c r="KQ62" s="749">
        <v>68</v>
      </c>
      <c r="KR62" s="749">
        <v>1063</v>
      </c>
      <c r="KS62" s="749">
        <v>34</v>
      </c>
      <c r="KT62" s="749">
        <v>15</v>
      </c>
      <c r="KU62" s="749">
        <v>353</v>
      </c>
      <c r="KV62" s="749">
        <v>2163</v>
      </c>
      <c r="KW62" s="749">
        <v>3359</v>
      </c>
      <c r="KX62" s="749">
        <v>20650</v>
      </c>
      <c r="KY62" s="749">
        <v>30888</v>
      </c>
      <c r="KZ62" s="749">
        <v>7472</v>
      </c>
      <c r="LA62" s="749">
        <v>2232</v>
      </c>
      <c r="LB62" s="749">
        <v>395</v>
      </c>
      <c r="LC62" s="749">
        <v>2712</v>
      </c>
      <c r="LD62" s="749">
        <v>947</v>
      </c>
      <c r="LE62" s="749">
        <v>27</v>
      </c>
      <c r="LF62" s="749">
        <v>3270</v>
      </c>
      <c r="LG62" s="749">
        <v>757</v>
      </c>
      <c r="LH62" s="749">
        <v>84</v>
      </c>
      <c r="LI62" s="749">
        <v>523</v>
      </c>
      <c r="LJ62" s="749">
        <v>114</v>
      </c>
      <c r="LK62" s="749">
        <v>1811</v>
      </c>
      <c r="LL62" s="749">
        <v>23</v>
      </c>
      <c r="LM62" s="749">
        <v>20</v>
      </c>
      <c r="LN62" s="749">
        <v>666</v>
      </c>
      <c r="LO62" s="749">
        <v>3410</v>
      </c>
      <c r="LP62" s="749">
        <v>2409</v>
      </c>
      <c r="LQ62" s="749">
        <v>131639</v>
      </c>
      <c r="LR62" s="749">
        <v>145073</v>
      </c>
      <c r="LS62" s="749">
        <v>64562</v>
      </c>
      <c r="LT62" s="749">
        <v>10720</v>
      </c>
      <c r="LU62" s="749">
        <v>2363</v>
      </c>
      <c r="LV62" s="749">
        <v>13746</v>
      </c>
      <c r="LW62" s="749">
        <v>7267</v>
      </c>
      <c r="LX62" s="749">
        <v>256</v>
      </c>
      <c r="LY62" s="749">
        <v>32465</v>
      </c>
      <c r="LZ62" s="749">
        <v>4449</v>
      </c>
      <c r="MA62" s="749">
        <v>586</v>
      </c>
      <c r="MB62" s="749">
        <v>11153</v>
      </c>
      <c r="MC62" s="749">
        <v>408</v>
      </c>
      <c r="MD62" s="749">
        <v>6337</v>
      </c>
      <c r="ME62" s="749">
        <v>143</v>
      </c>
      <c r="MF62" s="749">
        <v>75</v>
      </c>
      <c r="MG62" s="749">
        <v>2460</v>
      </c>
      <c r="MH62" s="749">
        <v>22667</v>
      </c>
      <c r="MI62" s="749">
        <v>16591</v>
      </c>
      <c r="MJ62" s="749">
        <v>79691</v>
      </c>
      <c r="MK62" s="749">
        <v>85780</v>
      </c>
      <c r="ML62" s="749">
        <v>36070</v>
      </c>
      <c r="MM62" s="749">
        <v>5965</v>
      </c>
      <c r="MN62" s="749">
        <v>1079</v>
      </c>
      <c r="MO62" s="749">
        <v>8703</v>
      </c>
      <c r="MP62" s="749">
        <v>2852</v>
      </c>
      <c r="MQ62" s="749">
        <v>140</v>
      </c>
      <c r="MR62" s="749">
        <v>13485</v>
      </c>
      <c r="MS62" s="749">
        <v>1946</v>
      </c>
      <c r="MT62" s="749">
        <v>302</v>
      </c>
      <c r="MU62" s="749">
        <v>2959</v>
      </c>
      <c r="MV62" s="749">
        <v>373</v>
      </c>
      <c r="MW62" s="749">
        <v>5020</v>
      </c>
      <c r="MX62" s="749">
        <v>78</v>
      </c>
      <c r="MY62" s="749">
        <v>35</v>
      </c>
      <c r="MZ62" s="749">
        <v>1639</v>
      </c>
      <c r="NA62" s="749">
        <v>8936</v>
      </c>
      <c r="NB62" s="749">
        <v>6904</v>
      </c>
      <c r="NC62" s="752">
        <v>0.58099999999999996</v>
      </c>
      <c r="ND62" s="752">
        <v>0.41899999999999998</v>
      </c>
      <c r="NE62" s="752">
        <v>0.28799999999999998</v>
      </c>
      <c r="NF62" s="752">
        <v>0.314</v>
      </c>
      <c r="NG62" s="752">
        <v>0.13700000000000001</v>
      </c>
      <c r="NH62" s="752">
        <v>2.3E-2</v>
      </c>
      <c r="NI62" s="752">
        <v>5.0000000000000001E-3</v>
      </c>
      <c r="NJ62" s="752">
        <v>3.1E-2</v>
      </c>
      <c r="NK62" s="752">
        <v>1.4E-2</v>
      </c>
      <c r="NL62" s="752">
        <v>1E-3</v>
      </c>
      <c r="NM62" s="752">
        <v>6.2E-2</v>
      </c>
      <c r="NN62" s="752">
        <v>8.9999999999999993E-3</v>
      </c>
      <c r="NO62" s="752">
        <v>1E-3</v>
      </c>
      <c r="NP62" s="752">
        <v>1.9E-2</v>
      </c>
      <c r="NQ62" s="752">
        <v>1E-3</v>
      </c>
      <c r="NR62" s="752">
        <v>1.4999999999999999E-2</v>
      </c>
      <c r="NS62" s="752">
        <v>0</v>
      </c>
      <c r="NT62" s="752">
        <v>0</v>
      </c>
      <c r="NU62" s="752">
        <v>6.0000000000000001E-3</v>
      </c>
      <c r="NV62" s="752">
        <v>4.2999999999999997E-2</v>
      </c>
      <c r="NW62" s="752">
        <v>3.2000000000000001E-2</v>
      </c>
      <c r="NX62" s="752">
        <v>1E-3</v>
      </c>
      <c r="NY62" s="752">
        <v>0.19</v>
      </c>
      <c r="NZ62" s="752">
        <v>0.04</v>
      </c>
      <c r="OA62" s="752">
        <v>0</v>
      </c>
      <c r="OB62" s="752">
        <v>1.7000000000000001E-2</v>
      </c>
      <c r="OC62" s="752">
        <v>1.4999999999999999E-2</v>
      </c>
      <c r="OD62" s="752">
        <v>1.6E-2</v>
      </c>
      <c r="OE62" s="752">
        <v>0.53200000000000003</v>
      </c>
      <c r="OF62" s="752">
        <v>0</v>
      </c>
      <c r="OG62" s="752">
        <v>0</v>
      </c>
      <c r="OH62" s="752">
        <v>0.02</v>
      </c>
      <c r="OI62" s="752">
        <v>1E-3</v>
      </c>
      <c r="OJ62" s="752">
        <v>8.0000000000000002E-3</v>
      </c>
      <c r="OK62" s="752">
        <v>5.5E-2</v>
      </c>
      <c r="OL62" s="752">
        <v>0</v>
      </c>
      <c r="OM62" s="752">
        <v>1E-3</v>
      </c>
      <c r="ON62" s="752">
        <v>4.0000000000000001E-3</v>
      </c>
      <c r="OO62" s="752">
        <v>3.0000000000000001E-3</v>
      </c>
      <c r="OP62" s="752">
        <v>0</v>
      </c>
      <c r="OQ62" s="752">
        <v>0</v>
      </c>
      <c r="OR62" s="752">
        <v>0</v>
      </c>
      <c r="OS62" s="752">
        <v>0</v>
      </c>
      <c r="OT62" s="752">
        <v>2.1999999999999999E-2</v>
      </c>
      <c r="OU62" s="752">
        <v>1E-3</v>
      </c>
      <c r="OV62" s="752">
        <v>0</v>
      </c>
      <c r="OW62" s="752">
        <v>1.0999999999999999E-2</v>
      </c>
      <c r="OX62" s="752">
        <v>0</v>
      </c>
      <c r="OY62" s="752">
        <v>1E-3</v>
      </c>
      <c r="OZ62" s="752">
        <v>0.02</v>
      </c>
      <c r="PA62" s="752">
        <v>4.2000000000000003E-2</v>
      </c>
      <c r="PB62" s="752">
        <v>1E-3</v>
      </c>
      <c r="PC62" s="752">
        <v>2E-3</v>
      </c>
      <c r="PD62" s="752">
        <v>0</v>
      </c>
      <c r="PE62" s="752">
        <v>0</v>
      </c>
      <c r="PF62" s="752">
        <v>0.123</v>
      </c>
      <c r="PG62" s="752">
        <v>0.03</v>
      </c>
      <c r="PH62" s="752">
        <v>0</v>
      </c>
      <c r="PI62" s="752">
        <v>8.9999999999999993E-3</v>
      </c>
      <c r="PJ62" s="752">
        <v>6.0000000000000001E-3</v>
      </c>
      <c r="PK62" s="752">
        <v>5.0000000000000001E-3</v>
      </c>
      <c r="PL62" s="752">
        <v>0.67500000000000004</v>
      </c>
      <c r="PM62" s="752">
        <v>6.6000000000000003E-2</v>
      </c>
      <c r="PN62" s="752">
        <v>0</v>
      </c>
      <c r="PO62" s="752">
        <v>0.01</v>
      </c>
      <c r="PP62" s="752">
        <v>3.0000000000000001E-3</v>
      </c>
      <c r="PQ62" s="752">
        <v>2E-3</v>
      </c>
      <c r="PR62" s="752">
        <v>2.4E-2</v>
      </c>
      <c r="PS62" s="752">
        <v>0</v>
      </c>
      <c r="PT62" s="752">
        <v>0</v>
      </c>
      <c r="PU62" s="752">
        <v>1E-3</v>
      </c>
      <c r="PV62" s="752">
        <v>1E-3</v>
      </c>
      <c r="PW62" s="752">
        <v>0</v>
      </c>
      <c r="PX62" s="752">
        <v>0</v>
      </c>
      <c r="PY62" s="752">
        <v>0</v>
      </c>
      <c r="PZ62" s="752">
        <v>0</v>
      </c>
      <c r="QA62" s="752">
        <v>0.01</v>
      </c>
      <c r="QB62" s="752">
        <v>0</v>
      </c>
      <c r="QC62" s="752">
        <v>0</v>
      </c>
      <c r="QD62" s="752">
        <v>5.0000000000000001E-3</v>
      </c>
      <c r="QE62" s="752">
        <v>0</v>
      </c>
      <c r="QF62" s="752">
        <v>0</v>
      </c>
      <c r="QG62" s="752">
        <v>7.0000000000000001E-3</v>
      </c>
      <c r="QH62" s="752">
        <v>2.1999999999999999E-2</v>
      </c>
      <c r="QI62" s="752">
        <v>0</v>
      </c>
      <c r="QJ62" s="752">
        <v>0</v>
      </c>
      <c r="QK62" s="752">
        <v>0</v>
      </c>
      <c r="QL62" s="752">
        <v>0.26800000000000002</v>
      </c>
      <c r="QM62" s="752">
        <v>0.35699999999999998</v>
      </c>
      <c r="QN62" s="752">
        <v>0.13300000000000001</v>
      </c>
      <c r="QO62" s="752">
        <v>2.1000000000000001E-2</v>
      </c>
      <c r="QP62" s="752">
        <v>6.0000000000000001E-3</v>
      </c>
      <c r="QQ62" s="752">
        <v>2.7E-2</v>
      </c>
      <c r="QR62" s="752">
        <v>4.7E-2</v>
      </c>
      <c r="QS62" s="752">
        <v>0</v>
      </c>
      <c r="QT62" s="752">
        <v>2.8000000000000001E-2</v>
      </c>
      <c r="QU62" s="752">
        <v>4.0000000000000001E-3</v>
      </c>
      <c r="QV62" s="752">
        <v>2E-3</v>
      </c>
      <c r="QW62" s="752">
        <v>1.0999999999999999E-2</v>
      </c>
      <c r="QX62" s="752">
        <v>1E-3</v>
      </c>
      <c r="QY62" s="752">
        <v>1.4E-2</v>
      </c>
      <c r="QZ62" s="752">
        <v>1E-3</v>
      </c>
      <c r="RA62" s="752">
        <v>0</v>
      </c>
      <c r="RB62" s="752">
        <v>3.0000000000000001E-3</v>
      </c>
      <c r="RC62" s="752">
        <v>2.5000000000000001E-2</v>
      </c>
      <c r="RD62" s="752">
        <v>5.3999999999999999E-2</v>
      </c>
      <c r="RE62" s="752">
        <v>0.28499999999999998</v>
      </c>
      <c r="RF62" s="752">
        <v>0.36499999999999999</v>
      </c>
      <c r="RG62" s="752">
        <v>0.153</v>
      </c>
      <c r="RH62" s="752">
        <v>1.9E-2</v>
      </c>
      <c r="RI62" s="752">
        <v>8.0000000000000002E-3</v>
      </c>
      <c r="RJ62" s="752">
        <v>2.3E-2</v>
      </c>
      <c r="RK62" s="752">
        <v>0.05</v>
      </c>
      <c r="RL62" s="752">
        <v>0</v>
      </c>
      <c r="RM62" s="752">
        <v>1.2999999999999999E-2</v>
      </c>
      <c r="RN62" s="752">
        <v>3.0000000000000001E-3</v>
      </c>
      <c r="RO62" s="752">
        <v>2E-3</v>
      </c>
      <c r="RP62" s="752">
        <v>6.0000000000000001E-3</v>
      </c>
      <c r="RQ62" s="752">
        <v>1E-3</v>
      </c>
      <c r="RR62" s="752">
        <v>1.2E-2</v>
      </c>
      <c r="RS62" s="752">
        <v>1E-3</v>
      </c>
      <c r="RT62" s="752">
        <v>0</v>
      </c>
      <c r="RU62" s="752">
        <v>2E-3</v>
      </c>
      <c r="RV62" s="752">
        <v>0.01</v>
      </c>
      <c r="RW62" s="752">
        <v>4.5999999999999999E-2</v>
      </c>
      <c r="RX62" s="752">
        <v>0.30399999999999999</v>
      </c>
      <c r="RY62" s="752">
        <v>0.32</v>
      </c>
      <c r="RZ62" s="752">
        <v>0.13700000000000001</v>
      </c>
      <c r="SA62" s="752">
        <v>2.1999999999999999E-2</v>
      </c>
      <c r="SB62" s="752">
        <v>5.0000000000000001E-3</v>
      </c>
      <c r="SC62" s="752">
        <v>3.1E-2</v>
      </c>
      <c r="SD62" s="752">
        <v>1.2999999999999999E-2</v>
      </c>
      <c r="SE62" s="752">
        <v>1E-3</v>
      </c>
      <c r="SF62" s="752">
        <v>5.1999999999999998E-2</v>
      </c>
      <c r="SG62" s="752">
        <v>8.0000000000000002E-3</v>
      </c>
      <c r="SH62" s="752">
        <v>1E-3</v>
      </c>
      <c r="SI62" s="752">
        <v>1.6E-2</v>
      </c>
      <c r="SJ62" s="752">
        <v>1E-3</v>
      </c>
      <c r="SK62" s="752">
        <v>1.6E-2</v>
      </c>
      <c r="SL62" s="752">
        <v>0</v>
      </c>
      <c r="SM62" s="752">
        <v>0</v>
      </c>
      <c r="SN62" s="752">
        <v>6.0000000000000001E-3</v>
      </c>
      <c r="SO62" s="752">
        <v>3.5999999999999997E-2</v>
      </c>
      <c r="SP62" s="752">
        <v>3.1E-2</v>
      </c>
      <c r="SQ62" s="752">
        <v>0.32200000000000001</v>
      </c>
      <c r="SR62" s="752">
        <v>0.36299999999999999</v>
      </c>
      <c r="SS62" s="752">
        <v>0.1</v>
      </c>
      <c r="ST62" s="752">
        <v>2.5000000000000001E-2</v>
      </c>
      <c r="SU62" s="752">
        <v>5.0000000000000001E-3</v>
      </c>
      <c r="SV62" s="752">
        <v>3.2000000000000001E-2</v>
      </c>
      <c r="SW62" s="752">
        <v>1.6E-2</v>
      </c>
      <c r="SX62" s="752">
        <v>0</v>
      </c>
      <c r="SY62" s="752">
        <v>2.5000000000000001E-2</v>
      </c>
      <c r="SZ62" s="752">
        <v>5.0000000000000001E-3</v>
      </c>
      <c r="TA62" s="752">
        <v>2E-3</v>
      </c>
      <c r="TB62" s="752">
        <v>1.0999999999999999E-2</v>
      </c>
      <c r="TC62" s="752">
        <v>1E-3</v>
      </c>
      <c r="TD62" s="752">
        <v>1.4E-2</v>
      </c>
      <c r="TE62" s="752">
        <v>0</v>
      </c>
      <c r="TF62" s="752">
        <v>0</v>
      </c>
      <c r="TG62" s="752">
        <v>5.0000000000000001E-3</v>
      </c>
      <c r="TH62" s="752">
        <v>2.9000000000000001E-2</v>
      </c>
      <c r="TI62" s="752">
        <v>4.3999999999999997E-2</v>
      </c>
      <c r="TJ62" s="752">
        <v>0.26300000000000001</v>
      </c>
      <c r="TK62" s="752">
        <v>0.39400000000000002</v>
      </c>
      <c r="TL62" s="752">
        <v>9.5000000000000001E-2</v>
      </c>
      <c r="TM62" s="752">
        <v>2.8000000000000001E-2</v>
      </c>
      <c r="TN62" s="752">
        <v>5.0000000000000001E-3</v>
      </c>
      <c r="TO62" s="752">
        <v>3.5000000000000003E-2</v>
      </c>
      <c r="TP62" s="752">
        <v>1.2E-2</v>
      </c>
      <c r="TQ62" s="752">
        <v>0</v>
      </c>
      <c r="TR62" s="752">
        <v>4.2000000000000003E-2</v>
      </c>
      <c r="TS62" s="752">
        <v>0.01</v>
      </c>
      <c r="TT62" s="752">
        <v>1E-3</v>
      </c>
      <c r="TU62" s="752">
        <v>7.0000000000000001E-3</v>
      </c>
      <c r="TV62" s="752">
        <v>1E-3</v>
      </c>
      <c r="TW62" s="752">
        <v>2.3E-2</v>
      </c>
      <c r="TX62" s="752">
        <v>0</v>
      </c>
      <c r="TY62" s="752">
        <v>0</v>
      </c>
      <c r="TZ62" s="752">
        <v>8.0000000000000002E-3</v>
      </c>
      <c r="UA62" s="752">
        <v>4.2999999999999997E-2</v>
      </c>
      <c r="UB62" s="752">
        <v>3.1E-2</v>
      </c>
      <c r="UC62" s="752">
        <v>0.27800000000000002</v>
      </c>
      <c r="UD62" s="752">
        <v>0.307</v>
      </c>
      <c r="UE62" s="752">
        <v>0.13700000000000001</v>
      </c>
      <c r="UF62" s="752">
        <v>2.3E-2</v>
      </c>
      <c r="UG62" s="752">
        <v>5.0000000000000001E-3</v>
      </c>
      <c r="UH62" s="752">
        <v>2.9000000000000001E-2</v>
      </c>
      <c r="UI62" s="752">
        <v>1.4999999999999999E-2</v>
      </c>
      <c r="UJ62" s="752">
        <v>1E-3</v>
      </c>
      <c r="UK62" s="752">
        <v>6.9000000000000006E-2</v>
      </c>
      <c r="UL62" s="752">
        <v>8.9999999999999993E-3</v>
      </c>
      <c r="UM62" s="752">
        <v>1E-3</v>
      </c>
      <c r="UN62" s="752">
        <v>2.4E-2</v>
      </c>
      <c r="UO62" s="752">
        <v>1E-3</v>
      </c>
      <c r="UP62" s="752">
        <v>1.2999999999999999E-2</v>
      </c>
      <c r="UQ62" s="752">
        <v>0</v>
      </c>
      <c r="UR62" s="752">
        <v>0</v>
      </c>
      <c r="US62" s="752">
        <v>5.0000000000000001E-3</v>
      </c>
      <c r="UT62" s="752">
        <v>4.8000000000000001E-2</v>
      </c>
      <c r="UU62" s="752">
        <v>3.5000000000000003E-2</v>
      </c>
      <c r="UV62" s="752">
        <v>0.30399999999999999</v>
      </c>
      <c r="UW62" s="752">
        <v>0.32700000000000001</v>
      </c>
      <c r="UX62" s="752">
        <v>0.13800000000000001</v>
      </c>
      <c r="UY62" s="752">
        <v>2.3E-2</v>
      </c>
      <c r="UZ62" s="752">
        <v>4.0000000000000001E-3</v>
      </c>
      <c r="VA62" s="752">
        <v>3.3000000000000002E-2</v>
      </c>
      <c r="VB62" s="752">
        <v>1.0999999999999999E-2</v>
      </c>
      <c r="VC62" s="752">
        <v>1E-3</v>
      </c>
      <c r="VD62" s="752">
        <v>5.0999999999999997E-2</v>
      </c>
      <c r="VE62" s="752">
        <v>7.0000000000000001E-3</v>
      </c>
      <c r="VF62" s="752">
        <v>1E-3</v>
      </c>
      <c r="VG62" s="752">
        <v>1.0999999999999999E-2</v>
      </c>
      <c r="VH62" s="752">
        <v>1E-3</v>
      </c>
      <c r="VI62" s="752">
        <v>1.9E-2</v>
      </c>
      <c r="VJ62" s="752">
        <v>0</v>
      </c>
      <c r="VK62" s="752">
        <v>0</v>
      </c>
      <c r="VL62" s="752">
        <v>6.0000000000000001E-3</v>
      </c>
      <c r="VM62" s="752">
        <v>3.4000000000000002E-2</v>
      </c>
      <c r="VN62" s="753">
        <v>2.5999999999999999E-2</v>
      </c>
      <c r="VO62" s="28"/>
      <c r="VP62" s="28"/>
      <c r="VQ62" s="28"/>
      <c r="VR62" s="28"/>
      <c r="VS62" s="28"/>
      <c r="VT62" s="28"/>
      <c r="VU62" s="28"/>
      <c r="VV62" s="28"/>
      <c r="VW62" s="28"/>
      <c r="VX62" s="28"/>
      <c r="VY62" s="28"/>
      <c r="VZ62" s="28"/>
      <c r="WA62" s="28"/>
      <c r="WB62" s="28"/>
      <c r="WC62" s="28"/>
      <c r="WD62" s="28"/>
      <c r="WE62" s="28"/>
      <c r="WF62" s="28"/>
      <c r="WG62" s="28"/>
      <c r="WH62" s="28"/>
      <c r="WI62" s="28"/>
      <c r="WJ62" s="28"/>
      <c r="WK62" s="28"/>
      <c r="WL62" s="28"/>
      <c r="WM62" s="28"/>
      <c r="WN62" s="28"/>
      <c r="WO62" s="28"/>
      <c r="WP62" s="28"/>
      <c r="WQ62" s="28"/>
      <c r="WR62" s="28"/>
      <c r="WS62" s="28"/>
      <c r="WT62" s="28"/>
      <c r="WU62" s="28"/>
      <c r="WV62" s="28"/>
      <c r="WW62" s="28"/>
    </row>
    <row r="63" spans="1:621" s="694" customFormat="1" ht="97" customHeight="1" x14ac:dyDescent="0.35">
      <c r="A63" s="450" t="s">
        <v>128</v>
      </c>
      <c r="B63" s="524" t="s">
        <v>9</v>
      </c>
      <c r="C63" s="525" t="s">
        <v>298</v>
      </c>
      <c r="D63" s="526" t="s">
        <v>300</v>
      </c>
      <c r="E63" s="527" t="s">
        <v>66</v>
      </c>
      <c r="F63" s="527" t="s">
        <v>251</v>
      </c>
      <c r="G63" s="528" t="s">
        <v>650</v>
      </c>
      <c r="H63" s="529" t="s">
        <v>651</v>
      </c>
      <c r="I63" s="530" t="s">
        <v>655</v>
      </c>
      <c r="J63" s="530" t="s">
        <v>656</v>
      </c>
      <c r="K63" s="526" t="s">
        <v>308</v>
      </c>
      <c r="L63" s="527" t="s">
        <v>0</v>
      </c>
      <c r="M63" s="526" t="s">
        <v>232</v>
      </c>
      <c r="N63" s="527" t="s">
        <v>1</v>
      </c>
      <c r="O63" s="526" t="s">
        <v>233</v>
      </c>
      <c r="P63" s="531" t="s">
        <v>67</v>
      </c>
      <c r="Q63" s="526" t="s">
        <v>234</v>
      </c>
      <c r="R63" s="531" t="s">
        <v>68</v>
      </c>
      <c r="S63" s="532" t="s">
        <v>235</v>
      </c>
      <c r="T63" s="533" t="s">
        <v>236</v>
      </c>
      <c r="U63" s="532" t="s">
        <v>237</v>
      </c>
      <c r="V63" s="533" t="s">
        <v>238</v>
      </c>
      <c r="W63" s="532" t="s">
        <v>239</v>
      </c>
      <c r="X63" s="533" t="s">
        <v>240</v>
      </c>
      <c r="Y63" s="526" t="s">
        <v>71</v>
      </c>
      <c r="Z63" s="526" t="s">
        <v>72</v>
      </c>
      <c r="AA63" s="526" t="s">
        <v>73</v>
      </c>
      <c r="AB63" s="526" t="s">
        <v>74</v>
      </c>
      <c r="AC63" s="526" t="s">
        <v>69</v>
      </c>
      <c r="AD63" s="526" t="s">
        <v>70</v>
      </c>
      <c r="AE63" s="526" t="s">
        <v>241</v>
      </c>
      <c r="AF63" s="531" t="s">
        <v>78</v>
      </c>
      <c r="AG63" s="526" t="s">
        <v>242</v>
      </c>
      <c r="AH63" s="531" t="s">
        <v>77</v>
      </c>
      <c r="AI63" s="526" t="s">
        <v>243</v>
      </c>
      <c r="AJ63" s="531" t="s">
        <v>76</v>
      </c>
      <c r="AK63" s="526" t="s">
        <v>244</v>
      </c>
      <c r="AL63" s="531" t="s">
        <v>79</v>
      </c>
      <c r="AM63" s="526" t="s">
        <v>80</v>
      </c>
      <c r="AN63" s="526" t="s">
        <v>81</v>
      </c>
      <c r="AO63" s="526" t="s">
        <v>82</v>
      </c>
      <c r="AP63" s="526" t="s">
        <v>83</v>
      </c>
      <c r="AQ63" s="526" t="s">
        <v>129</v>
      </c>
      <c r="AR63" s="526" t="s">
        <v>84</v>
      </c>
      <c r="AS63" s="526" t="s">
        <v>85</v>
      </c>
      <c r="AT63" s="526" t="s">
        <v>86</v>
      </c>
      <c r="AU63" s="526" t="s">
        <v>87</v>
      </c>
      <c r="AV63" s="526" t="s">
        <v>88</v>
      </c>
      <c r="AW63" s="526" t="s">
        <v>89</v>
      </c>
      <c r="AX63" s="526" t="s">
        <v>90</v>
      </c>
      <c r="AY63" s="526" t="s">
        <v>91</v>
      </c>
      <c r="AZ63" s="526" t="s">
        <v>92</v>
      </c>
      <c r="BA63" s="526" t="s">
        <v>93</v>
      </c>
      <c r="BB63" s="526" t="s">
        <v>94</v>
      </c>
      <c r="BC63" s="526" t="s">
        <v>95</v>
      </c>
      <c r="BD63" s="526" t="s">
        <v>301</v>
      </c>
      <c r="BE63" s="526" t="s">
        <v>96</v>
      </c>
      <c r="BF63" s="526" t="s">
        <v>97</v>
      </c>
      <c r="BG63" s="526" t="s">
        <v>98</v>
      </c>
      <c r="BH63" s="534" t="s">
        <v>632</v>
      </c>
      <c r="BI63" s="534" t="s">
        <v>603</v>
      </c>
      <c r="BJ63" s="534" t="s">
        <v>604</v>
      </c>
      <c r="BK63" s="534" t="s">
        <v>605</v>
      </c>
      <c r="BL63" s="534" t="s">
        <v>606</v>
      </c>
      <c r="BM63" s="534" t="s">
        <v>607</v>
      </c>
      <c r="BN63" s="534" t="s">
        <v>608</v>
      </c>
      <c r="BO63" s="534" t="s">
        <v>609</v>
      </c>
      <c r="BP63" s="534" t="s">
        <v>610</v>
      </c>
      <c r="BQ63" s="534" t="s">
        <v>611</v>
      </c>
      <c r="BR63" s="534" t="s">
        <v>612</v>
      </c>
      <c r="BS63" s="534" t="s">
        <v>613</v>
      </c>
      <c r="BT63" s="534" t="s">
        <v>614</v>
      </c>
      <c r="BU63" s="534" t="s">
        <v>615</v>
      </c>
      <c r="BV63" s="534" t="s">
        <v>616</v>
      </c>
      <c r="BW63" s="534" t="s">
        <v>617</v>
      </c>
      <c r="BX63" s="534" t="s">
        <v>618</v>
      </c>
      <c r="BY63" s="534" t="s">
        <v>619</v>
      </c>
      <c r="BZ63" s="534" t="s">
        <v>620</v>
      </c>
      <c r="CA63" s="534" t="s">
        <v>621</v>
      </c>
      <c r="CB63" s="534" t="s">
        <v>622</v>
      </c>
      <c r="CC63" s="534" t="s">
        <v>623</v>
      </c>
      <c r="CD63" s="534" t="s">
        <v>624</v>
      </c>
      <c r="CE63" s="534" t="s">
        <v>625</v>
      </c>
      <c r="CF63" s="534" t="s">
        <v>626</v>
      </c>
      <c r="CG63" s="534" t="s">
        <v>627</v>
      </c>
      <c r="CH63" s="534" t="s">
        <v>628</v>
      </c>
      <c r="CI63" s="534" t="s">
        <v>629</v>
      </c>
      <c r="CJ63" s="534" t="s">
        <v>630</v>
      </c>
      <c r="CK63" s="534" t="s">
        <v>631</v>
      </c>
      <c r="CL63" s="534" t="s">
        <v>725</v>
      </c>
      <c r="CM63" s="534" t="s">
        <v>726</v>
      </c>
      <c r="CN63" s="534" t="s">
        <v>727</v>
      </c>
      <c r="CO63" s="534" t="s">
        <v>202</v>
      </c>
      <c r="CP63" s="534" t="s">
        <v>203</v>
      </c>
      <c r="CQ63" s="534" t="s">
        <v>204</v>
      </c>
      <c r="CR63" s="534" t="s">
        <v>205</v>
      </c>
      <c r="CS63" s="534" t="s">
        <v>206</v>
      </c>
      <c r="CT63" s="534" t="s">
        <v>207</v>
      </c>
      <c r="CU63" s="534" t="s">
        <v>208</v>
      </c>
      <c r="CV63" s="534" t="s">
        <v>209</v>
      </c>
      <c r="CW63" s="534" t="s">
        <v>210</v>
      </c>
      <c r="CX63" s="534" t="s">
        <v>211</v>
      </c>
      <c r="CY63" s="534" t="s">
        <v>212</v>
      </c>
      <c r="CZ63" s="534" t="s">
        <v>213</v>
      </c>
      <c r="DA63" s="534" t="s">
        <v>214</v>
      </c>
      <c r="DB63" s="534" t="s">
        <v>215</v>
      </c>
      <c r="DC63" s="534" t="s">
        <v>216</v>
      </c>
      <c r="DD63" s="534" t="s">
        <v>217</v>
      </c>
      <c r="DE63" s="534" t="s">
        <v>218</v>
      </c>
      <c r="DF63" s="534" t="s">
        <v>219</v>
      </c>
      <c r="DG63" s="534" t="s">
        <v>220</v>
      </c>
      <c r="DH63" s="534" t="s">
        <v>221</v>
      </c>
      <c r="DI63" s="534" t="s">
        <v>222</v>
      </c>
      <c r="DJ63" s="534" t="s">
        <v>223</v>
      </c>
      <c r="DK63" s="534" t="s">
        <v>224</v>
      </c>
      <c r="DL63" s="534" t="s">
        <v>225</v>
      </c>
      <c r="DM63" s="534" t="s">
        <v>226</v>
      </c>
      <c r="DN63" s="534" t="s">
        <v>227</v>
      </c>
      <c r="DO63" s="534" t="s">
        <v>228</v>
      </c>
      <c r="DP63" s="534" t="s">
        <v>229</v>
      </c>
      <c r="DQ63" s="534" t="s">
        <v>230</v>
      </c>
      <c r="DR63" s="534" t="s">
        <v>231</v>
      </c>
      <c r="DS63" s="534" t="s">
        <v>736</v>
      </c>
      <c r="DT63" s="534" t="s">
        <v>737</v>
      </c>
      <c r="DU63" s="534" t="s">
        <v>738</v>
      </c>
      <c r="DV63" s="526" t="s">
        <v>245</v>
      </c>
      <c r="DW63" s="526" t="s">
        <v>383</v>
      </c>
      <c r="DX63" s="526" t="s">
        <v>246</v>
      </c>
      <c r="DY63" s="526" t="s">
        <v>384</v>
      </c>
      <c r="DZ63" s="526" t="s">
        <v>247</v>
      </c>
      <c r="EA63" s="526" t="s">
        <v>385</v>
      </c>
      <c r="EB63" s="526" t="s">
        <v>248</v>
      </c>
      <c r="EC63" s="526" t="s">
        <v>386</v>
      </c>
      <c r="ED63" s="526" t="s">
        <v>249</v>
      </c>
      <c r="EE63" s="526" t="s">
        <v>387</v>
      </c>
      <c r="EF63" s="526" t="s">
        <v>250</v>
      </c>
      <c r="EG63" s="526" t="s">
        <v>388</v>
      </c>
      <c r="EH63" s="535" t="s">
        <v>134</v>
      </c>
      <c r="EI63" s="536" t="s">
        <v>172</v>
      </c>
      <c r="EJ63" s="535" t="s">
        <v>149</v>
      </c>
      <c r="EK63" s="536" t="s">
        <v>176</v>
      </c>
      <c r="EL63" s="535" t="s">
        <v>150</v>
      </c>
      <c r="EM63" s="536" t="s">
        <v>175</v>
      </c>
      <c r="EN63" s="535" t="s">
        <v>135</v>
      </c>
      <c r="EO63" s="536" t="s">
        <v>174</v>
      </c>
      <c r="EP63" s="535" t="s">
        <v>151</v>
      </c>
      <c r="EQ63" s="536" t="s">
        <v>178</v>
      </c>
      <c r="ER63" s="535" t="s">
        <v>152</v>
      </c>
      <c r="ES63" s="536" t="s">
        <v>168</v>
      </c>
      <c r="ET63" s="535" t="s">
        <v>201</v>
      </c>
      <c r="EU63" s="537" t="s">
        <v>154</v>
      </c>
      <c r="EV63" s="536" t="s">
        <v>171</v>
      </c>
      <c r="EW63" s="537" t="s">
        <v>169</v>
      </c>
      <c r="EX63" s="536" t="s">
        <v>170</v>
      </c>
      <c r="EY63" s="537" t="s">
        <v>133</v>
      </c>
      <c r="EZ63" s="536" t="s">
        <v>173</v>
      </c>
      <c r="FA63" s="537" t="s">
        <v>166</v>
      </c>
      <c r="FB63" s="536" t="s">
        <v>167</v>
      </c>
      <c r="FC63" s="537" t="s">
        <v>160</v>
      </c>
      <c r="FD63" s="536" t="s">
        <v>161</v>
      </c>
      <c r="FE63" s="537" t="s">
        <v>130</v>
      </c>
      <c r="FF63" s="536" t="s">
        <v>155</v>
      </c>
      <c r="FG63" s="537" t="s">
        <v>162</v>
      </c>
      <c r="FH63" s="536" t="s">
        <v>163</v>
      </c>
      <c r="FI63" s="537" t="s">
        <v>132</v>
      </c>
      <c r="FJ63" s="536" t="s">
        <v>159</v>
      </c>
      <c r="FK63" s="537" t="s">
        <v>164</v>
      </c>
      <c r="FL63" s="536" t="s">
        <v>165</v>
      </c>
      <c r="FM63" s="537" t="s">
        <v>156</v>
      </c>
      <c r="FN63" s="536" t="s">
        <v>157</v>
      </c>
      <c r="FO63" s="537" t="s">
        <v>131</v>
      </c>
      <c r="FP63" s="536" t="s">
        <v>158</v>
      </c>
      <c r="FQ63" s="537" t="s">
        <v>153</v>
      </c>
      <c r="FR63" s="536" t="s">
        <v>177</v>
      </c>
      <c r="FS63" s="537" t="s">
        <v>191</v>
      </c>
      <c r="FT63" s="536" t="s">
        <v>192</v>
      </c>
      <c r="FU63" s="538" t="s">
        <v>193</v>
      </c>
      <c r="FV63" s="536" t="s">
        <v>194</v>
      </c>
      <c r="FW63" s="538" t="s">
        <v>195</v>
      </c>
      <c r="FX63" s="536" t="s">
        <v>196</v>
      </c>
      <c r="FY63" s="538" t="s">
        <v>197</v>
      </c>
      <c r="FZ63" s="536" t="s">
        <v>198</v>
      </c>
      <c r="GA63" s="538" t="s">
        <v>199</v>
      </c>
      <c r="GB63" s="536" t="s">
        <v>200</v>
      </c>
      <c r="GC63" s="539" t="s">
        <v>661</v>
      </c>
      <c r="GD63" s="540" t="s">
        <v>662</v>
      </c>
      <c r="GE63" s="541" t="s">
        <v>273</v>
      </c>
      <c r="GF63" s="541" t="s">
        <v>280</v>
      </c>
      <c r="GG63" s="541" t="s">
        <v>274</v>
      </c>
      <c r="GH63" s="541" t="s">
        <v>275</v>
      </c>
      <c r="GI63" s="541" t="s">
        <v>453</v>
      </c>
      <c r="GJ63" s="541" t="s">
        <v>276</v>
      </c>
      <c r="GK63" s="541" t="s">
        <v>277</v>
      </c>
      <c r="GL63" s="541" t="s">
        <v>454</v>
      </c>
      <c r="GM63" s="542" t="s">
        <v>278</v>
      </c>
      <c r="GN63" s="542" t="s">
        <v>448</v>
      </c>
      <c r="GO63" s="542" t="s">
        <v>389</v>
      </c>
      <c r="GP63" s="542" t="s">
        <v>390</v>
      </c>
      <c r="GQ63" s="542" t="s">
        <v>391</v>
      </c>
      <c r="GR63" s="542" t="s">
        <v>392</v>
      </c>
      <c r="GS63" s="542" t="s">
        <v>393</v>
      </c>
      <c r="GT63" s="543" t="s">
        <v>639</v>
      </c>
      <c r="GU63" s="541" t="s">
        <v>633</v>
      </c>
      <c r="GV63" s="541" t="s">
        <v>634</v>
      </c>
      <c r="GW63" s="541" t="s">
        <v>635</v>
      </c>
      <c r="GX63" s="541" t="s">
        <v>401</v>
      </c>
      <c r="GY63" s="544" t="s">
        <v>636</v>
      </c>
      <c r="GZ63" s="544" t="s">
        <v>637</v>
      </c>
      <c r="HA63" s="545" t="s">
        <v>407</v>
      </c>
      <c r="HB63" s="546" t="s">
        <v>671</v>
      </c>
      <c r="HC63" s="546" t="s">
        <v>672</v>
      </c>
      <c r="HD63" s="546" t="s">
        <v>673</v>
      </c>
      <c r="HE63" s="546" t="s">
        <v>674</v>
      </c>
      <c r="HF63" s="546" t="s">
        <v>675</v>
      </c>
      <c r="HG63" s="546" t="s">
        <v>676</v>
      </c>
      <c r="HH63" s="546" t="s">
        <v>677</v>
      </c>
      <c r="HI63" s="546" t="s">
        <v>678</v>
      </c>
      <c r="HJ63" s="546" t="s">
        <v>679</v>
      </c>
      <c r="HK63" s="546" t="s">
        <v>680</v>
      </c>
      <c r="HL63" s="546" t="s">
        <v>681</v>
      </c>
      <c r="HM63" s="546" t="s">
        <v>682</v>
      </c>
      <c r="HN63" s="546" t="s">
        <v>683</v>
      </c>
      <c r="HO63" s="546" t="s">
        <v>684</v>
      </c>
      <c r="HP63" s="546" t="s">
        <v>685</v>
      </c>
      <c r="HQ63" s="546" t="s">
        <v>686</v>
      </c>
      <c r="HR63" s="546" t="s">
        <v>687</v>
      </c>
      <c r="HS63" s="546" t="s">
        <v>688</v>
      </c>
      <c r="HT63" s="546" t="s">
        <v>689</v>
      </c>
      <c r="HU63" s="546" t="s">
        <v>690</v>
      </c>
      <c r="HV63" s="546" t="s">
        <v>691</v>
      </c>
      <c r="HW63" s="547" t="s">
        <v>692</v>
      </c>
      <c r="HX63" s="547" t="s">
        <v>693</v>
      </c>
      <c r="HY63" s="545" t="s">
        <v>694</v>
      </c>
      <c r="HZ63" s="662" t="s">
        <v>797</v>
      </c>
      <c r="IA63" s="662" t="s">
        <v>798</v>
      </c>
      <c r="IB63" s="662" t="s">
        <v>799</v>
      </c>
      <c r="IC63" s="662" t="s">
        <v>800</v>
      </c>
      <c r="ID63" s="662" t="s">
        <v>801</v>
      </c>
      <c r="IE63" s="662" t="s">
        <v>802</v>
      </c>
      <c r="IF63" s="662" t="s">
        <v>803</v>
      </c>
      <c r="IG63" s="662" t="s">
        <v>804</v>
      </c>
      <c r="IH63" s="662" t="s">
        <v>805</v>
      </c>
      <c r="II63" s="662" t="s">
        <v>806</v>
      </c>
      <c r="IJ63" s="662" t="s">
        <v>807</v>
      </c>
      <c r="IK63" s="662" t="s">
        <v>808</v>
      </c>
      <c r="IL63" s="662" t="s">
        <v>809</v>
      </c>
      <c r="IM63" s="662" t="s">
        <v>810</v>
      </c>
      <c r="IN63" s="662" t="s">
        <v>811</v>
      </c>
      <c r="IO63" s="662" t="s">
        <v>812</v>
      </c>
      <c r="IP63" s="662" t="s">
        <v>813</v>
      </c>
      <c r="IQ63" s="662" t="s">
        <v>814</v>
      </c>
      <c r="IR63" s="662" t="s">
        <v>815</v>
      </c>
      <c r="IS63" s="663" t="s">
        <v>816</v>
      </c>
      <c r="IT63" s="663" t="s">
        <v>817</v>
      </c>
      <c r="IU63" s="663" t="s">
        <v>818</v>
      </c>
      <c r="IV63" s="663" t="s">
        <v>819</v>
      </c>
      <c r="IW63" s="663" t="s">
        <v>820</v>
      </c>
      <c r="IX63" s="663" t="s">
        <v>821</v>
      </c>
      <c r="IY63" s="663" t="s">
        <v>822</v>
      </c>
      <c r="IZ63" s="663" t="s">
        <v>823</v>
      </c>
      <c r="JA63" s="663" t="s">
        <v>824</v>
      </c>
      <c r="JB63" s="663" t="s">
        <v>825</v>
      </c>
      <c r="JC63" s="663" t="s">
        <v>826</v>
      </c>
      <c r="JD63" s="663" t="s">
        <v>827</v>
      </c>
      <c r="JE63" s="663" t="s">
        <v>828</v>
      </c>
      <c r="JF63" s="663" t="s">
        <v>829</v>
      </c>
      <c r="JG63" s="663" t="s">
        <v>830</v>
      </c>
      <c r="JH63" s="663" t="s">
        <v>831</v>
      </c>
      <c r="JI63" s="663" t="s">
        <v>832</v>
      </c>
      <c r="JJ63" s="663" t="s">
        <v>833</v>
      </c>
      <c r="JK63" s="663" t="s">
        <v>834</v>
      </c>
      <c r="JL63" s="663" t="s">
        <v>835</v>
      </c>
      <c r="JM63" s="663" t="s">
        <v>836</v>
      </c>
      <c r="JN63" s="663" t="s">
        <v>837</v>
      </c>
      <c r="JO63" s="663" t="s">
        <v>838</v>
      </c>
      <c r="JP63" s="663" t="s">
        <v>839</v>
      </c>
      <c r="JQ63" s="663" t="s">
        <v>840</v>
      </c>
      <c r="JR63" s="663" t="s">
        <v>841</v>
      </c>
      <c r="JS63" s="663" t="s">
        <v>842</v>
      </c>
      <c r="JT63" s="663" t="s">
        <v>843</v>
      </c>
      <c r="JU63" s="663" t="s">
        <v>844</v>
      </c>
      <c r="JV63" s="663" t="s">
        <v>845</v>
      </c>
      <c r="JW63" s="663" t="s">
        <v>846</v>
      </c>
      <c r="JX63" s="663" t="s">
        <v>847</v>
      </c>
      <c r="JY63" s="663" t="s">
        <v>848</v>
      </c>
      <c r="JZ63" s="663" t="s">
        <v>849</v>
      </c>
      <c r="KA63" s="663" t="s">
        <v>850</v>
      </c>
      <c r="KB63" s="663" t="s">
        <v>851</v>
      </c>
      <c r="KC63" s="663" t="s">
        <v>852</v>
      </c>
      <c r="KD63" s="663" t="s">
        <v>853</v>
      </c>
      <c r="KE63" s="663" t="s">
        <v>854</v>
      </c>
      <c r="KF63" s="663" t="s">
        <v>855</v>
      </c>
      <c r="KG63" s="663" t="s">
        <v>856</v>
      </c>
      <c r="KH63" s="663" t="s">
        <v>857</v>
      </c>
      <c r="KI63" s="663" t="s">
        <v>858</v>
      </c>
      <c r="KJ63" s="663" t="s">
        <v>859</v>
      </c>
      <c r="KK63" s="663" t="s">
        <v>860</v>
      </c>
      <c r="KL63" s="663" t="s">
        <v>861</v>
      </c>
      <c r="KM63" s="663" t="s">
        <v>862</v>
      </c>
      <c r="KN63" s="663" t="s">
        <v>863</v>
      </c>
      <c r="KO63" s="663" t="s">
        <v>864</v>
      </c>
      <c r="KP63" s="663" t="s">
        <v>865</v>
      </c>
      <c r="KQ63" s="663" t="s">
        <v>866</v>
      </c>
      <c r="KR63" s="663" t="s">
        <v>867</v>
      </c>
      <c r="KS63" s="663" t="s">
        <v>868</v>
      </c>
      <c r="KT63" s="663" t="s">
        <v>869</v>
      </c>
      <c r="KU63" s="663" t="s">
        <v>870</v>
      </c>
      <c r="KV63" s="663" t="s">
        <v>871</v>
      </c>
      <c r="KW63" s="663" t="s">
        <v>872</v>
      </c>
      <c r="KX63" s="663" t="s">
        <v>873</v>
      </c>
      <c r="KY63" s="663" t="s">
        <v>874</v>
      </c>
      <c r="KZ63" s="663" t="s">
        <v>875</v>
      </c>
      <c r="LA63" s="663" t="s">
        <v>876</v>
      </c>
      <c r="LB63" s="663" t="s">
        <v>877</v>
      </c>
      <c r="LC63" s="663" t="s">
        <v>878</v>
      </c>
      <c r="LD63" s="663" t="s">
        <v>879</v>
      </c>
      <c r="LE63" s="663" t="s">
        <v>880</v>
      </c>
      <c r="LF63" s="663" t="s">
        <v>881</v>
      </c>
      <c r="LG63" s="663" t="s">
        <v>882</v>
      </c>
      <c r="LH63" s="663" t="s">
        <v>883</v>
      </c>
      <c r="LI63" s="663" t="s">
        <v>884</v>
      </c>
      <c r="LJ63" s="663" t="s">
        <v>885</v>
      </c>
      <c r="LK63" s="663" t="s">
        <v>886</v>
      </c>
      <c r="LL63" s="663" t="s">
        <v>887</v>
      </c>
      <c r="LM63" s="663" t="s">
        <v>888</v>
      </c>
      <c r="LN63" s="663" t="s">
        <v>889</v>
      </c>
      <c r="LO63" s="663" t="s">
        <v>890</v>
      </c>
      <c r="LP63" s="663" t="s">
        <v>891</v>
      </c>
      <c r="LQ63" s="663" t="s">
        <v>892</v>
      </c>
      <c r="LR63" s="663" t="s">
        <v>893</v>
      </c>
      <c r="LS63" s="663" t="s">
        <v>894</v>
      </c>
      <c r="LT63" s="663" t="s">
        <v>895</v>
      </c>
      <c r="LU63" s="663" t="s">
        <v>896</v>
      </c>
      <c r="LV63" s="663" t="s">
        <v>897</v>
      </c>
      <c r="LW63" s="663" t="s">
        <v>898</v>
      </c>
      <c r="LX63" s="663" t="s">
        <v>899</v>
      </c>
      <c r="LY63" s="663" t="s">
        <v>900</v>
      </c>
      <c r="LZ63" s="663" t="s">
        <v>901</v>
      </c>
      <c r="MA63" s="663" t="s">
        <v>902</v>
      </c>
      <c r="MB63" s="663" t="s">
        <v>903</v>
      </c>
      <c r="MC63" s="663" t="s">
        <v>904</v>
      </c>
      <c r="MD63" s="663" t="s">
        <v>905</v>
      </c>
      <c r="ME63" s="663" t="s">
        <v>906</v>
      </c>
      <c r="MF63" s="663" t="s">
        <v>907</v>
      </c>
      <c r="MG63" s="663" t="s">
        <v>908</v>
      </c>
      <c r="MH63" s="663" t="s">
        <v>909</v>
      </c>
      <c r="MI63" s="663" t="s">
        <v>910</v>
      </c>
      <c r="MJ63" s="663" t="s">
        <v>911</v>
      </c>
      <c r="MK63" s="663" t="s">
        <v>912</v>
      </c>
      <c r="ML63" s="663" t="s">
        <v>913</v>
      </c>
      <c r="MM63" s="663" t="s">
        <v>914</v>
      </c>
      <c r="MN63" s="663" t="s">
        <v>915</v>
      </c>
      <c r="MO63" s="663" t="s">
        <v>916</v>
      </c>
      <c r="MP63" s="663" t="s">
        <v>917</v>
      </c>
      <c r="MQ63" s="663" t="s">
        <v>918</v>
      </c>
      <c r="MR63" s="663" t="s">
        <v>919</v>
      </c>
      <c r="MS63" s="663" t="s">
        <v>920</v>
      </c>
      <c r="MT63" s="663" t="s">
        <v>921</v>
      </c>
      <c r="MU63" s="663" t="s">
        <v>922</v>
      </c>
      <c r="MV63" s="663" t="s">
        <v>923</v>
      </c>
      <c r="MW63" s="663" t="s">
        <v>924</v>
      </c>
      <c r="MX63" s="663" t="s">
        <v>925</v>
      </c>
      <c r="MY63" s="663" t="s">
        <v>926</v>
      </c>
      <c r="MZ63" s="663" t="s">
        <v>927</v>
      </c>
      <c r="NA63" s="663" t="s">
        <v>928</v>
      </c>
      <c r="NB63" s="663" t="s">
        <v>929</v>
      </c>
      <c r="NC63" s="546" t="s">
        <v>455</v>
      </c>
      <c r="ND63" s="546" t="s">
        <v>456</v>
      </c>
      <c r="NE63" s="546" t="s">
        <v>457</v>
      </c>
      <c r="NF63" s="546" t="s">
        <v>458</v>
      </c>
      <c r="NG63" s="546" t="s">
        <v>459</v>
      </c>
      <c r="NH63" s="546" t="s">
        <v>460</v>
      </c>
      <c r="NI63" s="546" t="s">
        <v>461</v>
      </c>
      <c r="NJ63" s="546" t="s">
        <v>462</v>
      </c>
      <c r="NK63" s="546" t="s">
        <v>463</v>
      </c>
      <c r="NL63" s="546" t="s">
        <v>464</v>
      </c>
      <c r="NM63" s="546" t="s">
        <v>465</v>
      </c>
      <c r="NN63" s="546" t="s">
        <v>466</v>
      </c>
      <c r="NO63" s="546" t="s">
        <v>467</v>
      </c>
      <c r="NP63" s="546" t="s">
        <v>468</v>
      </c>
      <c r="NQ63" s="546" t="s">
        <v>469</v>
      </c>
      <c r="NR63" s="546" t="s">
        <v>470</v>
      </c>
      <c r="NS63" s="546" t="s">
        <v>471</v>
      </c>
      <c r="NT63" s="546" t="s">
        <v>472</v>
      </c>
      <c r="NU63" s="546" t="s">
        <v>473</v>
      </c>
      <c r="NV63" s="546" t="s">
        <v>474</v>
      </c>
      <c r="NW63" s="546" t="s">
        <v>475</v>
      </c>
      <c r="NX63" s="547" t="s">
        <v>476</v>
      </c>
      <c r="NY63" s="547" t="s">
        <v>477</v>
      </c>
      <c r="NZ63" s="547" t="s">
        <v>478</v>
      </c>
      <c r="OA63" s="547" t="s">
        <v>479</v>
      </c>
      <c r="OB63" s="547" t="s">
        <v>480</v>
      </c>
      <c r="OC63" s="547" t="s">
        <v>481</v>
      </c>
      <c r="OD63" s="547" t="s">
        <v>482</v>
      </c>
      <c r="OE63" s="547" t="s">
        <v>483</v>
      </c>
      <c r="OF63" s="547" t="s">
        <v>484</v>
      </c>
      <c r="OG63" s="547" t="s">
        <v>485</v>
      </c>
      <c r="OH63" s="547" t="s">
        <v>486</v>
      </c>
      <c r="OI63" s="547" t="s">
        <v>487</v>
      </c>
      <c r="OJ63" s="547" t="s">
        <v>488</v>
      </c>
      <c r="OK63" s="547" t="s">
        <v>489</v>
      </c>
      <c r="OL63" s="547" t="s">
        <v>490</v>
      </c>
      <c r="OM63" s="547" t="s">
        <v>491</v>
      </c>
      <c r="ON63" s="547" t="s">
        <v>492</v>
      </c>
      <c r="OO63" s="547" t="s">
        <v>493</v>
      </c>
      <c r="OP63" s="547" t="s">
        <v>494</v>
      </c>
      <c r="OQ63" s="547" t="s">
        <v>495</v>
      </c>
      <c r="OR63" s="547" t="s">
        <v>496</v>
      </c>
      <c r="OS63" s="547" t="s">
        <v>497</v>
      </c>
      <c r="OT63" s="547" t="s">
        <v>498</v>
      </c>
      <c r="OU63" s="547" t="s">
        <v>499</v>
      </c>
      <c r="OV63" s="547" t="s">
        <v>500</v>
      </c>
      <c r="OW63" s="547" t="s">
        <v>501</v>
      </c>
      <c r="OX63" s="547" t="s">
        <v>502</v>
      </c>
      <c r="OY63" s="547" t="s">
        <v>503</v>
      </c>
      <c r="OZ63" s="547" t="s">
        <v>504</v>
      </c>
      <c r="PA63" s="547" t="s">
        <v>505</v>
      </c>
      <c r="PB63" s="548" t="s">
        <v>722</v>
      </c>
      <c r="PC63" s="548" t="s">
        <v>723</v>
      </c>
      <c r="PD63" s="548" t="s">
        <v>724</v>
      </c>
      <c r="PE63" s="549" t="s">
        <v>506</v>
      </c>
      <c r="PF63" s="549" t="s">
        <v>507</v>
      </c>
      <c r="PG63" s="549" t="s">
        <v>508</v>
      </c>
      <c r="PH63" s="549" t="s">
        <v>509</v>
      </c>
      <c r="PI63" s="549" t="s">
        <v>510</v>
      </c>
      <c r="PJ63" s="549" t="s">
        <v>511</v>
      </c>
      <c r="PK63" s="549" t="s">
        <v>512</v>
      </c>
      <c r="PL63" s="549" t="s">
        <v>513</v>
      </c>
      <c r="PM63" s="549" t="s">
        <v>514</v>
      </c>
      <c r="PN63" s="549" t="s">
        <v>515</v>
      </c>
      <c r="PO63" s="549" t="s">
        <v>516</v>
      </c>
      <c r="PP63" s="549" t="s">
        <v>517</v>
      </c>
      <c r="PQ63" s="549" t="s">
        <v>518</v>
      </c>
      <c r="PR63" s="549" t="s">
        <v>519</v>
      </c>
      <c r="PS63" s="549" t="s">
        <v>520</v>
      </c>
      <c r="PT63" s="549" t="s">
        <v>521</v>
      </c>
      <c r="PU63" s="549" t="s">
        <v>522</v>
      </c>
      <c r="PV63" s="549" t="s">
        <v>523</v>
      </c>
      <c r="PW63" s="549" t="s">
        <v>524</v>
      </c>
      <c r="PX63" s="549" t="s">
        <v>525</v>
      </c>
      <c r="PY63" s="549" t="s">
        <v>526</v>
      </c>
      <c r="PZ63" s="549" t="s">
        <v>527</v>
      </c>
      <c r="QA63" s="549" t="s">
        <v>528</v>
      </c>
      <c r="QB63" s="549" t="s">
        <v>529</v>
      </c>
      <c r="QC63" s="549" t="s">
        <v>530</v>
      </c>
      <c r="QD63" s="549" t="s">
        <v>531</v>
      </c>
      <c r="QE63" s="549" t="s">
        <v>532</v>
      </c>
      <c r="QF63" s="549" t="s">
        <v>533</v>
      </c>
      <c r="QG63" s="549" t="s">
        <v>534</v>
      </c>
      <c r="QH63" s="549" t="s">
        <v>535</v>
      </c>
      <c r="QI63" s="549" t="s">
        <v>732</v>
      </c>
      <c r="QJ63" s="549" t="s">
        <v>733</v>
      </c>
      <c r="QK63" s="549" t="s">
        <v>734</v>
      </c>
      <c r="QL63" s="544" t="s">
        <v>930</v>
      </c>
      <c r="QM63" s="544" t="s">
        <v>931</v>
      </c>
      <c r="QN63" s="544" t="s">
        <v>932</v>
      </c>
      <c r="QO63" s="544" t="s">
        <v>933</v>
      </c>
      <c r="QP63" s="544" t="s">
        <v>934</v>
      </c>
      <c r="QQ63" s="544" t="s">
        <v>935</v>
      </c>
      <c r="QR63" s="544" t="s">
        <v>936</v>
      </c>
      <c r="QS63" s="544" t="s">
        <v>937</v>
      </c>
      <c r="QT63" s="544" t="s">
        <v>938</v>
      </c>
      <c r="QU63" s="544" t="s">
        <v>939</v>
      </c>
      <c r="QV63" s="544" t="s">
        <v>940</v>
      </c>
      <c r="QW63" s="544" t="s">
        <v>941</v>
      </c>
      <c r="QX63" s="544" t="s">
        <v>942</v>
      </c>
      <c r="QY63" s="544" t="s">
        <v>943</v>
      </c>
      <c r="QZ63" s="544" t="s">
        <v>944</v>
      </c>
      <c r="RA63" s="544" t="s">
        <v>945</v>
      </c>
      <c r="RB63" s="544" t="s">
        <v>946</v>
      </c>
      <c r="RC63" s="544" t="s">
        <v>947</v>
      </c>
      <c r="RD63" s="544" t="s">
        <v>948</v>
      </c>
      <c r="RE63" s="544" t="s">
        <v>949</v>
      </c>
      <c r="RF63" s="544" t="s">
        <v>950</v>
      </c>
      <c r="RG63" s="544" t="s">
        <v>951</v>
      </c>
      <c r="RH63" s="544" t="s">
        <v>952</v>
      </c>
      <c r="RI63" s="544" t="s">
        <v>953</v>
      </c>
      <c r="RJ63" s="544" t="s">
        <v>954</v>
      </c>
      <c r="RK63" s="544" t="s">
        <v>955</v>
      </c>
      <c r="RL63" s="544" t="s">
        <v>956</v>
      </c>
      <c r="RM63" s="544" t="s">
        <v>957</v>
      </c>
      <c r="RN63" s="544" t="s">
        <v>958</v>
      </c>
      <c r="RO63" s="544" t="s">
        <v>959</v>
      </c>
      <c r="RP63" s="544" t="s">
        <v>960</v>
      </c>
      <c r="RQ63" s="544" t="s">
        <v>961</v>
      </c>
      <c r="RR63" s="544" t="s">
        <v>962</v>
      </c>
      <c r="RS63" s="544" t="s">
        <v>963</v>
      </c>
      <c r="RT63" s="544" t="s">
        <v>964</v>
      </c>
      <c r="RU63" s="544" t="s">
        <v>965</v>
      </c>
      <c r="RV63" s="544" t="s">
        <v>966</v>
      </c>
      <c r="RW63" s="544" t="s">
        <v>967</v>
      </c>
      <c r="RX63" s="544" t="s">
        <v>968</v>
      </c>
      <c r="RY63" s="544" t="s">
        <v>969</v>
      </c>
      <c r="RZ63" s="544" t="s">
        <v>970</v>
      </c>
      <c r="SA63" s="544" t="s">
        <v>971</v>
      </c>
      <c r="SB63" s="544" t="s">
        <v>972</v>
      </c>
      <c r="SC63" s="544" t="s">
        <v>973</v>
      </c>
      <c r="SD63" s="544" t="s">
        <v>974</v>
      </c>
      <c r="SE63" s="544" t="s">
        <v>975</v>
      </c>
      <c r="SF63" s="544" t="s">
        <v>976</v>
      </c>
      <c r="SG63" s="544" t="s">
        <v>977</v>
      </c>
      <c r="SH63" s="544" t="s">
        <v>978</v>
      </c>
      <c r="SI63" s="544" t="s">
        <v>979</v>
      </c>
      <c r="SJ63" s="544" t="s">
        <v>980</v>
      </c>
      <c r="SK63" s="544" t="s">
        <v>981</v>
      </c>
      <c r="SL63" s="544" t="s">
        <v>982</v>
      </c>
      <c r="SM63" s="544" t="s">
        <v>983</v>
      </c>
      <c r="SN63" s="544" t="s">
        <v>984</v>
      </c>
      <c r="SO63" s="544" t="s">
        <v>985</v>
      </c>
      <c r="SP63" s="544" t="s">
        <v>986</v>
      </c>
      <c r="SQ63" s="544" t="s">
        <v>987</v>
      </c>
      <c r="SR63" s="544" t="s">
        <v>988</v>
      </c>
      <c r="SS63" s="544" t="s">
        <v>989</v>
      </c>
      <c r="ST63" s="544" t="s">
        <v>990</v>
      </c>
      <c r="SU63" s="544" t="s">
        <v>991</v>
      </c>
      <c r="SV63" s="544" t="s">
        <v>992</v>
      </c>
      <c r="SW63" s="544" t="s">
        <v>993</v>
      </c>
      <c r="SX63" s="544" t="s">
        <v>994</v>
      </c>
      <c r="SY63" s="544" t="s">
        <v>995</v>
      </c>
      <c r="SZ63" s="544" t="s">
        <v>996</v>
      </c>
      <c r="TA63" s="544" t="s">
        <v>997</v>
      </c>
      <c r="TB63" s="544" t="s">
        <v>998</v>
      </c>
      <c r="TC63" s="544" t="s">
        <v>999</v>
      </c>
      <c r="TD63" s="544" t="s">
        <v>1000</v>
      </c>
      <c r="TE63" s="544" t="s">
        <v>1001</v>
      </c>
      <c r="TF63" s="544" t="s">
        <v>1002</v>
      </c>
      <c r="TG63" s="544" t="s">
        <v>1003</v>
      </c>
      <c r="TH63" s="544" t="s">
        <v>1004</v>
      </c>
      <c r="TI63" s="544" t="s">
        <v>1005</v>
      </c>
      <c r="TJ63" s="544" t="s">
        <v>1006</v>
      </c>
      <c r="TK63" s="544" t="s">
        <v>1007</v>
      </c>
      <c r="TL63" s="544" t="s">
        <v>1008</v>
      </c>
      <c r="TM63" s="544" t="s">
        <v>1009</v>
      </c>
      <c r="TN63" s="544" t="s">
        <v>1010</v>
      </c>
      <c r="TO63" s="544" t="s">
        <v>1011</v>
      </c>
      <c r="TP63" s="544" t="s">
        <v>1012</v>
      </c>
      <c r="TQ63" s="544" t="s">
        <v>1013</v>
      </c>
      <c r="TR63" s="544" t="s">
        <v>1014</v>
      </c>
      <c r="TS63" s="544" t="s">
        <v>1015</v>
      </c>
      <c r="TT63" s="544" t="s">
        <v>1016</v>
      </c>
      <c r="TU63" s="544" t="s">
        <v>1017</v>
      </c>
      <c r="TV63" s="544" t="s">
        <v>1018</v>
      </c>
      <c r="TW63" s="544" t="s">
        <v>1019</v>
      </c>
      <c r="TX63" s="544" t="s">
        <v>1020</v>
      </c>
      <c r="TY63" s="544" t="s">
        <v>1021</v>
      </c>
      <c r="TZ63" s="544" t="s">
        <v>1022</v>
      </c>
      <c r="UA63" s="544" t="s">
        <v>1023</v>
      </c>
      <c r="UB63" s="544" t="s">
        <v>1024</v>
      </c>
      <c r="UC63" s="544" t="s">
        <v>1025</v>
      </c>
      <c r="UD63" s="544" t="s">
        <v>1026</v>
      </c>
      <c r="UE63" s="544" t="s">
        <v>1027</v>
      </c>
      <c r="UF63" s="544" t="s">
        <v>1028</v>
      </c>
      <c r="UG63" s="544" t="s">
        <v>1029</v>
      </c>
      <c r="UH63" s="544" t="s">
        <v>1030</v>
      </c>
      <c r="UI63" s="544" t="s">
        <v>1031</v>
      </c>
      <c r="UJ63" s="544" t="s">
        <v>1032</v>
      </c>
      <c r="UK63" s="544" t="s">
        <v>1033</v>
      </c>
      <c r="UL63" s="544" t="s">
        <v>1034</v>
      </c>
      <c r="UM63" s="544" t="s">
        <v>1035</v>
      </c>
      <c r="UN63" s="544" t="s">
        <v>1036</v>
      </c>
      <c r="UO63" s="544" t="s">
        <v>1037</v>
      </c>
      <c r="UP63" s="544" t="s">
        <v>1038</v>
      </c>
      <c r="UQ63" s="544" t="s">
        <v>1039</v>
      </c>
      <c r="UR63" s="544" t="s">
        <v>1040</v>
      </c>
      <c r="US63" s="544" t="s">
        <v>1041</v>
      </c>
      <c r="UT63" s="544" t="s">
        <v>1042</v>
      </c>
      <c r="UU63" s="544" t="s">
        <v>1043</v>
      </c>
      <c r="UV63" s="544" t="s">
        <v>1044</v>
      </c>
      <c r="UW63" s="544" t="s">
        <v>1045</v>
      </c>
      <c r="UX63" s="544" t="s">
        <v>1046</v>
      </c>
      <c r="UY63" s="544" t="s">
        <v>1047</v>
      </c>
      <c r="UZ63" s="544" t="s">
        <v>1048</v>
      </c>
      <c r="VA63" s="544" t="s">
        <v>1049</v>
      </c>
      <c r="VB63" s="544" t="s">
        <v>1050</v>
      </c>
      <c r="VC63" s="544" t="s">
        <v>1051</v>
      </c>
      <c r="VD63" s="544" t="s">
        <v>1052</v>
      </c>
      <c r="VE63" s="544" t="s">
        <v>1053</v>
      </c>
      <c r="VF63" s="544" t="s">
        <v>1054</v>
      </c>
      <c r="VG63" s="544" t="s">
        <v>1055</v>
      </c>
      <c r="VH63" s="544" t="s">
        <v>1056</v>
      </c>
      <c r="VI63" s="544" t="s">
        <v>1057</v>
      </c>
      <c r="VJ63" s="544" t="s">
        <v>1058</v>
      </c>
      <c r="VK63" s="544" t="s">
        <v>1059</v>
      </c>
      <c r="VL63" s="544" t="s">
        <v>1060</v>
      </c>
      <c r="VM63" s="544" t="s">
        <v>1061</v>
      </c>
      <c r="VN63" s="544" t="s">
        <v>1062</v>
      </c>
    </row>
    <row r="64" spans="1:621" s="693" customFormat="1" ht="15.75" customHeight="1" x14ac:dyDescent="0.35">
      <c r="A64" s="550" t="s">
        <v>32</v>
      </c>
      <c r="B64" s="551" t="s">
        <v>127</v>
      </c>
      <c r="C64" s="552">
        <v>17.25</v>
      </c>
      <c r="D64" s="666">
        <v>258278</v>
      </c>
      <c r="E64" s="667">
        <v>28929094.600000001</v>
      </c>
      <c r="F64" s="667">
        <v>112</v>
      </c>
      <c r="G64" s="666">
        <v>258202</v>
      </c>
      <c r="H64" s="666">
        <v>212509</v>
      </c>
      <c r="I64" s="666">
        <v>150769</v>
      </c>
      <c r="J64" s="666">
        <v>122458</v>
      </c>
      <c r="K64" s="666">
        <v>96988</v>
      </c>
      <c r="L64" s="667">
        <v>14534283.5</v>
      </c>
      <c r="M64" s="666">
        <v>161281</v>
      </c>
      <c r="N64" s="667">
        <v>14394811.1</v>
      </c>
      <c r="O64" s="666">
        <v>18153</v>
      </c>
      <c r="P64" s="668">
        <v>3274512.6</v>
      </c>
      <c r="Q64" s="666">
        <v>17408</v>
      </c>
      <c r="R64" s="668">
        <v>589041.6</v>
      </c>
      <c r="S64" s="666">
        <v>102605</v>
      </c>
      <c r="T64" s="668">
        <v>10891369.800000001</v>
      </c>
      <c r="U64" s="666">
        <v>2970</v>
      </c>
      <c r="V64" s="668">
        <v>391530</v>
      </c>
      <c r="W64" s="666">
        <v>152703</v>
      </c>
      <c r="X64" s="668">
        <v>17646194.800000001</v>
      </c>
      <c r="Y64" s="666">
        <v>212946</v>
      </c>
      <c r="Z64" s="666">
        <v>119782</v>
      </c>
      <c r="AA64" s="666">
        <v>152596</v>
      </c>
      <c r="AB64" s="666">
        <v>101740</v>
      </c>
      <c r="AC64" s="666">
        <v>9235</v>
      </c>
      <c r="AD64" s="666">
        <v>35225</v>
      </c>
      <c r="AE64" s="666">
        <v>118574</v>
      </c>
      <c r="AF64" s="668">
        <v>9060343.9000000004</v>
      </c>
      <c r="AG64" s="666">
        <v>126548</v>
      </c>
      <c r="AH64" s="668">
        <v>18945928.5</v>
      </c>
      <c r="AI64" s="666">
        <v>7048</v>
      </c>
      <c r="AJ64" s="668">
        <v>322955.90000000002</v>
      </c>
      <c r="AK64" s="666">
        <v>6099</v>
      </c>
      <c r="AL64" s="668">
        <v>599866.30000000005</v>
      </c>
      <c r="AM64" s="553">
        <v>152184</v>
      </c>
      <c r="AN64" s="553">
        <v>106094</v>
      </c>
      <c r="AO64" s="553">
        <v>76858</v>
      </c>
      <c r="AP64" s="553">
        <v>86705</v>
      </c>
      <c r="AQ64" s="553">
        <v>41804</v>
      </c>
      <c r="AR64" s="553">
        <v>2623</v>
      </c>
      <c r="AS64" s="553">
        <v>410</v>
      </c>
      <c r="AT64" s="553">
        <v>7472</v>
      </c>
      <c r="AU64" s="553">
        <v>766</v>
      </c>
      <c r="AV64" s="553">
        <v>274</v>
      </c>
      <c r="AW64" s="553">
        <v>16920</v>
      </c>
      <c r="AX64" s="553">
        <v>3316</v>
      </c>
      <c r="AY64" s="553">
        <v>363</v>
      </c>
      <c r="AZ64" s="553">
        <v>9321</v>
      </c>
      <c r="BA64" s="553">
        <v>191</v>
      </c>
      <c r="BB64" s="553">
        <v>1070</v>
      </c>
      <c r="BC64" s="553">
        <v>45</v>
      </c>
      <c r="BD64" s="553">
        <v>13</v>
      </c>
      <c r="BE64" s="553">
        <v>84</v>
      </c>
      <c r="BF64" s="553">
        <v>3813</v>
      </c>
      <c r="BG64" s="553">
        <v>6230</v>
      </c>
      <c r="BH64" s="553">
        <v>140</v>
      </c>
      <c r="BI64" s="553">
        <v>58371</v>
      </c>
      <c r="BJ64" s="553">
        <v>8946</v>
      </c>
      <c r="BK64" s="553">
        <v>89</v>
      </c>
      <c r="BL64" s="553">
        <v>8669</v>
      </c>
      <c r="BM64" s="553">
        <v>3934</v>
      </c>
      <c r="BN64" s="553">
        <v>1175</v>
      </c>
      <c r="BO64" s="553">
        <v>108089</v>
      </c>
      <c r="BP64" s="553">
        <v>34</v>
      </c>
      <c r="BQ64" s="553">
        <v>38</v>
      </c>
      <c r="BR64" s="553">
        <v>6567</v>
      </c>
      <c r="BS64" s="553">
        <v>177</v>
      </c>
      <c r="BT64" s="553">
        <v>2972</v>
      </c>
      <c r="BU64" s="553">
        <v>38992</v>
      </c>
      <c r="BV64" s="553">
        <v>16</v>
      </c>
      <c r="BW64" s="553" t="s">
        <v>721</v>
      </c>
      <c r="BX64" s="553" t="s">
        <v>721</v>
      </c>
      <c r="BY64" s="553">
        <v>76</v>
      </c>
      <c r="BZ64" s="553">
        <v>31</v>
      </c>
      <c r="CA64" s="553">
        <v>42</v>
      </c>
      <c r="CB64" s="553">
        <v>12</v>
      </c>
      <c r="CC64" s="553">
        <v>14</v>
      </c>
      <c r="CD64" s="553">
        <v>6907</v>
      </c>
      <c r="CE64" s="553">
        <v>28</v>
      </c>
      <c r="CF64" s="553">
        <v>17</v>
      </c>
      <c r="CG64" s="553">
        <v>1830</v>
      </c>
      <c r="CH64" s="553">
        <v>35</v>
      </c>
      <c r="CI64" s="553">
        <v>303</v>
      </c>
      <c r="CJ64" s="553">
        <v>6905</v>
      </c>
      <c r="CK64" s="553">
        <v>3811</v>
      </c>
      <c r="CL64" s="553">
        <v>25</v>
      </c>
      <c r="CM64" s="553">
        <v>20</v>
      </c>
      <c r="CN64" s="553" t="s">
        <v>721</v>
      </c>
      <c r="CO64" s="553">
        <v>70</v>
      </c>
      <c r="CP64" s="553">
        <v>35003</v>
      </c>
      <c r="CQ64" s="553">
        <v>4830</v>
      </c>
      <c r="CR64" s="553">
        <v>42</v>
      </c>
      <c r="CS64" s="553">
        <v>3795</v>
      </c>
      <c r="CT64" s="553">
        <v>1058</v>
      </c>
      <c r="CU64" s="553">
        <v>241</v>
      </c>
      <c r="CV64" s="553">
        <v>138749</v>
      </c>
      <c r="CW64" s="553">
        <v>1886</v>
      </c>
      <c r="CX64" s="553" t="s">
        <v>721</v>
      </c>
      <c r="CY64" s="553">
        <v>3876</v>
      </c>
      <c r="CZ64" s="553">
        <v>222</v>
      </c>
      <c r="DA64" s="553">
        <v>756</v>
      </c>
      <c r="DB64" s="553">
        <v>15450</v>
      </c>
      <c r="DC64" s="553" t="s">
        <v>721</v>
      </c>
      <c r="DD64" s="553" t="s">
        <v>721</v>
      </c>
      <c r="DE64" s="553" t="s">
        <v>721</v>
      </c>
      <c r="DF64" s="553" t="s">
        <v>721</v>
      </c>
      <c r="DG64" s="553" t="s">
        <v>721</v>
      </c>
      <c r="DH64" s="553">
        <v>16</v>
      </c>
      <c r="DI64" s="553">
        <v>12</v>
      </c>
      <c r="DJ64" s="553" t="s">
        <v>721</v>
      </c>
      <c r="DK64" s="553">
        <v>2352</v>
      </c>
      <c r="DL64" s="553" t="s">
        <v>721</v>
      </c>
      <c r="DM64" s="553" t="s">
        <v>721</v>
      </c>
      <c r="DN64" s="553">
        <v>481</v>
      </c>
      <c r="DO64" s="553">
        <v>18</v>
      </c>
      <c r="DP64" s="553">
        <v>103</v>
      </c>
      <c r="DQ64" s="553">
        <v>2273</v>
      </c>
      <c r="DR64" s="553">
        <v>1651</v>
      </c>
      <c r="DS64" s="553" t="s">
        <v>721</v>
      </c>
      <c r="DT64" s="553" t="s">
        <v>721</v>
      </c>
      <c r="DU64" s="553" t="s">
        <v>721</v>
      </c>
      <c r="DV64" s="553">
        <v>19579</v>
      </c>
      <c r="DW64" s="554">
        <v>2552506.4</v>
      </c>
      <c r="DX64" s="553">
        <v>31510</v>
      </c>
      <c r="DY64" s="554">
        <v>4281801.5</v>
      </c>
      <c r="DZ64" s="553">
        <v>49542</v>
      </c>
      <c r="EA64" s="554">
        <v>5055279.7</v>
      </c>
      <c r="EB64" s="553">
        <v>59587</v>
      </c>
      <c r="EC64" s="554">
        <v>5836711.5999999996</v>
      </c>
      <c r="ED64" s="553">
        <v>57923</v>
      </c>
      <c r="EE64" s="554">
        <v>6095836.5</v>
      </c>
      <c r="EF64" s="553">
        <v>40137</v>
      </c>
      <c r="EG64" s="554">
        <v>5106958.9000000004</v>
      </c>
      <c r="EH64" s="555">
        <v>222592</v>
      </c>
      <c r="EI64" s="556">
        <v>676267.4</v>
      </c>
      <c r="EJ64" s="557">
        <v>224410</v>
      </c>
      <c r="EK64" s="556">
        <v>4978207.2</v>
      </c>
      <c r="EL64" s="557">
        <v>221752</v>
      </c>
      <c r="EM64" s="556">
        <v>1921913.3</v>
      </c>
      <c r="EN64" s="557">
        <v>227612</v>
      </c>
      <c r="EO64" s="556">
        <v>1070449.3</v>
      </c>
      <c r="EP64" s="557">
        <v>221569</v>
      </c>
      <c r="EQ64" s="556">
        <v>611795.19999999995</v>
      </c>
      <c r="ER64" s="557">
        <v>222021</v>
      </c>
      <c r="ES64" s="556">
        <v>438755</v>
      </c>
      <c r="ET64" s="557">
        <v>12</v>
      </c>
      <c r="EU64" s="558">
        <v>190517</v>
      </c>
      <c r="EV64" s="556">
        <v>2842576.2</v>
      </c>
      <c r="EW64" s="558">
        <v>22862</v>
      </c>
      <c r="EX64" s="556">
        <v>154861.29999999999</v>
      </c>
      <c r="EY64" s="558">
        <v>61773</v>
      </c>
      <c r="EZ64" s="556">
        <v>913129.5</v>
      </c>
      <c r="FA64" s="558">
        <v>12230</v>
      </c>
      <c r="FB64" s="556">
        <v>137499.6</v>
      </c>
      <c r="FC64" s="558">
        <v>241814</v>
      </c>
      <c r="FD64" s="556">
        <v>3389898.6</v>
      </c>
      <c r="FE64" s="558">
        <v>239612</v>
      </c>
      <c r="FF64" s="556">
        <v>2057619.3</v>
      </c>
      <c r="FG64" s="558">
        <v>128596</v>
      </c>
      <c r="FH64" s="556">
        <v>1114473.2</v>
      </c>
      <c r="FI64" s="558">
        <v>191618</v>
      </c>
      <c r="FJ64" s="556">
        <v>1361873.2</v>
      </c>
      <c r="FK64" s="558">
        <v>213950</v>
      </c>
      <c r="FL64" s="556">
        <v>782111.2</v>
      </c>
      <c r="FM64" s="558">
        <v>10368</v>
      </c>
      <c r="FN64" s="556">
        <v>29765.1</v>
      </c>
      <c r="FO64" s="558">
        <v>209846</v>
      </c>
      <c r="FP64" s="556">
        <v>1955985.5</v>
      </c>
      <c r="FQ64" s="558">
        <v>216857</v>
      </c>
      <c r="FR64" s="556">
        <v>611675.69999999995</v>
      </c>
      <c r="FS64" s="558">
        <v>2790</v>
      </c>
      <c r="FT64" s="556">
        <v>18660.599999999999</v>
      </c>
      <c r="FU64" s="555">
        <v>2</v>
      </c>
      <c r="FV64" s="556">
        <v>16</v>
      </c>
      <c r="FW64" s="555">
        <v>0</v>
      </c>
      <c r="FX64" s="556">
        <v>0</v>
      </c>
      <c r="FY64" s="555">
        <v>1</v>
      </c>
      <c r="FZ64" s="556">
        <v>0.1</v>
      </c>
      <c r="GA64" s="555">
        <v>0</v>
      </c>
      <c r="GB64" s="556">
        <v>0</v>
      </c>
      <c r="GC64" s="669">
        <v>0</v>
      </c>
      <c r="GD64" s="670">
        <v>764</v>
      </c>
      <c r="GE64" s="670">
        <v>2320</v>
      </c>
      <c r="GF64" s="670">
        <v>50475</v>
      </c>
      <c r="GG64" s="670">
        <v>173</v>
      </c>
      <c r="GH64" s="670">
        <v>60</v>
      </c>
      <c r="GI64" s="670">
        <v>75</v>
      </c>
      <c r="GJ64" s="670">
        <v>10</v>
      </c>
      <c r="GK64" s="670">
        <v>16859</v>
      </c>
      <c r="GL64" s="670">
        <v>36382</v>
      </c>
      <c r="GM64" s="557">
        <v>53559</v>
      </c>
      <c r="GN64" s="557">
        <v>122</v>
      </c>
      <c r="GO64" s="557">
        <v>6625</v>
      </c>
      <c r="GP64" s="557">
        <v>213</v>
      </c>
      <c r="GQ64" s="557">
        <v>2428</v>
      </c>
      <c r="GR64" s="557">
        <v>156</v>
      </c>
      <c r="GS64" s="557">
        <v>2797</v>
      </c>
      <c r="GT64" s="671">
        <v>174078</v>
      </c>
      <c r="GU64" s="670">
        <v>455</v>
      </c>
      <c r="GV64" s="557">
        <v>9</v>
      </c>
      <c r="GW64" s="557">
        <v>270</v>
      </c>
      <c r="GX64" s="557">
        <v>734</v>
      </c>
      <c r="GY64" s="559">
        <v>259</v>
      </c>
      <c r="GZ64" s="559">
        <v>95</v>
      </c>
      <c r="HA64" s="560">
        <v>354</v>
      </c>
      <c r="HB64" s="560">
        <v>31</v>
      </c>
      <c r="HC64" s="560">
        <v>38</v>
      </c>
      <c r="HD64" s="560">
        <v>0</v>
      </c>
      <c r="HE64" s="560">
        <v>13</v>
      </c>
      <c r="HF64" s="560">
        <v>15</v>
      </c>
      <c r="HG64" s="560">
        <v>26</v>
      </c>
      <c r="HH64" s="560">
        <v>65</v>
      </c>
      <c r="HI64" s="560">
        <v>0</v>
      </c>
      <c r="HJ64" s="560">
        <v>0</v>
      </c>
      <c r="HK64" s="560">
        <v>1</v>
      </c>
      <c r="HL64" s="560">
        <v>26</v>
      </c>
      <c r="HM64" s="560">
        <v>12</v>
      </c>
      <c r="HN64" s="560">
        <v>0</v>
      </c>
      <c r="HO64" s="560">
        <v>25</v>
      </c>
      <c r="HP64" s="560">
        <v>4</v>
      </c>
      <c r="HQ64" s="560">
        <v>9</v>
      </c>
      <c r="HR64" s="560">
        <v>857</v>
      </c>
      <c r="HS64" s="560">
        <v>0</v>
      </c>
      <c r="HT64" s="560">
        <v>0</v>
      </c>
      <c r="HU64" s="560">
        <v>0</v>
      </c>
      <c r="HV64" s="560">
        <v>0</v>
      </c>
      <c r="HW64" s="560">
        <v>0</v>
      </c>
      <c r="HX64" s="560">
        <v>0</v>
      </c>
      <c r="HY64" s="560">
        <v>0</v>
      </c>
      <c r="HZ64" s="560">
        <v>1376</v>
      </c>
      <c r="IA64" s="560">
        <v>2755</v>
      </c>
      <c r="IB64" s="560">
        <v>1226</v>
      </c>
      <c r="IC64" s="560">
        <v>113</v>
      </c>
      <c r="ID64" s="560" t="s">
        <v>721</v>
      </c>
      <c r="IE64" s="560">
        <v>188</v>
      </c>
      <c r="IF64" s="560">
        <v>72</v>
      </c>
      <c r="IG64" s="560" t="s">
        <v>721</v>
      </c>
      <c r="IH64" s="560">
        <v>242</v>
      </c>
      <c r="II64" s="560">
        <v>45</v>
      </c>
      <c r="IJ64" s="560">
        <v>17</v>
      </c>
      <c r="IK64" s="560">
        <v>152</v>
      </c>
      <c r="IL64" s="560" t="s">
        <v>721</v>
      </c>
      <c r="IM64" s="560">
        <v>40</v>
      </c>
      <c r="IN64" s="560" t="s">
        <v>721</v>
      </c>
      <c r="IO64" s="560" t="s">
        <v>721</v>
      </c>
      <c r="IP64" s="560" t="s">
        <v>721</v>
      </c>
      <c r="IQ64" s="560">
        <v>56</v>
      </c>
      <c r="IR64" s="560">
        <v>317</v>
      </c>
      <c r="IS64" s="560">
        <v>520</v>
      </c>
      <c r="IT64" s="560">
        <v>1295</v>
      </c>
      <c r="IU64" s="560">
        <v>552</v>
      </c>
      <c r="IV64" s="560">
        <v>40</v>
      </c>
      <c r="IW64" s="560" t="s">
        <v>721</v>
      </c>
      <c r="IX64" s="560">
        <v>69</v>
      </c>
      <c r="IY64" s="560">
        <v>40</v>
      </c>
      <c r="IZ64" s="560" t="s">
        <v>721</v>
      </c>
      <c r="JA64" s="560">
        <v>58</v>
      </c>
      <c r="JB64" s="560" t="s">
        <v>721</v>
      </c>
      <c r="JC64" s="560">
        <v>13</v>
      </c>
      <c r="JD64" s="560">
        <v>35</v>
      </c>
      <c r="JE64" s="560" t="s">
        <v>721</v>
      </c>
      <c r="JF64" s="560">
        <v>19</v>
      </c>
      <c r="JG64" s="560" t="s">
        <v>721</v>
      </c>
      <c r="JH64" s="560" t="s">
        <v>721</v>
      </c>
      <c r="JI64" s="560" t="s">
        <v>721</v>
      </c>
      <c r="JJ64" s="560">
        <v>23</v>
      </c>
      <c r="JK64" s="560">
        <v>115</v>
      </c>
      <c r="JL64" s="758">
        <v>9194385</v>
      </c>
      <c r="JM64" s="758">
        <v>9902200</v>
      </c>
      <c r="JN64" s="758">
        <v>4727494</v>
      </c>
      <c r="JO64" s="758">
        <v>285288</v>
      </c>
      <c r="JP64" s="758">
        <v>47152</v>
      </c>
      <c r="JQ64" s="758">
        <v>799996</v>
      </c>
      <c r="JR64" s="758">
        <v>80129</v>
      </c>
      <c r="JS64" s="758">
        <v>28874</v>
      </c>
      <c r="JT64" s="758">
        <v>1420867</v>
      </c>
      <c r="JU64" s="758">
        <v>312830</v>
      </c>
      <c r="JV64" s="758">
        <v>48924</v>
      </c>
      <c r="JW64" s="758">
        <v>854589</v>
      </c>
      <c r="JX64" s="758">
        <v>21342</v>
      </c>
      <c r="JY64" s="758">
        <v>129514</v>
      </c>
      <c r="JZ64" s="758">
        <v>5813</v>
      </c>
      <c r="KA64" s="758">
        <v>1457</v>
      </c>
      <c r="KB64" s="758">
        <v>8341</v>
      </c>
      <c r="KC64" s="758">
        <v>362122</v>
      </c>
      <c r="KD64" s="758">
        <v>697780</v>
      </c>
      <c r="KE64" s="560">
        <v>4638</v>
      </c>
      <c r="KF64" s="560">
        <v>8100</v>
      </c>
      <c r="KG64" s="560">
        <v>2456</v>
      </c>
      <c r="KH64" s="560">
        <v>280</v>
      </c>
      <c r="KI64" s="560">
        <v>28</v>
      </c>
      <c r="KJ64" s="560">
        <v>521</v>
      </c>
      <c r="KK64" s="560">
        <v>52</v>
      </c>
      <c r="KL64" s="560" t="s">
        <v>721</v>
      </c>
      <c r="KM64" s="560">
        <v>394</v>
      </c>
      <c r="KN64" s="560">
        <v>124</v>
      </c>
      <c r="KO64" s="560">
        <v>74</v>
      </c>
      <c r="KP64" s="560">
        <v>362</v>
      </c>
      <c r="KQ64" s="560" t="s">
        <v>721</v>
      </c>
      <c r="KR64" s="560">
        <v>104</v>
      </c>
      <c r="KS64" s="560" t="s">
        <v>721</v>
      </c>
      <c r="KT64" s="560" t="s">
        <v>721</v>
      </c>
      <c r="KU64" s="560" t="s">
        <v>721</v>
      </c>
      <c r="KV64" s="560">
        <v>185</v>
      </c>
      <c r="KW64" s="560">
        <v>815</v>
      </c>
      <c r="KX64" s="560">
        <v>4923</v>
      </c>
      <c r="KY64" s="560">
        <v>7785</v>
      </c>
      <c r="KZ64" s="560">
        <v>1978</v>
      </c>
      <c r="LA64" s="560">
        <v>173</v>
      </c>
      <c r="LB64" s="560">
        <v>41</v>
      </c>
      <c r="LC64" s="560">
        <v>499</v>
      </c>
      <c r="LD64" s="560">
        <v>40</v>
      </c>
      <c r="LE64" s="560">
        <v>12</v>
      </c>
      <c r="LF64" s="560">
        <v>770</v>
      </c>
      <c r="LG64" s="560">
        <v>229</v>
      </c>
      <c r="LH64" s="560">
        <v>24</v>
      </c>
      <c r="LI64" s="560">
        <v>183</v>
      </c>
      <c r="LJ64" s="560">
        <v>15</v>
      </c>
      <c r="LK64" s="560">
        <v>95</v>
      </c>
      <c r="LL64" s="560" t="s">
        <v>721</v>
      </c>
      <c r="LM64" s="560" t="s">
        <v>721</v>
      </c>
      <c r="LN64" s="560" t="s">
        <v>721</v>
      </c>
      <c r="LO64" s="560">
        <v>179</v>
      </c>
      <c r="LP64" s="560">
        <v>448</v>
      </c>
      <c r="LQ64" s="560">
        <v>42013</v>
      </c>
      <c r="LR64" s="560">
        <v>52977</v>
      </c>
      <c r="LS64" s="560">
        <v>27150</v>
      </c>
      <c r="LT64" s="560">
        <v>1818</v>
      </c>
      <c r="LU64" s="560">
        <v>253</v>
      </c>
      <c r="LV64" s="560">
        <v>4798</v>
      </c>
      <c r="LW64" s="560">
        <v>519</v>
      </c>
      <c r="LX64" s="560">
        <v>171</v>
      </c>
      <c r="LY64" s="560">
        <v>13270</v>
      </c>
      <c r="LZ64" s="560">
        <v>2496</v>
      </c>
      <c r="MA64" s="560">
        <v>240</v>
      </c>
      <c r="MB64" s="560">
        <v>7714</v>
      </c>
      <c r="MC64" s="560">
        <v>96</v>
      </c>
      <c r="MD64" s="560">
        <v>589</v>
      </c>
      <c r="ME64" s="560">
        <v>26</v>
      </c>
      <c r="MF64" s="560" t="s">
        <v>721</v>
      </c>
      <c r="MG64" s="560">
        <v>57</v>
      </c>
      <c r="MH64" s="560">
        <v>2643</v>
      </c>
      <c r="MI64" s="560">
        <v>4444</v>
      </c>
      <c r="MJ64" s="560">
        <v>34843</v>
      </c>
      <c r="MK64" s="560">
        <v>33725</v>
      </c>
      <c r="ML64" s="560">
        <v>14652</v>
      </c>
      <c r="MM64" s="560">
        <v>805</v>
      </c>
      <c r="MN64" s="560">
        <v>157</v>
      </c>
      <c r="MO64" s="560">
        <v>2674</v>
      </c>
      <c r="MP64" s="560">
        <v>247</v>
      </c>
      <c r="MQ64" s="560">
        <v>103</v>
      </c>
      <c r="MR64" s="560">
        <v>3650</v>
      </c>
      <c r="MS64" s="560">
        <v>820</v>
      </c>
      <c r="MT64" s="560">
        <v>123</v>
      </c>
      <c r="MU64" s="560">
        <v>1607</v>
      </c>
      <c r="MV64" s="560">
        <v>95</v>
      </c>
      <c r="MW64" s="560">
        <v>481</v>
      </c>
      <c r="MX64" s="560">
        <v>19</v>
      </c>
      <c r="MY64" s="560" t="s">
        <v>721</v>
      </c>
      <c r="MZ64" s="560">
        <v>27</v>
      </c>
      <c r="NA64" s="560">
        <v>1170</v>
      </c>
      <c r="NB64" s="560">
        <v>1784</v>
      </c>
      <c r="NC64" s="561">
        <v>0.58899999999999997</v>
      </c>
      <c r="ND64" s="561">
        <v>0.41099999999999998</v>
      </c>
      <c r="NE64" s="561">
        <v>0.29799999999999999</v>
      </c>
      <c r="NF64" s="561">
        <v>0.33600000000000002</v>
      </c>
      <c r="NG64" s="561">
        <v>0.16200000000000001</v>
      </c>
      <c r="NH64" s="561">
        <v>0.01</v>
      </c>
      <c r="NI64" s="561">
        <v>2E-3</v>
      </c>
      <c r="NJ64" s="561">
        <v>2.9000000000000001E-2</v>
      </c>
      <c r="NK64" s="561">
        <v>3.0000000000000001E-3</v>
      </c>
      <c r="NL64" s="561">
        <v>1E-3</v>
      </c>
      <c r="NM64" s="561">
        <v>6.6000000000000003E-2</v>
      </c>
      <c r="NN64" s="561">
        <v>1.2999999999999999E-2</v>
      </c>
      <c r="NO64" s="561">
        <v>1E-3</v>
      </c>
      <c r="NP64" s="561">
        <v>3.5999999999999997E-2</v>
      </c>
      <c r="NQ64" s="561">
        <v>1E-3</v>
      </c>
      <c r="NR64" s="561">
        <v>4.0000000000000001E-3</v>
      </c>
      <c r="NS64" s="561">
        <v>0</v>
      </c>
      <c r="NT64" s="561">
        <v>0</v>
      </c>
      <c r="NU64" s="561">
        <v>0</v>
      </c>
      <c r="NV64" s="561">
        <v>1.4999999999999999E-2</v>
      </c>
      <c r="NW64" s="561">
        <v>2.4E-2</v>
      </c>
      <c r="NX64" s="561">
        <v>1E-3</v>
      </c>
      <c r="NY64" s="561">
        <v>0.22600000000000001</v>
      </c>
      <c r="NZ64" s="561">
        <v>3.5000000000000003E-2</v>
      </c>
      <c r="OA64" s="561">
        <v>0</v>
      </c>
      <c r="OB64" s="561">
        <v>3.4000000000000002E-2</v>
      </c>
      <c r="OC64" s="561">
        <v>1.4999999999999999E-2</v>
      </c>
      <c r="OD64" s="561">
        <v>5.0000000000000001E-3</v>
      </c>
      <c r="OE64" s="561">
        <v>0.41799999999999998</v>
      </c>
      <c r="OF64" s="561">
        <v>0</v>
      </c>
      <c r="OG64" s="561">
        <v>0</v>
      </c>
      <c r="OH64" s="561">
        <v>2.5000000000000001E-2</v>
      </c>
      <c r="OI64" s="561">
        <v>1E-3</v>
      </c>
      <c r="OJ64" s="561">
        <v>1.2E-2</v>
      </c>
      <c r="OK64" s="561">
        <v>0.151</v>
      </c>
      <c r="OL64" s="561">
        <v>0</v>
      </c>
      <c r="OM64" s="561" t="s">
        <v>721</v>
      </c>
      <c r="ON64" s="561" t="s">
        <v>721</v>
      </c>
      <c r="OO64" s="561">
        <v>0</v>
      </c>
      <c r="OP64" s="561">
        <v>0</v>
      </c>
      <c r="OQ64" s="561">
        <v>0</v>
      </c>
      <c r="OR64" s="561">
        <v>0</v>
      </c>
      <c r="OS64" s="561">
        <v>0</v>
      </c>
      <c r="OT64" s="561">
        <v>2.7E-2</v>
      </c>
      <c r="OU64" s="561">
        <v>0</v>
      </c>
      <c r="OV64" s="561">
        <v>0</v>
      </c>
      <c r="OW64" s="561">
        <v>7.0000000000000001E-3</v>
      </c>
      <c r="OX64" s="561">
        <v>0</v>
      </c>
      <c r="OY64" s="561">
        <v>1E-3</v>
      </c>
      <c r="OZ64" s="561">
        <v>2.7E-2</v>
      </c>
      <c r="PA64" s="561">
        <v>1.4999999999999999E-2</v>
      </c>
      <c r="PB64" s="561">
        <v>0</v>
      </c>
      <c r="PC64" s="561">
        <v>0</v>
      </c>
      <c r="PD64" s="561" t="s">
        <v>721</v>
      </c>
      <c r="PE64" s="561">
        <v>0</v>
      </c>
      <c r="PF64" s="561">
        <v>0.16400000000000001</v>
      </c>
      <c r="PG64" s="561">
        <v>2.3E-2</v>
      </c>
      <c r="PH64" s="561">
        <v>0</v>
      </c>
      <c r="PI64" s="561">
        <v>1.7999999999999999E-2</v>
      </c>
      <c r="PJ64" s="561">
        <v>5.0000000000000001E-3</v>
      </c>
      <c r="PK64" s="561">
        <v>1E-3</v>
      </c>
      <c r="PL64" s="561">
        <v>0.65200000000000002</v>
      </c>
      <c r="PM64" s="561">
        <v>8.9999999999999993E-3</v>
      </c>
      <c r="PN64" s="561" t="s">
        <v>721</v>
      </c>
      <c r="PO64" s="561">
        <v>1.7999999999999999E-2</v>
      </c>
      <c r="PP64" s="561">
        <v>1E-3</v>
      </c>
      <c r="PQ64" s="561">
        <v>4.0000000000000001E-3</v>
      </c>
      <c r="PR64" s="561">
        <v>7.2999999999999995E-2</v>
      </c>
      <c r="PS64" s="561" t="s">
        <v>721</v>
      </c>
      <c r="PT64" s="561" t="s">
        <v>721</v>
      </c>
      <c r="PU64" s="561" t="s">
        <v>721</v>
      </c>
      <c r="PV64" s="561" t="s">
        <v>721</v>
      </c>
      <c r="PW64" s="561" t="s">
        <v>721</v>
      </c>
      <c r="PX64" s="561">
        <v>0</v>
      </c>
      <c r="PY64" s="561">
        <v>0</v>
      </c>
      <c r="PZ64" s="561" t="s">
        <v>721</v>
      </c>
      <c r="QA64" s="561">
        <v>1.0999999999999999E-2</v>
      </c>
      <c r="QB64" s="561" t="s">
        <v>721</v>
      </c>
      <c r="QC64" s="561" t="s">
        <v>721</v>
      </c>
      <c r="QD64" s="561">
        <v>2E-3</v>
      </c>
      <c r="QE64" s="561">
        <v>0</v>
      </c>
      <c r="QF64" s="561">
        <v>0</v>
      </c>
      <c r="QG64" s="561">
        <v>1.0999999999999999E-2</v>
      </c>
      <c r="QH64" s="561">
        <v>8.0000000000000002E-3</v>
      </c>
      <c r="QI64" s="561" t="s">
        <v>721</v>
      </c>
      <c r="QJ64" s="561" t="s">
        <v>721</v>
      </c>
      <c r="QK64" s="561" t="s">
        <v>721</v>
      </c>
      <c r="QL64" s="561">
        <v>0.20799999999999999</v>
      </c>
      <c r="QM64" s="561">
        <v>0.41599999999999998</v>
      </c>
      <c r="QN64" s="561">
        <v>0.185</v>
      </c>
      <c r="QO64" s="561">
        <v>1.7000000000000001E-2</v>
      </c>
      <c r="QP64" s="561" t="s">
        <v>721</v>
      </c>
      <c r="QQ64" s="561">
        <v>2.8000000000000001E-2</v>
      </c>
      <c r="QR64" s="561">
        <v>1.0999999999999999E-2</v>
      </c>
      <c r="QS64" s="561" t="s">
        <v>721</v>
      </c>
      <c r="QT64" s="561">
        <v>3.6999999999999998E-2</v>
      </c>
      <c r="QU64" s="561">
        <v>7.0000000000000001E-3</v>
      </c>
      <c r="QV64" s="561">
        <v>3.0000000000000001E-3</v>
      </c>
      <c r="QW64" s="561">
        <v>2.3E-2</v>
      </c>
      <c r="QX64" s="561" t="s">
        <v>721</v>
      </c>
      <c r="QY64" s="561">
        <v>6.0000000000000001E-3</v>
      </c>
      <c r="QZ64" s="561" t="s">
        <v>721</v>
      </c>
      <c r="RA64" s="561" t="s">
        <v>721</v>
      </c>
      <c r="RB64" s="561" t="s">
        <v>721</v>
      </c>
      <c r="RC64" s="561">
        <v>8.0000000000000002E-3</v>
      </c>
      <c r="RD64" s="561">
        <v>4.8000000000000001E-2</v>
      </c>
      <c r="RE64" s="561">
        <v>0.186</v>
      </c>
      <c r="RF64" s="561">
        <v>0.46300000000000002</v>
      </c>
      <c r="RG64" s="561">
        <v>0.19700000000000001</v>
      </c>
      <c r="RH64" s="561">
        <v>1.4E-2</v>
      </c>
      <c r="RI64" s="561" t="s">
        <v>721</v>
      </c>
      <c r="RJ64" s="561">
        <v>2.5000000000000001E-2</v>
      </c>
      <c r="RK64" s="561">
        <v>1.4E-2</v>
      </c>
      <c r="RL64" s="561" t="s">
        <v>721</v>
      </c>
      <c r="RM64" s="561">
        <v>2.1000000000000001E-2</v>
      </c>
      <c r="RN64" s="561" t="s">
        <v>721</v>
      </c>
      <c r="RO64" s="561">
        <v>5.0000000000000001E-3</v>
      </c>
      <c r="RP64" s="561">
        <v>1.2999999999999999E-2</v>
      </c>
      <c r="RQ64" s="561" t="s">
        <v>721</v>
      </c>
      <c r="RR64" s="561">
        <v>7.0000000000000001E-3</v>
      </c>
      <c r="RS64" s="561" t="s">
        <v>721</v>
      </c>
      <c r="RT64" s="561" t="s">
        <v>721</v>
      </c>
      <c r="RU64" s="561" t="s">
        <v>721</v>
      </c>
      <c r="RV64" s="561">
        <v>8.0000000000000002E-3</v>
      </c>
      <c r="RW64" s="561">
        <v>4.1000000000000002E-2</v>
      </c>
      <c r="RX64" s="561">
        <v>0.318</v>
      </c>
      <c r="RY64" s="561">
        <v>0.34200000000000003</v>
      </c>
      <c r="RZ64" s="561">
        <v>0.16300000000000001</v>
      </c>
      <c r="SA64" s="561">
        <v>0.01</v>
      </c>
      <c r="SB64" s="561">
        <v>2E-3</v>
      </c>
      <c r="SC64" s="561">
        <v>2.8000000000000001E-2</v>
      </c>
      <c r="SD64" s="561">
        <v>3.0000000000000001E-3</v>
      </c>
      <c r="SE64" s="561">
        <v>1E-3</v>
      </c>
      <c r="SF64" s="561">
        <v>4.9000000000000002E-2</v>
      </c>
      <c r="SG64" s="561">
        <v>1.0999999999999999E-2</v>
      </c>
      <c r="SH64" s="561">
        <v>2E-3</v>
      </c>
      <c r="SI64" s="561">
        <v>0.03</v>
      </c>
      <c r="SJ64" s="561">
        <v>1E-3</v>
      </c>
      <c r="SK64" s="561">
        <v>4.0000000000000001E-3</v>
      </c>
      <c r="SL64" s="561">
        <v>0</v>
      </c>
      <c r="SM64" s="561">
        <v>0</v>
      </c>
      <c r="SN64" s="561">
        <v>0</v>
      </c>
      <c r="SO64" s="561">
        <v>1.2999999999999999E-2</v>
      </c>
      <c r="SP64" s="561">
        <v>2.4E-2</v>
      </c>
      <c r="SQ64" s="561">
        <v>0.255</v>
      </c>
      <c r="SR64" s="561">
        <v>0.44600000000000001</v>
      </c>
      <c r="SS64" s="561">
        <v>0.13500000000000001</v>
      </c>
      <c r="ST64" s="561">
        <v>1.4999999999999999E-2</v>
      </c>
      <c r="SU64" s="561">
        <v>2E-3</v>
      </c>
      <c r="SV64" s="561">
        <v>2.9000000000000001E-2</v>
      </c>
      <c r="SW64" s="561">
        <v>3.0000000000000001E-3</v>
      </c>
      <c r="SX64" s="561" t="s">
        <v>721</v>
      </c>
      <c r="SY64" s="561">
        <v>2.1999999999999999E-2</v>
      </c>
      <c r="SZ64" s="561">
        <v>7.0000000000000001E-3</v>
      </c>
      <c r="TA64" s="561">
        <v>4.0000000000000001E-3</v>
      </c>
      <c r="TB64" s="561">
        <v>0.02</v>
      </c>
      <c r="TC64" s="561" t="s">
        <v>721</v>
      </c>
      <c r="TD64" s="561">
        <v>6.0000000000000001E-3</v>
      </c>
      <c r="TE64" s="561" t="s">
        <v>721</v>
      </c>
      <c r="TF64" s="561" t="s">
        <v>721</v>
      </c>
      <c r="TG64" s="561" t="s">
        <v>721</v>
      </c>
      <c r="TH64" s="561">
        <v>0.01</v>
      </c>
      <c r="TI64" s="561">
        <v>4.4999999999999998E-2</v>
      </c>
      <c r="TJ64" s="561">
        <v>0.28299999999999997</v>
      </c>
      <c r="TK64" s="561">
        <v>0.44700000000000001</v>
      </c>
      <c r="TL64" s="561">
        <v>0.114</v>
      </c>
      <c r="TM64" s="561">
        <v>0.01</v>
      </c>
      <c r="TN64" s="561">
        <v>2E-3</v>
      </c>
      <c r="TO64" s="561">
        <v>2.9000000000000001E-2</v>
      </c>
      <c r="TP64" s="561">
        <v>2E-3</v>
      </c>
      <c r="TQ64" s="561">
        <v>1E-3</v>
      </c>
      <c r="TR64" s="561">
        <v>4.3999999999999997E-2</v>
      </c>
      <c r="TS64" s="561">
        <v>1.2999999999999999E-2</v>
      </c>
      <c r="TT64" s="561">
        <v>1E-3</v>
      </c>
      <c r="TU64" s="561">
        <v>1.0999999999999999E-2</v>
      </c>
      <c r="TV64" s="561">
        <v>1E-3</v>
      </c>
      <c r="TW64" s="561">
        <v>5.0000000000000001E-3</v>
      </c>
      <c r="TX64" s="561" t="s">
        <v>721</v>
      </c>
      <c r="TY64" s="561" t="s">
        <v>721</v>
      </c>
      <c r="TZ64" s="561" t="s">
        <v>721</v>
      </c>
      <c r="UA64" s="561">
        <v>0.01</v>
      </c>
      <c r="UB64" s="561">
        <v>2.5999999999999999E-2</v>
      </c>
      <c r="UC64" s="561">
        <v>0.26</v>
      </c>
      <c r="UD64" s="561">
        <v>0.32800000000000001</v>
      </c>
      <c r="UE64" s="561">
        <v>0.16800000000000001</v>
      </c>
      <c r="UF64" s="561">
        <v>1.0999999999999999E-2</v>
      </c>
      <c r="UG64" s="561">
        <v>2E-3</v>
      </c>
      <c r="UH64" s="561">
        <v>0.03</v>
      </c>
      <c r="UI64" s="561">
        <v>3.0000000000000001E-3</v>
      </c>
      <c r="UJ64" s="561">
        <v>1E-3</v>
      </c>
      <c r="UK64" s="561">
        <v>8.2000000000000003E-2</v>
      </c>
      <c r="UL64" s="561">
        <v>1.4999999999999999E-2</v>
      </c>
      <c r="UM64" s="561">
        <v>1E-3</v>
      </c>
      <c r="UN64" s="561">
        <v>4.8000000000000001E-2</v>
      </c>
      <c r="UO64" s="561">
        <v>1E-3</v>
      </c>
      <c r="UP64" s="561">
        <v>4.0000000000000001E-3</v>
      </c>
      <c r="UQ64" s="561">
        <v>0</v>
      </c>
      <c r="UR64" s="561" t="s">
        <v>721</v>
      </c>
      <c r="US64" s="561">
        <v>0</v>
      </c>
      <c r="UT64" s="561">
        <v>1.6E-2</v>
      </c>
      <c r="UU64" s="561">
        <v>2.8000000000000001E-2</v>
      </c>
      <c r="UV64" s="561">
        <v>0.35899999999999999</v>
      </c>
      <c r="UW64" s="561">
        <v>0.34799999999999998</v>
      </c>
      <c r="UX64" s="561">
        <v>0.151</v>
      </c>
      <c r="UY64" s="561">
        <v>8.0000000000000002E-3</v>
      </c>
      <c r="UZ64" s="561">
        <v>2E-3</v>
      </c>
      <c r="VA64" s="561">
        <v>2.8000000000000001E-2</v>
      </c>
      <c r="VB64" s="561">
        <v>3.0000000000000001E-3</v>
      </c>
      <c r="VC64" s="561">
        <v>1E-3</v>
      </c>
      <c r="VD64" s="561">
        <v>3.7999999999999999E-2</v>
      </c>
      <c r="VE64" s="561">
        <v>8.0000000000000002E-3</v>
      </c>
      <c r="VF64" s="561">
        <v>1E-3</v>
      </c>
      <c r="VG64" s="561">
        <v>1.7000000000000001E-2</v>
      </c>
      <c r="VH64" s="561">
        <v>1E-3</v>
      </c>
      <c r="VI64" s="561">
        <v>5.0000000000000001E-3</v>
      </c>
      <c r="VJ64" s="561">
        <v>0</v>
      </c>
      <c r="VK64" s="561" t="s">
        <v>721</v>
      </c>
      <c r="VL64" s="561">
        <v>0</v>
      </c>
      <c r="VM64" s="561">
        <v>1.2E-2</v>
      </c>
      <c r="VN64" s="561">
        <v>1.7999999999999999E-2</v>
      </c>
    </row>
    <row r="65" spans="1:586" s="693" customFormat="1" ht="15.75" customHeight="1" x14ac:dyDescent="0.35">
      <c r="A65" s="550" t="s">
        <v>12</v>
      </c>
      <c r="B65" s="551" t="s">
        <v>127</v>
      </c>
      <c r="C65" s="552">
        <v>17.309999999999999</v>
      </c>
      <c r="D65" s="666">
        <v>31824</v>
      </c>
      <c r="E65" s="667">
        <v>3776426.1</v>
      </c>
      <c r="F65" s="667">
        <v>118.1</v>
      </c>
      <c r="G65" s="666">
        <v>31486</v>
      </c>
      <c r="H65" s="666">
        <v>28544</v>
      </c>
      <c r="I65" s="666">
        <v>20359</v>
      </c>
      <c r="J65" s="666">
        <v>15865</v>
      </c>
      <c r="K65" s="666">
        <v>11310</v>
      </c>
      <c r="L65" s="667">
        <v>1855700.3</v>
      </c>
      <c r="M65" s="666">
        <v>20398</v>
      </c>
      <c r="N65" s="667">
        <v>1920725.8</v>
      </c>
      <c r="O65" s="666">
        <v>3836</v>
      </c>
      <c r="P65" s="668">
        <v>685157.8</v>
      </c>
      <c r="Q65" s="666">
        <v>3700</v>
      </c>
      <c r="R65" s="668">
        <v>121192.3</v>
      </c>
      <c r="S65" s="666">
        <v>11297</v>
      </c>
      <c r="T65" s="668">
        <v>1183897.5</v>
      </c>
      <c r="U65" s="666">
        <v>379</v>
      </c>
      <c r="V65" s="668">
        <v>49672.7</v>
      </c>
      <c r="W65" s="666">
        <v>20147</v>
      </c>
      <c r="X65" s="668">
        <v>2542855.9</v>
      </c>
      <c r="Y65" s="666">
        <v>28642</v>
      </c>
      <c r="Z65" s="666">
        <v>16744</v>
      </c>
      <c r="AA65" s="666">
        <v>20739</v>
      </c>
      <c r="AB65" s="666">
        <v>14366</v>
      </c>
      <c r="AC65" s="666">
        <v>1426</v>
      </c>
      <c r="AD65" s="666">
        <v>5835</v>
      </c>
      <c r="AE65" s="666">
        <v>13927</v>
      </c>
      <c r="AF65" s="668">
        <v>993437.7</v>
      </c>
      <c r="AG65" s="666">
        <v>16195</v>
      </c>
      <c r="AH65" s="668">
        <v>2661676.4</v>
      </c>
      <c r="AI65" s="666">
        <v>834</v>
      </c>
      <c r="AJ65" s="668">
        <v>38361.9</v>
      </c>
      <c r="AK65" s="666">
        <v>752</v>
      </c>
      <c r="AL65" s="668">
        <v>82950</v>
      </c>
      <c r="AM65" s="553">
        <v>18372</v>
      </c>
      <c r="AN65" s="553">
        <v>13452</v>
      </c>
      <c r="AO65" s="553">
        <v>7559</v>
      </c>
      <c r="AP65" s="553">
        <v>9159</v>
      </c>
      <c r="AQ65" s="553">
        <v>4636</v>
      </c>
      <c r="AR65" s="553">
        <v>1032</v>
      </c>
      <c r="AS65" s="553">
        <v>132</v>
      </c>
      <c r="AT65" s="553">
        <v>1013</v>
      </c>
      <c r="AU65" s="553">
        <v>419</v>
      </c>
      <c r="AV65" s="553">
        <v>8</v>
      </c>
      <c r="AW65" s="553">
        <v>2473</v>
      </c>
      <c r="AX65" s="553">
        <v>199</v>
      </c>
      <c r="AY65" s="553">
        <v>37</v>
      </c>
      <c r="AZ65" s="553">
        <v>412</v>
      </c>
      <c r="BA65" s="553">
        <v>43</v>
      </c>
      <c r="BB65" s="553">
        <v>721</v>
      </c>
      <c r="BC65" s="553">
        <v>12</v>
      </c>
      <c r="BD65" s="553">
        <v>6</v>
      </c>
      <c r="BE65" s="553">
        <v>279</v>
      </c>
      <c r="BF65" s="553">
        <v>2459</v>
      </c>
      <c r="BG65" s="553">
        <v>1224</v>
      </c>
      <c r="BH65" s="553">
        <v>35</v>
      </c>
      <c r="BI65" s="553">
        <v>4946</v>
      </c>
      <c r="BJ65" s="553">
        <v>1737</v>
      </c>
      <c r="BK65" s="553">
        <v>10</v>
      </c>
      <c r="BL65" s="553">
        <v>360</v>
      </c>
      <c r="BM65" s="553">
        <v>476</v>
      </c>
      <c r="BN65" s="553">
        <v>665</v>
      </c>
      <c r="BO65" s="553">
        <v>17678</v>
      </c>
      <c r="BP65" s="553">
        <v>11</v>
      </c>
      <c r="BQ65" s="553">
        <v>11</v>
      </c>
      <c r="BR65" s="553">
        <v>647</v>
      </c>
      <c r="BS65" s="553">
        <v>72</v>
      </c>
      <c r="BT65" s="553">
        <v>167</v>
      </c>
      <c r="BU65" s="553">
        <v>99</v>
      </c>
      <c r="BV65" s="553">
        <v>19</v>
      </c>
      <c r="BW65" s="553">
        <v>55</v>
      </c>
      <c r="BX65" s="553">
        <v>198</v>
      </c>
      <c r="BY65" s="553">
        <v>166</v>
      </c>
      <c r="BZ65" s="553">
        <v>4</v>
      </c>
      <c r="CA65" s="553">
        <v>0</v>
      </c>
      <c r="CB65" s="553">
        <v>4</v>
      </c>
      <c r="CC65" s="553">
        <v>3</v>
      </c>
      <c r="CD65" s="553">
        <v>713</v>
      </c>
      <c r="CE65" s="553">
        <v>13</v>
      </c>
      <c r="CF65" s="553">
        <v>4</v>
      </c>
      <c r="CG65" s="553">
        <v>542</v>
      </c>
      <c r="CH65" s="553">
        <v>13</v>
      </c>
      <c r="CI65" s="553">
        <v>13</v>
      </c>
      <c r="CJ65" s="553">
        <v>620</v>
      </c>
      <c r="CK65" s="553">
        <v>2392</v>
      </c>
      <c r="CL65" s="553">
        <v>32</v>
      </c>
      <c r="CM65" s="553">
        <v>113</v>
      </c>
      <c r="CN65" s="553">
        <v>8</v>
      </c>
      <c r="CO65" s="553">
        <v>14</v>
      </c>
      <c r="CP65" s="553">
        <v>2749</v>
      </c>
      <c r="CQ65" s="553">
        <v>1293</v>
      </c>
      <c r="CR65" s="553">
        <v>8</v>
      </c>
      <c r="CS65" s="553">
        <v>188</v>
      </c>
      <c r="CT65" s="553">
        <v>178</v>
      </c>
      <c r="CU65" s="553">
        <v>230</v>
      </c>
      <c r="CV65" s="553">
        <v>19833</v>
      </c>
      <c r="CW65" s="553">
        <v>1669</v>
      </c>
      <c r="CX65" s="553">
        <v>3</v>
      </c>
      <c r="CY65" s="553">
        <v>248</v>
      </c>
      <c r="CZ65" s="553">
        <v>129</v>
      </c>
      <c r="DA65" s="553">
        <v>37</v>
      </c>
      <c r="DB65" s="553">
        <v>29</v>
      </c>
      <c r="DC65" s="553">
        <v>3</v>
      </c>
      <c r="DD65" s="553">
        <v>6</v>
      </c>
      <c r="DE65" s="553">
        <v>62</v>
      </c>
      <c r="DF65" s="553">
        <v>39</v>
      </c>
      <c r="DG65" s="553">
        <v>1</v>
      </c>
      <c r="DH65" s="553">
        <v>1</v>
      </c>
      <c r="DI65" s="553">
        <v>3</v>
      </c>
      <c r="DJ65" s="553">
        <v>2</v>
      </c>
      <c r="DK65" s="553">
        <v>333</v>
      </c>
      <c r="DL65" s="553">
        <v>6</v>
      </c>
      <c r="DM65" s="553">
        <v>1</v>
      </c>
      <c r="DN65" s="553">
        <v>239</v>
      </c>
      <c r="DO65" s="553">
        <v>3</v>
      </c>
      <c r="DP65" s="553">
        <v>7</v>
      </c>
      <c r="DQ65" s="553">
        <v>185</v>
      </c>
      <c r="DR65" s="553">
        <v>1140</v>
      </c>
      <c r="DS65" s="553">
        <v>1</v>
      </c>
      <c r="DT65" s="553">
        <v>1</v>
      </c>
      <c r="DU65" s="553">
        <v>1</v>
      </c>
      <c r="DV65" s="553">
        <v>3241</v>
      </c>
      <c r="DW65" s="554">
        <v>528375.69999999995</v>
      </c>
      <c r="DX65" s="553">
        <v>4816</v>
      </c>
      <c r="DY65" s="554">
        <v>728248.6</v>
      </c>
      <c r="DZ65" s="553">
        <v>6572</v>
      </c>
      <c r="EA65" s="554">
        <v>693437.8</v>
      </c>
      <c r="EB65" s="553">
        <v>6146</v>
      </c>
      <c r="EC65" s="554">
        <v>599354.5</v>
      </c>
      <c r="ED65" s="553">
        <v>6329</v>
      </c>
      <c r="EE65" s="554">
        <v>640042.5</v>
      </c>
      <c r="EF65" s="553">
        <v>4720</v>
      </c>
      <c r="EG65" s="554">
        <v>586966.9</v>
      </c>
      <c r="EH65" s="555">
        <v>26106</v>
      </c>
      <c r="EI65" s="556">
        <v>79324.3</v>
      </c>
      <c r="EJ65" s="557">
        <v>26190</v>
      </c>
      <c r="EK65" s="556">
        <v>604179.30000000005</v>
      </c>
      <c r="EL65" s="557">
        <v>25860</v>
      </c>
      <c r="EM65" s="556">
        <v>251379.9</v>
      </c>
      <c r="EN65" s="557">
        <v>26959</v>
      </c>
      <c r="EO65" s="556">
        <v>136172.20000000001</v>
      </c>
      <c r="EP65" s="557">
        <v>25955</v>
      </c>
      <c r="EQ65" s="556">
        <v>73847.100000000006</v>
      </c>
      <c r="ER65" s="557">
        <v>26049</v>
      </c>
      <c r="ES65" s="556">
        <v>54708.3</v>
      </c>
      <c r="ET65" s="557">
        <v>5</v>
      </c>
      <c r="EU65" s="558">
        <v>22591</v>
      </c>
      <c r="EV65" s="556">
        <v>352731.2</v>
      </c>
      <c r="EW65" s="558">
        <v>3926</v>
      </c>
      <c r="EX65" s="556">
        <v>22146.3</v>
      </c>
      <c r="EY65" s="558">
        <v>9181</v>
      </c>
      <c r="EZ65" s="556">
        <v>125691.2</v>
      </c>
      <c r="FA65" s="558">
        <v>3227</v>
      </c>
      <c r="FB65" s="556">
        <v>33419.699999999997</v>
      </c>
      <c r="FC65" s="558">
        <v>27996</v>
      </c>
      <c r="FD65" s="556">
        <v>364377.1</v>
      </c>
      <c r="FE65" s="558">
        <v>27529</v>
      </c>
      <c r="FF65" s="556">
        <v>224069</v>
      </c>
      <c r="FG65" s="558">
        <v>14543</v>
      </c>
      <c r="FH65" s="556">
        <v>132267.5</v>
      </c>
      <c r="FI65" s="558">
        <v>20982</v>
      </c>
      <c r="FJ65" s="556">
        <v>138264.9</v>
      </c>
      <c r="FK65" s="558">
        <v>23967</v>
      </c>
      <c r="FL65" s="556">
        <v>81574.7</v>
      </c>
      <c r="FM65" s="558">
        <v>1496</v>
      </c>
      <c r="FN65" s="556">
        <v>3867.6</v>
      </c>
      <c r="FO65" s="558">
        <v>24464</v>
      </c>
      <c r="FP65" s="556">
        <v>211378.9</v>
      </c>
      <c r="FQ65" s="558">
        <v>24702</v>
      </c>
      <c r="FR65" s="556">
        <v>80491.399999999994</v>
      </c>
      <c r="FS65" s="558">
        <v>225</v>
      </c>
      <c r="FT65" s="556">
        <v>1787.6</v>
      </c>
      <c r="FU65" s="555">
        <v>0</v>
      </c>
      <c r="FV65" s="556">
        <v>9.1999999999999993</v>
      </c>
      <c r="FW65" s="555">
        <v>0</v>
      </c>
      <c r="FX65" s="556">
        <v>0</v>
      </c>
      <c r="FY65" s="555">
        <v>1</v>
      </c>
      <c r="FZ65" s="556">
        <v>5</v>
      </c>
      <c r="GA65" s="555">
        <v>0</v>
      </c>
      <c r="GB65" s="556">
        <v>0</v>
      </c>
      <c r="GC65" s="672">
        <v>0</v>
      </c>
      <c r="GD65" s="673">
        <v>73</v>
      </c>
      <c r="GE65" s="673">
        <v>896</v>
      </c>
      <c r="GF65" s="673">
        <v>10638</v>
      </c>
      <c r="GG65" s="673">
        <v>34</v>
      </c>
      <c r="GH65" s="673">
        <v>13</v>
      </c>
      <c r="GI65" s="673">
        <v>42</v>
      </c>
      <c r="GJ65" s="673">
        <v>2</v>
      </c>
      <c r="GK65" s="673">
        <v>4370</v>
      </c>
      <c r="GL65" s="673">
        <v>7146</v>
      </c>
      <c r="GM65" s="557">
        <v>11607</v>
      </c>
      <c r="GN65" s="557">
        <v>4477</v>
      </c>
      <c r="GO65" s="557">
        <v>970</v>
      </c>
      <c r="GP65" s="557">
        <v>115</v>
      </c>
      <c r="GQ65" s="557">
        <v>235</v>
      </c>
      <c r="GR65" s="557">
        <v>52</v>
      </c>
      <c r="GS65" s="557">
        <v>403</v>
      </c>
      <c r="GT65" s="671">
        <v>22176.454549999999</v>
      </c>
      <c r="GU65" s="670">
        <v>44</v>
      </c>
      <c r="GV65" s="557">
        <v>2</v>
      </c>
      <c r="GW65" s="557">
        <v>33</v>
      </c>
      <c r="GX65" s="557">
        <v>79</v>
      </c>
      <c r="GY65" s="674">
        <v>55</v>
      </c>
      <c r="GZ65" s="674">
        <v>45</v>
      </c>
      <c r="HA65" s="675">
        <v>100</v>
      </c>
      <c r="HB65" s="675">
        <v>3</v>
      </c>
      <c r="HC65" s="675">
        <v>12</v>
      </c>
      <c r="HD65" s="675">
        <v>0</v>
      </c>
      <c r="HE65" s="675">
        <v>1</v>
      </c>
      <c r="HF65" s="675">
        <v>1</v>
      </c>
      <c r="HG65" s="675">
        <v>4</v>
      </c>
      <c r="HH65" s="675">
        <v>8</v>
      </c>
      <c r="HI65" s="675">
        <v>0</v>
      </c>
      <c r="HJ65" s="675">
        <v>0</v>
      </c>
      <c r="HK65" s="675">
        <v>0</v>
      </c>
      <c r="HL65" s="675">
        <v>10</v>
      </c>
      <c r="HM65" s="675">
        <v>3</v>
      </c>
      <c r="HN65" s="675">
        <v>0</v>
      </c>
      <c r="HO65" s="675">
        <v>6</v>
      </c>
      <c r="HP65" s="675">
        <v>0</v>
      </c>
      <c r="HQ65" s="675">
        <v>6</v>
      </c>
      <c r="HR65" s="675">
        <v>127</v>
      </c>
      <c r="HS65" s="675">
        <v>0</v>
      </c>
      <c r="HT65" s="675">
        <v>0</v>
      </c>
      <c r="HU65" s="675">
        <v>0</v>
      </c>
      <c r="HV65" s="675">
        <v>0</v>
      </c>
      <c r="HW65" s="675">
        <v>4</v>
      </c>
      <c r="HX65" s="675">
        <v>0</v>
      </c>
      <c r="HY65" s="675">
        <v>0</v>
      </c>
      <c r="HZ65" s="675">
        <v>240</v>
      </c>
      <c r="IA65" s="675">
        <v>324</v>
      </c>
      <c r="IB65" s="675">
        <v>132</v>
      </c>
      <c r="IC65" s="675">
        <v>26</v>
      </c>
      <c r="ID65" s="675">
        <v>5</v>
      </c>
      <c r="IE65" s="675">
        <v>30</v>
      </c>
      <c r="IF65" s="675">
        <v>45</v>
      </c>
      <c r="IG65" s="675">
        <v>0</v>
      </c>
      <c r="IH65" s="675">
        <v>30</v>
      </c>
      <c r="II65" s="675">
        <v>2</v>
      </c>
      <c r="IJ65" s="675">
        <v>2</v>
      </c>
      <c r="IK65" s="675">
        <v>8</v>
      </c>
      <c r="IL65" s="675">
        <v>1</v>
      </c>
      <c r="IM65" s="675">
        <v>18</v>
      </c>
      <c r="IN65" s="675">
        <v>1</v>
      </c>
      <c r="IO65" s="675">
        <v>0</v>
      </c>
      <c r="IP65" s="675">
        <v>4</v>
      </c>
      <c r="IQ65" s="675">
        <v>42</v>
      </c>
      <c r="IR65" s="675">
        <v>59</v>
      </c>
      <c r="IS65" s="675">
        <v>121</v>
      </c>
      <c r="IT65" s="675">
        <v>134</v>
      </c>
      <c r="IU65" s="675">
        <v>65</v>
      </c>
      <c r="IV65" s="675">
        <v>10</v>
      </c>
      <c r="IW65" s="675">
        <v>3</v>
      </c>
      <c r="IX65" s="675">
        <v>10</v>
      </c>
      <c r="IY65" s="675">
        <v>17</v>
      </c>
      <c r="IZ65" s="675">
        <v>0</v>
      </c>
      <c r="JA65" s="675">
        <v>5</v>
      </c>
      <c r="JB65" s="675">
        <v>1</v>
      </c>
      <c r="JC65" s="675">
        <v>1</v>
      </c>
      <c r="JD65" s="675">
        <v>2</v>
      </c>
      <c r="JE65" s="675">
        <v>1</v>
      </c>
      <c r="JF65" s="675">
        <v>7</v>
      </c>
      <c r="JG65" s="675">
        <v>0</v>
      </c>
      <c r="JH65" s="675">
        <v>0</v>
      </c>
      <c r="JI65" s="675">
        <v>1</v>
      </c>
      <c r="JJ65" s="675">
        <v>6</v>
      </c>
      <c r="JK65" s="675">
        <v>20</v>
      </c>
      <c r="JL65" s="759">
        <v>959637</v>
      </c>
      <c r="JM65" s="759">
        <v>1124679</v>
      </c>
      <c r="JN65" s="759">
        <v>551561</v>
      </c>
      <c r="JO65" s="759">
        <v>119085</v>
      </c>
      <c r="JP65" s="759">
        <v>14855</v>
      </c>
      <c r="JQ65" s="759">
        <v>121918</v>
      </c>
      <c r="JR65" s="759">
        <v>46368</v>
      </c>
      <c r="JS65" s="759">
        <v>1085</v>
      </c>
      <c r="JT65" s="759">
        <v>256227</v>
      </c>
      <c r="JU65" s="759">
        <v>22362</v>
      </c>
      <c r="JV65" s="759">
        <v>4939</v>
      </c>
      <c r="JW65" s="759">
        <v>45170</v>
      </c>
      <c r="JX65" s="759">
        <v>5229</v>
      </c>
      <c r="JY65" s="759">
        <v>87049</v>
      </c>
      <c r="JZ65" s="759">
        <v>1528</v>
      </c>
      <c r="KA65" s="759">
        <v>786</v>
      </c>
      <c r="KB65" s="759">
        <v>33076</v>
      </c>
      <c r="KC65" s="759">
        <v>241134</v>
      </c>
      <c r="KD65" s="759">
        <v>139738</v>
      </c>
      <c r="KE65" s="675">
        <v>1145</v>
      </c>
      <c r="KF65" s="675">
        <v>1343</v>
      </c>
      <c r="KG65" s="675">
        <v>405</v>
      </c>
      <c r="KH65" s="675">
        <v>120</v>
      </c>
      <c r="KI65" s="675">
        <v>12</v>
      </c>
      <c r="KJ65" s="675">
        <v>128</v>
      </c>
      <c r="KK65" s="675">
        <v>47</v>
      </c>
      <c r="KL65" s="675">
        <v>2</v>
      </c>
      <c r="KM65" s="675">
        <v>121</v>
      </c>
      <c r="KN65" s="675">
        <v>15</v>
      </c>
      <c r="KO65" s="675">
        <v>7</v>
      </c>
      <c r="KP65" s="675">
        <v>39</v>
      </c>
      <c r="KQ65" s="675">
        <v>4</v>
      </c>
      <c r="KR65" s="675">
        <v>70</v>
      </c>
      <c r="KS65" s="675">
        <v>2</v>
      </c>
      <c r="KT65" s="675">
        <v>1</v>
      </c>
      <c r="KU65" s="675">
        <v>23</v>
      </c>
      <c r="KV65" s="675">
        <v>171</v>
      </c>
      <c r="KW65" s="675">
        <v>180</v>
      </c>
      <c r="KX65" s="675">
        <v>839</v>
      </c>
      <c r="KY65" s="675">
        <v>1302</v>
      </c>
      <c r="KZ65" s="675">
        <v>403</v>
      </c>
      <c r="LA65" s="675">
        <v>136</v>
      </c>
      <c r="LB65" s="675">
        <v>15</v>
      </c>
      <c r="LC65" s="675">
        <v>131</v>
      </c>
      <c r="LD65" s="675">
        <v>32</v>
      </c>
      <c r="LE65" s="675">
        <v>1</v>
      </c>
      <c r="LF65" s="675">
        <v>201</v>
      </c>
      <c r="LG65" s="675">
        <v>33</v>
      </c>
      <c r="LH65" s="675">
        <v>4</v>
      </c>
      <c r="LI65" s="675">
        <v>28</v>
      </c>
      <c r="LJ65" s="675">
        <v>7</v>
      </c>
      <c r="LK65" s="675">
        <v>111</v>
      </c>
      <c r="LL65" s="675">
        <v>1</v>
      </c>
      <c r="LM65" s="675">
        <v>1</v>
      </c>
      <c r="LN65" s="675">
        <v>43</v>
      </c>
      <c r="LO65" s="675">
        <v>282</v>
      </c>
      <c r="LP65" s="675">
        <v>129</v>
      </c>
      <c r="LQ65" s="675">
        <v>4828</v>
      </c>
      <c r="LR65" s="675">
        <v>5752</v>
      </c>
      <c r="LS65" s="675">
        <v>2895</v>
      </c>
      <c r="LT65" s="675">
        <v>653</v>
      </c>
      <c r="LU65" s="675">
        <v>89</v>
      </c>
      <c r="LV65" s="675">
        <v>604</v>
      </c>
      <c r="LW65" s="675">
        <v>291</v>
      </c>
      <c r="LX65" s="675">
        <v>6</v>
      </c>
      <c r="LY65" s="675">
        <v>1635</v>
      </c>
      <c r="LZ65" s="675">
        <v>121</v>
      </c>
      <c r="MA65" s="675">
        <v>24</v>
      </c>
      <c r="MB65" s="675">
        <v>296</v>
      </c>
      <c r="MC65" s="675">
        <v>22</v>
      </c>
      <c r="MD65" s="675">
        <v>387</v>
      </c>
      <c r="ME65" s="675">
        <v>7</v>
      </c>
      <c r="MF65" s="675">
        <v>4</v>
      </c>
      <c r="MG65" s="675">
        <v>164</v>
      </c>
      <c r="MH65" s="675">
        <v>1774</v>
      </c>
      <c r="MI65" s="675">
        <v>847</v>
      </c>
      <c r="MJ65" s="675">
        <v>2698</v>
      </c>
      <c r="MK65" s="675">
        <v>3378</v>
      </c>
      <c r="ML65" s="675">
        <v>1722</v>
      </c>
      <c r="MM65" s="675">
        <v>376</v>
      </c>
      <c r="MN65" s="675">
        <v>42</v>
      </c>
      <c r="MO65" s="675">
        <v>404</v>
      </c>
      <c r="MP65" s="675">
        <v>126</v>
      </c>
      <c r="MQ65" s="675">
        <v>3</v>
      </c>
      <c r="MR65" s="675">
        <v>829</v>
      </c>
      <c r="MS65" s="675">
        <v>78</v>
      </c>
      <c r="MT65" s="675">
        <v>13</v>
      </c>
      <c r="MU65" s="675">
        <v>115</v>
      </c>
      <c r="MV65" s="675">
        <v>20</v>
      </c>
      <c r="MW65" s="675">
        <v>332</v>
      </c>
      <c r="MX65" s="675">
        <v>4</v>
      </c>
      <c r="MY65" s="675">
        <v>2</v>
      </c>
      <c r="MZ65" s="675">
        <v>114</v>
      </c>
      <c r="NA65" s="675">
        <v>679</v>
      </c>
      <c r="NB65" s="675">
        <v>373</v>
      </c>
      <c r="NC65" s="676">
        <v>0.57699999999999996</v>
      </c>
      <c r="ND65" s="676">
        <v>0.42299999999999999</v>
      </c>
      <c r="NE65" s="676">
        <v>0.23300000000000001</v>
      </c>
      <c r="NF65" s="676">
        <v>0.28799999999999998</v>
      </c>
      <c r="NG65" s="676">
        <v>0.14599999999999999</v>
      </c>
      <c r="NH65" s="676">
        <v>3.2000000000000001E-2</v>
      </c>
      <c r="NI65" s="676">
        <v>4.0000000000000001E-3</v>
      </c>
      <c r="NJ65" s="676">
        <v>3.2000000000000001E-2</v>
      </c>
      <c r="NK65" s="676">
        <v>1.2999999999999999E-2</v>
      </c>
      <c r="NL65" s="676">
        <v>0</v>
      </c>
      <c r="NM65" s="676">
        <v>7.8E-2</v>
      </c>
      <c r="NN65" s="676">
        <v>6.0000000000000001E-3</v>
      </c>
      <c r="NO65" s="676">
        <v>1E-3</v>
      </c>
      <c r="NP65" s="676">
        <v>1.2999999999999999E-2</v>
      </c>
      <c r="NQ65" s="676">
        <v>1E-3</v>
      </c>
      <c r="NR65" s="676">
        <v>2.3E-2</v>
      </c>
      <c r="NS65" s="676">
        <v>0</v>
      </c>
      <c r="NT65" s="676">
        <v>0</v>
      </c>
      <c r="NU65" s="676">
        <v>8.9999999999999993E-3</v>
      </c>
      <c r="NV65" s="676">
        <v>7.6999999999999999E-2</v>
      </c>
      <c r="NW65" s="676">
        <v>3.7999999999999999E-2</v>
      </c>
      <c r="NX65" s="676">
        <v>1E-3</v>
      </c>
      <c r="NY65" s="676">
        <v>0.155</v>
      </c>
      <c r="NZ65" s="676">
        <v>5.5E-2</v>
      </c>
      <c r="OA65" s="676">
        <v>0</v>
      </c>
      <c r="OB65" s="676">
        <v>1.0999999999999999E-2</v>
      </c>
      <c r="OC65" s="676">
        <v>1.4999999999999999E-2</v>
      </c>
      <c r="OD65" s="676">
        <v>2.1000000000000001E-2</v>
      </c>
      <c r="OE65" s="676">
        <v>0.55600000000000005</v>
      </c>
      <c r="OF65" s="676">
        <v>0</v>
      </c>
      <c r="OG65" s="676">
        <v>0</v>
      </c>
      <c r="OH65" s="676">
        <v>0.02</v>
      </c>
      <c r="OI65" s="676">
        <v>2E-3</v>
      </c>
      <c r="OJ65" s="676">
        <v>5.0000000000000001E-3</v>
      </c>
      <c r="OK65" s="676">
        <v>3.0000000000000001E-3</v>
      </c>
      <c r="OL65" s="676">
        <v>1E-3</v>
      </c>
      <c r="OM65" s="676">
        <v>2E-3</v>
      </c>
      <c r="ON65" s="676">
        <v>6.0000000000000001E-3</v>
      </c>
      <c r="OO65" s="676">
        <v>5.0000000000000001E-3</v>
      </c>
      <c r="OP65" s="676">
        <v>0</v>
      </c>
      <c r="OQ65" s="676">
        <v>0</v>
      </c>
      <c r="OR65" s="676">
        <v>0</v>
      </c>
      <c r="OS65" s="676">
        <v>0</v>
      </c>
      <c r="OT65" s="676">
        <v>2.1999999999999999E-2</v>
      </c>
      <c r="OU65" s="676">
        <v>0</v>
      </c>
      <c r="OV65" s="676">
        <v>0</v>
      </c>
      <c r="OW65" s="676">
        <v>1.7000000000000001E-2</v>
      </c>
      <c r="OX65" s="676">
        <v>0</v>
      </c>
      <c r="OY65" s="676">
        <v>0</v>
      </c>
      <c r="OZ65" s="676">
        <v>1.9E-2</v>
      </c>
      <c r="PA65" s="676">
        <v>7.4999999999999997E-2</v>
      </c>
      <c r="PB65" s="676">
        <v>1E-3</v>
      </c>
      <c r="PC65" s="676">
        <v>4.0000000000000001E-3</v>
      </c>
      <c r="PD65" s="676">
        <v>0</v>
      </c>
      <c r="PE65" s="676">
        <v>0</v>
      </c>
      <c r="PF65" s="676">
        <v>9.6000000000000002E-2</v>
      </c>
      <c r="PG65" s="676">
        <v>4.4999999999999998E-2</v>
      </c>
      <c r="PH65" s="676">
        <v>0</v>
      </c>
      <c r="PI65" s="676">
        <v>7.0000000000000001E-3</v>
      </c>
      <c r="PJ65" s="676">
        <v>6.0000000000000001E-3</v>
      </c>
      <c r="PK65" s="676">
        <v>8.0000000000000002E-3</v>
      </c>
      <c r="PL65" s="676">
        <v>0.69299999999999995</v>
      </c>
      <c r="PM65" s="676">
        <v>5.8000000000000003E-2</v>
      </c>
      <c r="PN65" s="676">
        <v>0</v>
      </c>
      <c r="PO65" s="676">
        <v>8.9999999999999993E-3</v>
      </c>
      <c r="PP65" s="676">
        <v>5.0000000000000001E-3</v>
      </c>
      <c r="PQ65" s="676">
        <v>1E-3</v>
      </c>
      <c r="PR65" s="676">
        <v>1E-3</v>
      </c>
      <c r="PS65" s="676">
        <v>0</v>
      </c>
      <c r="PT65" s="676">
        <v>0</v>
      </c>
      <c r="PU65" s="676">
        <v>2E-3</v>
      </c>
      <c r="PV65" s="676">
        <v>1E-3</v>
      </c>
      <c r="PW65" s="676">
        <v>0</v>
      </c>
      <c r="PX65" s="676">
        <v>0</v>
      </c>
      <c r="PY65" s="676">
        <v>0</v>
      </c>
      <c r="PZ65" s="676">
        <v>0</v>
      </c>
      <c r="QA65" s="676">
        <v>1.2E-2</v>
      </c>
      <c r="QB65" s="676">
        <v>0</v>
      </c>
      <c r="QC65" s="676">
        <v>0</v>
      </c>
      <c r="QD65" s="676">
        <v>8.0000000000000002E-3</v>
      </c>
      <c r="QE65" s="676">
        <v>0</v>
      </c>
      <c r="QF65" s="676">
        <v>0</v>
      </c>
      <c r="QG65" s="676">
        <v>6.0000000000000001E-3</v>
      </c>
      <c r="QH65" s="676">
        <v>0.04</v>
      </c>
      <c r="QI65" s="676">
        <v>0</v>
      </c>
      <c r="QJ65" s="676">
        <v>0</v>
      </c>
      <c r="QK65" s="676">
        <v>0</v>
      </c>
      <c r="QL65" s="676">
        <v>0.248</v>
      </c>
      <c r="QM65" s="676">
        <v>0.33400000000000002</v>
      </c>
      <c r="QN65" s="676">
        <v>0.13600000000000001</v>
      </c>
      <c r="QO65" s="676">
        <v>2.7E-2</v>
      </c>
      <c r="QP65" s="676">
        <v>6.0000000000000001E-3</v>
      </c>
      <c r="QQ65" s="676">
        <v>3.1E-2</v>
      </c>
      <c r="QR65" s="676">
        <v>4.7E-2</v>
      </c>
      <c r="QS65" s="676">
        <v>0</v>
      </c>
      <c r="QT65" s="676">
        <v>3.1E-2</v>
      </c>
      <c r="QU65" s="676">
        <v>2E-3</v>
      </c>
      <c r="QV65" s="676">
        <v>2E-3</v>
      </c>
      <c r="QW65" s="676">
        <v>8.0000000000000002E-3</v>
      </c>
      <c r="QX65" s="676">
        <v>1E-3</v>
      </c>
      <c r="QY65" s="676">
        <v>1.7999999999999999E-2</v>
      </c>
      <c r="QZ65" s="676">
        <v>1E-3</v>
      </c>
      <c r="RA65" s="676">
        <v>0</v>
      </c>
      <c r="RB65" s="676">
        <v>4.0000000000000001E-3</v>
      </c>
      <c r="RC65" s="676">
        <v>4.2999999999999997E-2</v>
      </c>
      <c r="RD65" s="676">
        <v>6.0999999999999999E-2</v>
      </c>
      <c r="RE65" s="676">
        <v>0.3</v>
      </c>
      <c r="RF65" s="676">
        <v>0.33400000000000002</v>
      </c>
      <c r="RG65" s="676">
        <v>0.16200000000000001</v>
      </c>
      <c r="RH65" s="676">
        <v>2.4E-2</v>
      </c>
      <c r="RI65" s="676">
        <v>8.0000000000000002E-3</v>
      </c>
      <c r="RJ65" s="676">
        <v>2.4E-2</v>
      </c>
      <c r="RK65" s="676">
        <v>4.2999999999999997E-2</v>
      </c>
      <c r="RL65" s="676">
        <v>0</v>
      </c>
      <c r="RM65" s="676">
        <v>1.2E-2</v>
      </c>
      <c r="RN65" s="676">
        <v>2E-3</v>
      </c>
      <c r="RO65" s="676">
        <v>1E-3</v>
      </c>
      <c r="RP65" s="676">
        <v>4.0000000000000001E-3</v>
      </c>
      <c r="RQ65" s="676">
        <v>2E-3</v>
      </c>
      <c r="RR65" s="676">
        <v>1.6E-2</v>
      </c>
      <c r="RS65" s="676">
        <v>1E-3</v>
      </c>
      <c r="RT65" s="676">
        <v>0</v>
      </c>
      <c r="RU65" s="676">
        <v>3.0000000000000001E-3</v>
      </c>
      <c r="RV65" s="676">
        <v>1.4E-2</v>
      </c>
      <c r="RW65" s="676">
        <v>4.9000000000000002E-2</v>
      </c>
      <c r="RX65" s="676">
        <v>0.254</v>
      </c>
      <c r="RY65" s="676">
        <v>0.29799999999999999</v>
      </c>
      <c r="RZ65" s="676">
        <v>0.14599999999999999</v>
      </c>
      <c r="SA65" s="676">
        <v>3.2000000000000001E-2</v>
      </c>
      <c r="SB65" s="676">
        <v>4.0000000000000001E-3</v>
      </c>
      <c r="SC65" s="676">
        <v>3.2000000000000001E-2</v>
      </c>
      <c r="SD65" s="676">
        <v>1.2E-2</v>
      </c>
      <c r="SE65" s="676">
        <v>0</v>
      </c>
      <c r="SF65" s="676">
        <v>6.8000000000000005E-2</v>
      </c>
      <c r="SG65" s="676">
        <v>6.0000000000000001E-3</v>
      </c>
      <c r="SH65" s="676">
        <v>1E-3</v>
      </c>
      <c r="SI65" s="676">
        <v>1.2E-2</v>
      </c>
      <c r="SJ65" s="676">
        <v>1E-3</v>
      </c>
      <c r="SK65" s="676">
        <v>2.3E-2</v>
      </c>
      <c r="SL65" s="676">
        <v>0</v>
      </c>
      <c r="SM65" s="676">
        <v>0</v>
      </c>
      <c r="SN65" s="676">
        <v>8.9999999999999993E-3</v>
      </c>
      <c r="SO65" s="676">
        <v>6.4000000000000001E-2</v>
      </c>
      <c r="SP65" s="676">
        <v>3.6999999999999998E-2</v>
      </c>
      <c r="SQ65" s="676">
        <v>0.29799999999999999</v>
      </c>
      <c r="SR65" s="676">
        <v>0.35</v>
      </c>
      <c r="SS65" s="676">
        <v>0.106</v>
      </c>
      <c r="ST65" s="676">
        <v>3.1E-2</v>
      </c>
      <c r="SU65" s="676">
        <v>3.0000000000000001E-3</v>
      </c>
      <c r="SV65" s="676">
        <v>3.3000000000000002E-2</v>
      </c>
      <c r="SW65" s="676">
        <v>1.2E-2</v>
      </c>
      <c r="SX65" s="676">
        <v>0</v>
      </c>
      <c r="SY65" s="676">
        <v>3.1E-2</v>
      </c>
      <c r="SZ65" s="676">
        <v>4.0000000000000001E-3</v>
      </c>
      <c r="TA65" s="676">
        <v>2E-3</v>
      </c>
      <c r="TB65" s="676">
        <v>0.01</v>
      </c>
      <c r="TC65" s="676">
        <v>1E-3</v>
      </c>
      <c r="TD65" s="676">
        <v>1.7999999999999999E-2</v>
      </c>
      <c r="TE65" s="676">
        <v>0</v>
      </c>
      <c r="TF65" s="676">
        <v>0</v>
      </c>
      <c r="TG65" s="676">
        <v>6.0000000000000001E-3</v>
      </c>
      <c r="TH65" s="676">
        <v>4.4999999999999998E-2</v>
      </c>
      <c r="TI65" s="676">
        <v>4.7E-2</v>
      </c>
      <c r="TJ65" s="676">
        <v>0.22700000000000001</v>
      </c>
      <c r="TK65" s="676">
        <v>0.35199999999999998</v>
      </c>
      <c r="TL65" s="676">
        <v>0.109</v>
      </c>
      <c r="TM65" s="676">
        <v>3.6999999999999998E-2</v>
      </c>
      <c r="TN65" s="676">
        <v>4.0000000000000001E-3</v>
      </c>
      <c r="TO65" s="676">
        <v>3.5999999999999997E-2</v>
      </c>
      <c r="TP65" s="676">
        <v>8.9999999999999993E-3</v>
      </c>
      <c r="TQ65" s="676">
        <v>0</v>
      </c>
      <c r="TR65" s="676">
        <v>5.3999999999999999E-2</v>
      </c>
      <c r="TS65" s="676">
        <v>8.9999999999999993E-3</v>
      </c>
      <c r="TT65" s="676">
        <v>1E-3</v>
      </c>
      <c r="TU65" s="676">
        <v>8.0000000000000002E-3</v>
      </c>
      <c r="TV65" s="676">
        <v>2E-3</v>
      </c>
      <c r="TW65" s="676">
        <v>0.03</v>
      </c>
      <c r="TX65" s="676">
        <v>0</v>
      </c>
      <c r="TY65" s="676">
        <v>0</v>
      </c>
      <c r="TZ65" s="676">
        <v>1.2E-2</v>
      </c>
      <c r="UA65" s="676">
        <v>7.5999999999999998E-2</v>
      </c>
      <c r="UB65" s="676">
        <v>3.5000000000000003E-2</v>
      </c>
      <c r="UC65" s="676">
        <v>0.23699999999999999</v>
      </c>
      <c r="UD65" s="676">
        <v>0.28199999999999997</v>
      </c>
      <c r="UE65" s="676">
        <v>0.14199999999999999</v>
      </c>
      <c r="UF65" s="676">
        <v>3.2000000000000001E-2</v>
      </c>
      <c r="UG65" s="676">
        <v>4.0000000000000001E-3</v>
      </c>
      <c r="UH65" s="676">
        <v>0.03</v>
      </c>
      <c r="UI65" s="676">
        <v>1.4E-2</v>
      </c>
      <c r="UJ65" s="676">
        <v>0</v>
      </c>
      <c r="UK65" s="676">
        <v>0.08</v>
      </c>
      <c r="UL65" s="676">
        <v>6.0000000000000001E-3</v>
      </c>
      <c r="UM65" s="676">
        <v>1E-3</v>
      </c>
      <c r="UN65" s="676">
        <v>1.4999999999999999E-2</v>
      </c>
      <c r="UO65" s="676">
        <v>1E-3</v>
      </c>
      <c r="UP65" s="676">
        <v>1.9E-2</v>
      </c>
      <c r="UQ65" s="676">
        <v>0</v>
      </c>
      <c r="UR65" s="676">
        <v>0</v>
      </c>
      <c r="US65" s="676">
        <v>8.0000000000000002E-3</v>
      </c>
      <c r="UT65" s="676">
        <v>8.6999999999999994E-2</v>
      </c>
      <c r="UU65" s="676">
        <v>4.2000000000000003E-2</v>
      </c>
      <c r="UV65" s="676">
        <v>0.23899999999999999</v>
      </c>
      <c r="UW65" s="676">
        <v>0.29899999999999999</v>
      </c>
      <c r="UX65" s="676">
        <v>0.152</v>
      </c>
      <c r="UY65" s="676">
        <v>3.3000000000000002E-2</v>
      </c>
      <c r="UZ65" s="676">
        <v>4.0000000000000001E-3</v>
      </c>
      <c r="VA65" s="676">
        <v>3.5999999999999997E-2</v>
      </c>
      <c r="VB65" s="676">
        <v>1.0999999999999999E-2</v>
      </c>
      <c r="VC65" s="676">
        <v>0</v>
      </c>
      <c r="VD65" s="676">
        <v>7.2999999999999995E-2</v>
      </c>
      <c r="VE65" s="676">
        <v>7.0000000000000001E-3</v>
      </c>
      <c r="VF65" s="676">
        <v>1E-3</v>
      </c>
      <c r="VG65" s="676">
        <v>0.01</v>
      </c>
      <c r="VH65" s="676">
        <v>2E-3</v>
      </c>
      <c r="VI65" s="676">
        <v>2.9000000000000001E-2</v>
      </c>
      <c r="VJ65" s="676">
        <v>0</v>
      </c>
      <c r="VK65" s="676">
        <v>0</v>
      </c>
      <c r="VL65" s="676">
        <v>0.01</v>
      </c>
      <c r="VM65" s="676">
        <v>0.06</v>
      </c>
      <c r="VN65" s="676">
        <v>3.3000000000000002E-2</v>
      </c>
    </row>
    <row r="66" spans="1:586" s="693" customFormat="1" ht="15.75" customHeight="1" x14ac:dyDescent="0.35">
      <c r="A66" s="550" t="s">
        <v>17</v>
      </c>
      <c r="B66" s="551" t="s">
        <v>127</v>
      </c>
      <c r="C66" s="552">
        <v>16.62</v>
      </c>
      <c r="D66" s="666">
        <v>4363</v>
      </c>
      <c r="E66" s="667">
        <v>498292.4</v>
      </c>
      <c r="F66" s="667">
        <v>116</v>
      </c>
      <c r="G66" s="666">
        <v>4272</v>
      </c>
      <c r="H66" s="666">
        <v>3939</v>
      </c>
      <c r="I66" s="666">
        <v>2936</v>
      </c>
      <c r="J66" s="666">
        <v>2232</v>
      </c>
      <c r="K66" s="666">
        <v>1387</v>
      </c>
      <c r="L66" s="667">
        <v>237948</v>
      </c>
      <c r="M66" s="666">
        <v>2939</v>
      </c>
      <c r="N66" s="667">
        <v>260344.4</v>
      </c>
      <c r="O66" s="666">
        <v>518</v>
      </c>
      <c r="P66" s="668">
        <v>91107.3</v>
      </c>
      <c r="Q66" s="666">
        <v>695</v>
      </c>
      <c r="R66" s="668">
        <v>20678.599999999999</v>
      </c>
      <c r="S66" s="666">
        <v>1317</v>
      </c>
      <c r="T66" s="668">
        <v>132782</v>
      </c>
      <c r="U66" s="666">
        <v>53</v>
      </c>
      <c r="V66" s="668">
        <v>6871.1</v>
      </c>
      <c r="W66" s="666">
        <v>2993</v>
      </c>
      <c r="X66" s="668">
        <v>358639.3</v>
      </c>
      <c r="Y66" s="666">
        <v>3964</v>
      </c>
      <c r="Z66" s="666">
        <v>2244</v>
      </c>
      <c r="AA66" s="666">
        <v>2763</v>
      </c>
      <c r="AB66" s="666">
        <v>1936</v>
      </c>
      <c r="AC66" s="666">
        <v>215</v>
      </c>
      <c r="AD66" s="666">
        <v>891</v>
      </c>
      <c r="AE66" s="666">
        <v>2040</v>
      </c>
      <c r="AF66" s="668">
        <v>139113.29999999999</v>
      </c>
      <c r="AG66" s="666">
        <v>2049</v>
      </c>
      <c r="AH66" s="668">
        <v>342457</v>
      </c>
      <c r="AI66" s="666">
        <v>132</v>
      </c>
      <c r="AJ66" s="668">
        <v>5640.3</v>
      </c>
      <c r="AK66" s="666">
        <v>104</v>
      </c>
      <c r="AL66" s="668">
        <v>11081.9</v>
      </c>
      <c r="AM66" s="553">
        <v>2510</v>
      </c>
      <c r="AN66" s="553">
        <v>1853</v>
      </c>
      <c r="AO66" s="553">
        <v>1695</v>
      </c>
      <c r="AP66" s="553">
        <v>1527</v>
      </c>
      <c r="AQ66" s="553">
        <v>287</v>
      </c>
      <c r="AR66" s="553">
        <v>97</v>
      </c>
      <c r="AS66" s="553">
        <v>49</v>
      </c>
      <c r="AT66" s="553">
        <v>139</v>
      </c>
      <c r="AU66" s="553">
        <v>165</v>
      </c>
      <c r="AV66" s="553">
        <v>1</v>
      </c>
      <c r="AW66" s="553">
        <v>69</v>
      </c>
      <c r="AX66" s="553">
        <v>32</v>
      </c>
      <c r="AY66" s="553">
        <v>4</v>
      </c>
      <c r="AZ66" s="553">
        <v>9</v>
      </c>
      <c r="BA66" s="553">
        <v>4</v>
      </c>
      <c r="BB66" s="553">
        <v>85</v>
      </c>
      <c r="BC66" s="553">
        <v>2</v>
      </c>
      <c r="BD66" s="553">
        <v>1</v>
      </c>
      <c r="BE66" s="553">
        <v>33</v>
      </c>
      <c r="BF66" s="553">
        <v>29</v>
      </c>
      <c r="BG66" s="553">
        <v>135</v>
      </c>
      <c r="BH66" s="553">
        <v>5</v>
      </c>
      <c r="BI66" s="553">
        <v>930</v>
      </c>
      <c r="BJ66" s="553">
        <v>38</v>
      </c>
      <c r="BK66" s="553">
        <v>1</v>
      </c>
      <c r="BL66" s="553">
        <v>6</v>
      </c>
      <c r="BM66" s="553">
        <v>59</v>
      </c>
      <c r="BN66" s="553">
        <v>110</v>
      </c>
      <c r="BO66" s="553">
        <v>2946</v>
      </c>
      <c r="BP66" s="553">
        <v>6</v>
      </c>
      <c r="BQ66" s="553">
        <v>1</v>
      </c>
      <c r="BR66" s="553">
        <v>23</v>
      </c>
      <c r="BS66" s="553">
        <v>3</v>
      </c>
      <c r="BT66" s="553">
        <v>27</v>
      </c>
      <c r="BU66" s="553">
        <v>4</v>
      </c>
      <c r="BV66" s="553">
        <v>4</v>
      </c>
      <c r="BW66" s="553">
        <v>9</v>
      </c>
      <c r="BX66" s="553">
        <v>25</v>
      </c>
      <c r="BY66" s="553">
        <v>18</v>
      </c>
      <c r="BZ66" s="553">
        <v>0</v>
      </c>
      <c r="CA66" s="553">
        <v>0</v>
      </c>
      <c r="CB66" s="553">
        <v>0</v>
      </c>
      <c r="CC66" s="553">
        <v>0</v>
      </c>
      <c r="CD66" s="553">
        <v>41</v>
      </c>
      <c r="CE66" s="553">
        <v>8</v>
      </c>
      <c r="CF66" s="553">
        <v>0</v>
      </c>
      <c r="CG66" s="553">
        <v>20</v>
      </c>
      <c r="CH66" s="553">
        <v>1</v>
      </c>
      <c r="CI66" s="553">
        <v>1</v>
      </c>
      <c r="CJ66" s="553">
        <v>27</v>
      </c>
      <c r="CK66" s="553">
        <v>25</v>
      </c>
      <c r="CL66" s="553">
        <v>2</v>
      </c>
      <c r="CM66" s="553">
        <v>20</v>
      </c>
      <c r="CN66" s="553">
        <v>1</v>
      </c>
      <c r="CO66" s="553">
        <v>1</v>
      </c>
      <c r="CP66" s="553">
        <v>577</v>
      </c>
      <c r="CQ66" s="553">
        <v>29</v>
      </c>
      <c r="CR66" s="553">
        <v>0</v>
      </c>
      <c r="CS66" s="553">
        <v>3</v>
      </c>
      <c r="CT66" s="553">
        <v>23</v>
      </c>
      <c r="CU66" s="553">
        <v>30</v>
      </c>
      <c r="CV66" s="553">
        <v>3133</v>
      </c>
      <c r="CW66" s="553">
        <v>81</v>
      </c>
      <c r="CX66" s="553">
        <v>0</v>
      </c>
      <c r="CY66" s="553">
        <v>13</v>
      </c>
      <c r="CZ66" s="553">
        <v>3</v>
      </c>
      <c r="DA66" s="553">
        <v>4</v>
      </c>
      <c r="DB66" s="553">
        <v>2</v>
      </c>
      <c r="DC66" s="553">
        <v>1</v>
      </c>
      <c r="DD66" s="553">
        <v>2</v>
      </c>
      <c r="DE66" s="553">
        <v>7</v>
      </c>
      <c r="DF66" s="553">
        <v>2</v>
      </c>
      <c r="DG66" s="553">
        <v>0</v>
      </c>
      <c r="DH66" s="553">
        <v>0</v>
      </c>
      <c r="DI66" s="553">
        <v>1</v>
      </c>
      <c r="DJ66" s="553">
        <v>0</v>
      </c>
      <c r="DK66" s="553">
        <v>22</v>
      </c>
      <c r="DL66" s="553">
        <v>2</v>
      </c>
      <c r="DM66" s="553">
        <v>0</v>
      </c>
      <c r="DN66" s="553">
        <v>6</v>
      </c>
      <c r="DO66" s="553">
        <v>0</v>
      </c>
      <c r="DP66" s="553">
        <v>1</v>
      </c>
      <c r="DQ66" s="553">
        <v>9</v>
      </c>
      <c r="DR66" s="553">
        <v>9</v>
      </c>
      <c r="DS66" s="553">
        <v>0</v>
      </c>
      <c r="DT66" s="553">
        <v>2</v>
      </c>
      <c r="DU66" s="553">
        <v>0</v>
      </c>
      <c r="DV66" s="553">
        <v>460</v>
      </c>
      <c r="DW66" s="554">
        <v>73643.199999999997</v>
      </c>
      <c r="DX66" s="553">
        <v>744</v>
      </c>
      <c r="DY66" s="554">
        <v>109161.60000000001</v>
      </c>
      <c r="DZ66" s="553">
        <v>994</v>
      </c>
      <c r="EA66" s="554">
        <v>98871.3</v>
      </c>
      <c r="EB66" s="553">
        <v>875</v>
      </c>
      <c r="EC66" s="554">
        <v>80657.899999999994</v>
      </c>
      <c r="ED66" s="553">
        <v>772</v>
      </c>
      <c r="EE66" s="554">
        <v>74946.399999999994</v>
      </c>
      <c r="EF66" s="553">
        <v>516</v>
      </c>
      <c r="EG66" s="554">
        <v>61012</v>
      </c>
      <c r="EH66" s="555">
        <v>3521</v>
      </c>
      <c r="EI66" s="556">
        <v>12253.5</v>
      </c>
      <c r="EJ66" s="557">
        <v>3521</v>
      </c>
      <c r="EK66" s="556">
        <v>80796.5</v>
      </c>
      <c r="EL66" s="557">
        <v>3481</v>
      </c>
      <c r="EM66" s="556">
        <v>34875</v>
      </c>
      <c r="EN66" s="557">
        <v>3646</v>
      </c>
      <c r="EO66" s="556">
        <v>18515.8</v>
      </c>
      <c r="EP66" s="557">
        <v>3504</v>
      </c>
      <c r="EQ66" s="556">
        <v>10844.7</v>
      </c>
      <c r="ER66" s="557">
        <v>3496</v>
      </c>
      <c r="ES66" s="556">
        <v>7279.4</v>
      </c>
      <c r="ET66" s="557">
        <v>1</v>
      </c>
      <c r="EU66" s="558">
        <v>2767</v>
      </c>
      <c r="EV66" s="556">
        <v>43545.5</v>
      </c>
      <c r="EW66" s="558">
        <v>567</v>
      </c>
      <c r="EX66" s="556">
        <v>2963.9</v>
      </c>
      <c r="EY66" s="558">
        <v>1339</v>
      </c>
      <c r="EZ66" s="556">
        <v>16872.400000000001</v>
      </c>
      <c r="FA66" s="558">
        <v>529</v>
      </c>
      <c r="FB66" s="556">
        <v>5314.6</v>
      </c>
      <c r="FC66" s="558">
        <v>3648</v>
      </c>
      <c r="FD66" s="556">
        <v>44511.5</v>
      </c>
      <c r="FE66" s="558">
        <v>3596</v>
      </c>
      <c r="FF66" s="556">
        <v>28768.400000000001</v>
      </c>
      <c r="FG66" s="558">
        <v>1962</v>
      </c>
      <c r="FH66" s="556">
        <v>18153</v>
      </c>
      <c r="FI66" s="558">
        <v>2610</v>
      </c>
      <c r="FJ66" s="556">
        <v>16256.7</v>
      </c>
      <c r="FK66" s="558">
        <v>3007</v>
      </c>
      <c r="FL66" s="556">
        <v>9621.1</v>
      </c>
      <c r="FM66" s="558">
        <v>196</v>
      </c>
      <c r="FN66" s="556">
        <v>470.9</v>
      </c>
      <c r="FO66" s="558">
        <v>3335</v>
      </c>
      <c r="FP66" s="556">
        <v>23360.7</v>
      </c>
      <c r="FQ66" s="558">
        <v>3371</v>
      </c>
      <c r="FR66" s="556">
        <v>11802.6</v>
      </c>
      <c r="FS66" s="558">
        <v>66</v>
      </c>
      <c r="FT66" s="556">
        <v>472.1</v>
      </c>
      <c r="FU66" s="555">
        <v>0</v>
      </c>
      <c r="FV66" s="556">
        <v>7.7</v>
      </c>
      <c r="FW66" s="555">
        <v>0</v>
      </c>
      <c r="FX66" s="556">
        <v>0</v>
      </c>
      <c r="FY66" s="555">
        <v>0</v>
      </c>
      <c r="FZ66" s="556">
        <v>0.2</v>
      </c>
      <c r="GA66" s="555">
        <v>0</v>
      </c>
      <c r="GB66" s="556">
        <v>0</v>
      </c>
      <c r="GC66" s="669">
        <v>0</v>
      </c>
      <c r="GD66" s="670">
        <v>18</v>
      </c>
      <c r="GE66" s="670">
        <v>175</v>
      </c>
      <c r="GF66" s="670">
        <v>1723</v>
      </c>
      <c r="GG66" s="670">
        <v>5</v>
      </c>
      <c r="GH66" s="670">
        <v>2</v>
      </c>
      <c r="GI66" s="670">
        <v>2</v>
      </c>
      <c r="GJ66" s="670">
        <v>0</v>
      </c>
      <c r="GK66" s="670">
        <v>802</v>
      </c>
      <c r="GL66" s="670">
        <v>1104</v>
      </c>
      <c r="GM66" s="557">
        <v>1916</v>
      </c>
      <c r="GN66" s="557">
        <v>824</v>
      </c>
      <c r="GO66" s="557">
        <v>152</v>
      </c>
      <c r="GP66" s="557">
        <v>10</v>
      </c>
      <c r="GQ66" s="557">
        <v>48</v>
      </c>
      <c r="GR66" s="557">
        <v>6</v>
      </c>
      <c r="GS66" s="557">
        <v>64</v>
      </c>
      <c r="GT66" s="671">
        <v>2892.1785709999999</v>
      </c>
      <c r="GU66" s="670">
        <v>5</v>
      </c>
      <c r="GV66" s="557">
        <v>0</v>
      </c>
      <c r="GW66" s="557">
        <v>3</v>
      </c>
      <c r="GX66" s="557">
        <v>8</v>
      </c>
      <c r="GY66" s="559">
        <v>9</v>
      </c>
      <c r="GZ66" s="559">
        <v>9</v>
      </c>
      <c r="HA66" s="560">
        <v>18</v>
      </c>
      <c r="HB66" s="560">
        <v>1</v>
      </c>
      <c r="HC66" s="560">
        <v>2</v>
      </c>
      <c r="HD66" s="560">
        <v>0</v>
      </c>
      <c r="HE66" s="560">
        <v>0</v>
      </c>
      <c r="HF66" s="560">
        <v>0</v>
      </c>
      <c r="HG66" s="560">
        <v>1</v>
      </c>
      <c r="HH66" s="560">
        <v>2</v>
      </c>
      <c r="HI66" s="560">
        <v>0</v>
      </c>
      <c r="HJ66" s="560">
        <v>0</v>
      </c>
      <c r="HK66" s="560">
        <v>0</v>
      </c>
      <c r="HL66" s="560">
        <v>1</v>
      </c>
      <c r="HM66" s="560">
        <v>0</v>
      </c>
      <c r="HN66" s="560">
        <v>0</v>
      </c>
      <c r="HO66" s="560">
        <v>1</v>
      </c>
      <c r="HP66" s="560">
        <v>0</v>
      </c>
      <c r="HQ66" s="560">
        <v>1</v>
      </c>
      <c r="HR66" s="560">
        <v>17</v>
      </c>
      <c r="HS66" s="560">
        <v>0</v>
      </c>
      <c r="HT66" s="560">
        <v>0</v>
      </c>
      <c r="HU66" s="560">
        <v>0</v>
      </c>
      <c r="HV66" s="560">
        <v>0</v>
      </c>
      <c r="HW66" s="560">
        <v>0</v>
      </c>
      <c r="HX66" s="560">
        <v>0</v>
      </c>
      <c r="HY66" s="560">
        <v>0</v>
      </c>
      <c r="HZ66" s="560">
        <v>58</v>
      </c>
      <c r="IA66" s="560">
        <v>51</v>
      </c>
      <c r="IB66" s="560">
        <v>8</v>
      </c>
      <c r="IC66" s="560">
        <v>2</v>
      </c>
      <c r="ID66" s="560">
        <v>2</v>
      </c>
      <c r="IE66" s="560">
        <v>3</v>
      </c>
      <c r="IF66" s="560">
        <v>16</v>
      </c>
      <c r="IG66" s="560">
        <v>0</v>
      </c>
      <c r="IH66" s="560">
        <v>1</v>
      </c>
      <c r="II66" s="560">
        <v>1</v>
      </c>
      <c r="IJ66" s="560">
        <v>0</v>
      </c>
      <c r="IK66" s="560">
        <v>0</v>
      </c>
      <c r="IL66" s="560">
        <v>0</v>
      </c>
      <c r="IM66" s="560">
        <v>2</v>
      </c>
      <c r="IN66" s="560">
        <v>0</v>
      </c>
      <c r="IO66" s="560">
        <v>0</v>
      </c>
      <c r="IP66" s="560">
        <v>0</v>
      </c>
      <c r="IQ66" s="560">
        <v>1</v>
      </c>
      <c r="IR66" s="560">
        <v>7</v>
      </c>
      <c r="IS66" s="560">
        <v>24</v>
      </c>
      <c r="IT66" s="560">
        <v>19</v>
      </c>
      <c r="IU66" s="560">
        <v>4</v>
      </c>
      <c r="IV66" s="560">
        <v>1</v>
      </c>
      <c r="IW66" s="560">
        <v>1</v>
      </c>
      <c r="IX66" s="560">
        <v>1</v>
      </c>
      <c r="IY66" s="560">
        <v>8</v>
      </c>
      <c r="IZ66" s="560">
        <v>0</v>
      </c>
      <c r="JA66" s="560">
        <v>0</v>
      </c>
      <c r="JB66" s="560">
        <v>0</v>
      </c>
      <c r="JC66" s="560">
        <v>0</v>
      </c>
      <c r="JD66" s="560">
        <v>0</v>
      </c>
      <c r="JE66" s="560">
        <v>0</v>
      </c>
      <c r="JF66" s="560">
        <v>1</v>
      </c>
      <c r="JG66" s="560">
        <v>0</v>
      </c>
      <c r="JH66" s="560">
        <v>0</v>
      </c>
      <c r="JI66" s="560">
        <v>0</v>
      </c>
      <c r="JJ66" s="560">
        <v>0</v>
      </c>
      <c r="JK66" s="560">
        <v>3</v>
      </c>
      <c r="JL66" s="758">
        <v>199029</v>
      </c>
      <c r="JM66" s="758">
        <v>171846</v>
      </c>
      <c r="JN66" s="758">
        <v>31882</v>
      </c>
      <c r="JO66" s="758">
        <v>11070</v>
      </c>
      <c r="JP66" s="758">
        <v>5541</v>
      </c>
      <c r="JQ66" s="758">
        <v>16791</v>
      </c>
      <c r="JR66" s="758">
        <v>17912</v>
      </c>
      <c r="JS66" s="758">
        <v>146</v>
      </c>
      <c r="JT66" s="758">
        <v>7637</v>
      </c>
      <c r="JU66" s="758">
        <v>3099</v>
      </c>
      <c r="JV66" s="758">
        <v>510</v>
      </c>
      <c r="JW66" s="758">
        <v>1136</v>
      </c>
      <c r="JX66" s="758">
        <v>518</v>
      </c>
      <c r="JY66" s="758">
        <v>9109</v>
      </c>
      <c r="JZ66" s="758">
        <v>198</v>
      </c>
      <c r="KA66" s="758">
        <v>127</v>
      </c>
      <c r="KB66" s="758">
        <v>3709</v>
      </c>
      <c r="KC66" s="758">
        <v>3272</v>
      </c>
      <c r="KD66" s="758">
        <v>14761</v>
      </c>
      <c r="KE66" s="560">
        <v>234</v>
      </c>
      <c r="KF66" s="560">
        <v>161</v>
      </c>
      <c r="KG66" s="560">
        <v>24</v>
      </c>
      <c r="KH66" s="560">
        <v>11</v>
      </c>
      <c r="KI66" s="560">
        <v>5</v>
      </c>
      <c r="KJ66" s="560">
        <v>18</v>
      </c>
      <c r="KK66" s="560">
        <v>22</v>
      </c>
      <c r="KL66" s="560">
        <v>0</v>
      </c>
      <c r="KM66" s="560">
        <v>5</v>
      </c>
      <c r="KN66" s="560">
        <v>2</v>
      </c>
      <c r="KO66" s="560">
        <v>1</v>
      </c>
      <c r="KP66" s="560">
        <v>1</v>
      </c>
      <c r="KQ66" s="560">
        <v>0</v>
      </c>
      <c r="KR66" s="560">
        <v>7</v>
      </c>
      <c r="KS66" s="560">
        <v>0</v>
      </c>
      <c r="KT66" s="560">
        <v>0</v>
      </c>
      <c r="KU66" s="560">
        <v>3</v>
      </c>
      <c r="KV66" s="560">
        <v>3</v>
      </c>
      <c r="KW66" s="560">
        <v>19</v>
      </c>
      <c r="KX66" s="560">
        <v>215</v>
      </c>
      <c r="KY66" s="560">
        <v>303</v>
      </c>
      <c r="KZ66" s="560">
        <v>38</v>
      </c>
      <c r="LA66" s="560">
        <v>20</v>
      </c>
      <c r="LB66" s="560">
        <v>6</v>
      </c>
      <c r="LC66" s="560">
        <v>27</v>
      </c>
      <c r="LD66" s="560">
        <v>19</v>
      </c>
      <c r="LE66" s="560">
        <v>0</v>
      </c>
      <c r="LF66" s="560">
        <v>10</v>
      </c>
      <c r="LG66" s="560">
        <v>6</v>
      </c>
      <c r="LH66" s="560">
        <v>1</v>
      </c>
      <c r="LI66" s="560">
        <v>1</v>
      </c>
      <c r="LJ66" s="560">
        <v>1</v>
      </c>
      <c r="LK66" s="560">
        <v>18</v>
      </c>
      <c r="LL66" s="560">
        <v>0</v>
      </c>
      <c r="LM66" s="560">
        <v>0</v>
      </c>
      <c r="LN66" s="560">
        <v>6</v>
      </c>
      <c r="LO66" s="560">
        <v>5</v>
      </c>
      <c r="LP66" s="560">
        <v>19</v>
      </c>
      <c r="LQ66" s="560">
        <v>1174</v>
      </c>
      <c r="LR66" s="560">
        <v>1002</v>
      </c>
      <c r="LS66" s="560">
        <v>197</v>
      </c>
      <c r="LT66" s="560">
        <v>61</v>
      </c>
      <c r="LU66" s="560">
        <v>34</v>
      </c>
      <c r="LV66" s="560">
        <v>81</v>
      </c>
      <c r="LW66" s="560">
        <v>121</v>
      </c>
      <c r="LX66" s="560">
        <v>1</v>
      </c>
      <c r="LY66" s="560">
        <v>43</v>
      </c>
      <c r="LZ66" s="560">
        <v>22</v>
      </c>
      <c r="MA66" s="560">
        <v>3</v>
      </c>
      <c r="MB66" s="560">
        <v>6</v>
      </c>
      <c r="MC66" s="560">
        <v>2</v>
      </c>
      <c r="MD66" s="560">
        <v>53</v>
      </c>
      <c r="ME66" s="560">
        <v>1</v>
      </c>
      <c r="MF66" s="560">
        <v>1</v>
      </c>
      <c r="MG66" s="560">
        <v>20</v>
      </c>
      <c r="MH66" s="560">
        <v>18</v>
      </c>
      <c r="MI66" s="560">
        <v>99</v>
      </c>
      <c r="MJ66" s="560">
        <v>502</v>
      </c>
      <c r="MK66" s="560">
        <v>517</v>
      </c>
      <c r="ML66" s="560">
        <v>88</v>
      </c>
      <c r="MM66" s="560">
        <v>36</v>
      </c>
      <c r="MN66" s="560">
        <v>14</v>
      </c>
      <c r="MO66" s="560">
        <v>56</v>
      </c>
      <c r="MP66" s="560">
        <v>42</v>
      </c>
      <c r="MQ66" s="560">
        <v>0</v>
      </c>
      <c r="MR66" s="560">
        <v>26</v>
      </c>
      <c r="MS66" s="560">
        <v>9</v>
      </c>
      <c r="MT66" s="560">
        <v>1</v>
      </c>
      <c r="MU66" s="560">
        <v>3</v>
      </c>
      <c r="MV66" s="560">
        <v>2</v>
      </c>
      <c r="MW66" s="560">
        <v>31</v>
      </c>
      <c r="MX66" s="560">
        <v>0</v>
      </c>
      <c r="MY66" s="560">
        <v>0</v>
      </c>
      <c r="MZ66" s="560">
        <v>12</v>
      </c>
      <c r="NA66" s="560">
        <v>10</v>
      </c>
      <c r="NB66" s="560">
        <v>36</v>
      </c>
      <c r="NC66" s="561">
        <v>0.57499999999999996</v>
      </c>
      <c r="ND66" s="561">
        <v>0.42499999999999999</v>
      </c>
      <c r="NE66" s="561">
        <v>0.46500000000000002</v>
      </c>
      <c r="NF66" s="561">
        <v>0.35</v>
      </c>
      <c r="NG66" s="561">
        <v>6.6000000000000003E-2</v>
      </c>
      <c r="NH66" s="561">
        <v>2.1999999999999999E-2</v>
      </c>
      <c r="NI66" s="561">
        <v>1.0999999999999999E-2</v>
      </c>
      <c r="NJ66" s="561">
        <v>3.2000000000000001E-2</v>
      </c>
      <c r="NK66" s="561">
        <v>3.7999999999999999E-2</v>
      </c>
      <c r="NL66" s="561">
        <v>0</v>
      </c>
      <c r="NM66" s="561">
        <v>1.6E-2</v>
      </c>
      <c r="NN66" s="561">
        <v>7.0000000000000001E-3</v>
      </c>
      <c r="NO66" s="561">
        <v>1E-3</v>
      </c>
      <c r="NP66" s="561">
        <v>2E-3</v>
      </c>
      <c r="NQ66" s="561">
        <v>1E-3</v>
      </c>
      <c r="NR66" s="561">
        <v>1.9E-2</v>
      </c>
      <c r="NS66" s="561">
        <v>0</v>
      </c>
      <c r="NT66" s="561">
        <v>0</v>
      </c>
      <c r="NU66" s="561">
        <v>7.0000000000000001E-3</v>
      </c>
      <c r="NV66" s="561">
        <v>7.0000000000000001E-3</v>
      </c>
      <c r="NW66" s="561">
        <v>3.1E-2</v>
      </c>
      <c r="NX66" s="561">
        <v>1E-3</v>
      </c>
      <c r="NY66" s="561">
        <v>0.21299999999999999</v>
      </c>
      <c r="NZ66" s="561">
        <v>8.9999999999999993E-3</v>
      </c>
      <c r="OA66" s="561">
        <v>0</v>
      </c>
      <c r="OB66" s="561">
        <v>1E-3</v>
      </c>
      <c r="OC66" s="561">
        <v>1.2999999999999999E-2</v>
      </c>
      <c r="OD66" s="561">
        <v>2.5000000000000001E-2</v>
      </c>
      <c r="OE66" s="561">
        <v>0.67500000000000004</v>
      </c>
      <c r="OF66" s="561">
        <v>1E-3</v>
      </c>
      <c r="OG66" s="561">
        <v>0</v>
      </c>
      <c r="OH66" s="561">
        <v>5.0000000000000001E-3</v>
      </c>
      <c r="OI66" s="561">
        <v>1E-3</v>
      </c>
      <c r="OJ66" s="561">
        <v>6.0000000000000001E-3</v>
      </c>
      <c r="OK66" s="561">
        <v>1E-3</v>
      </c>
      <c r="OL66" s="561">
        <v>1E-3</v>
      </c>
      <c r="OM66" s="561">
        <v>2E-3</v>
      </c>
      <c r="ON66" s="561">
        <v>6.0000000000000001E-3</v>
      </c>
      <c r="OO66" s="561">
        <v>4.0000000000000001E-3</v>
      </c>
      <c r="OP66" s="561">
        <v>0</v>
      </c>
      <c r="OQ66" s="561">
        <v>0</v>
      </c>
      <c r="OR66" s="561">
        <v>0</v>
      </c>
      <c r="OS66" s="561">
        <v>0</v>
      </c>
      <c r="OT66" s="561">
        <v>8.9999999999999993E-3</v>
      </c>
      <c r="OU66" s="561">
        <v>2E-3</v>
      </c>
      <c r="OV66" s="561">
        <v>0</v>
      </c>
      <c r="OW66" s="561">
        <v>5.0000000000000001E-3</v>
      </c>
      <c r="OX66" s="561">
        <v>0</v>
      </c>
      <c r="OY66" s="561">
        <v>0</v>
      </c>
      <c r="OZ66" s="561">
        <v>6.0000000000000001E-3</v>
      </c>
      <c r="PA66" s="561">
        <v>6.0000000000000001E-3</v>
      </c>
      <c r="PB66" s="561">
        <v>1E-3</v>
      </c>
      <c r="PC66" s="561">
        <v>5.0000000000000001E-3</v>
      </c>
      <c r="PD66" s="561">
        <v>0</v>
      </c>
      <c r="PE66" s="561">
        <v>0</v>
      </c>
      <c r="PF66" s="561">
        <v>0.14599999999999999</v>
      </c>
      <c r="PG66" s="561">
        <v>7.0000000000000001E-3</v>
      </c>
      <c r="PH66" s="561">
        <v>0</v>
      </c>
      <c r="PI66" s="561">
        <v>1E-3</v>
      </c>
      <c r="PJ66" s="561">
        <v>6.0000000000000001E-3</v>
      </c>
      <c r="PK66" s="561">
        <v>7.0000000000000001E-3</v>
      </c>
      <c r="PL66" s="561">
        <v>0.79100000000000004</v>
      </c>
      <c r="PM66" s="561">
        <v>0.02</v>
      </c>
      <c r="PN66" s="561">
        <v>0</v>
      </c>
      <c r="PO66" s="561">
        <v>3.0000000000000001E-3</v>
      </c>
      <c r="PP66" s="561">
        <v>1E-3</v>
      </c>
      <c r="PQ66" s="561">
        <v>1E-3</v>
      </c>
      <c r="PR66" s="561">
        <v>0</v>
      </c>
      <c r="PS66" s="561">
        <v>0</v>
      </c>
      <c r="PT66" s="561">
        <v>0</v>
      </c>
      <c r="PU66" s="561">
        <v>2E-3</v>
      </c>
      <c r="PV66" s="561">
        <v>1E-3</v>
      </c>
      <c r="PW66" s="561">
        <v>0</v>
      </c>
      <c r="PX66" s="561">
        <v>0</v>
      </c>
      <c r="PY66" s="561">
        <v>0</v>
      </c>
      <c r="PZ66" s="561">
        <v>0</v>
      </c>
      <c r="QA66" s="561">
        <v>5.0000000000000001E-3</v>
      </c>
      <c r="QB66" s="561">
        <v>1E-3</v>
      </c>
      <c r="QC66" s="561">
        <v>0</v>
      </c>
      <c r="QD66" s="561">
        <v>2E-3</v>
      </c>
      <c r="QE66" s="561">
        <v>0</v>
      </c>
      <c r="QF66" s="561">
        <v>0</v>
      </c>
      <c r="QG66" s="561">
        <v>2E-3</v>
      </c>
      <c r="QH66" s="561">
        <v>2E-3</v>
      </c>
      <c r="QI66" s="561">
        <v>0</v>
      </c>
      <c r="QJ66" s="561">
        <v>0</v>
      </c>
      <c r="QK66" s="561">
        <v>0</v>
      </c>
      <c r="QL66" s="561">
        <v>0.38100000000000001</v>
      </c>
      <c r="QM66" s="561">
        <v>0.33900000000000002</v>
      </c>
      <c r="QN66" s="561">
        <v>5.0999999999999997E-2</v>
      </c>
      <c r="QO66" s="561">
        <v>1.2E-2</v>
      </c>
      <c r="QP66" s="561">
        <v>1.0999999999999999E-2</v>
      </c>
      <c r="QQ66" s="561">
        <v>1.7999999999999999E-2</v>
      </c>
      <c r="QR66" s="561">
        <v>0.10299999999999999</v>
      </c>
      <c r="QS66" s="561">
        <v>0</v>
      </c>
      <c r="QT66" s="561">
        <v>8.0000000000000002E-3</v>
      </c>
      <c r="QU66" s="561">
        <v>4.0000000000000001E-3</v>
      </c>
      <c r="QV66" s="561">
        <v>1E-3</v>
      </c>
      <c r="QW66" s="561">
        <v>1E-3</v>
      </c>
      <c r="QX66" s="561">
        <v>1E-3</v>
      </c>
      <c r="QY66" s="561">
        <v>1.6E-2</v>
      </c>
      <c r="QZ66" s="561">
        <v>1E-3</v>
      </c>
      <c r="RA66" s="561">
        <v>0</v>
      </c>
      <c r="RB66" s="561">
        <v>3.0000000000000001E-3</v>
      </c>
      <c r="RC66" s="561">
        <v>4.0000000000000001E-3</v>
      </c>
      <c r="RD66" s="561">
        <v>4.4999999999999998E-2</v>
      </c>
      <c r="RE66" s="561">
        <v>0.376</v>
      </c>
      <c r="RF66" s="561">
        <v>0.30399999999999999</v>
      </c>
      <c r="RG66" s="561">
        <v>6.8000000000000005E-2</v>
      </c>
      <c r="RH66" s="561">
        <v>1.2E-2</v>
      </c>
      <c r="RI66" s="561">
        <v>1.7999999999999999E-2</v>
      </c>
      <c r="RJ66" s="561">
        <v>0.02</v>
      </c>
      <c r="RK66" s="561">
        <v>0.125</v>
      </c>
      <c r="RL66" s="561">
        <v>0</v>
      </c>
      <c r="RM66" s="561">
        <v>3.0000000000000001E-3</v>
      </c>
      <c r="RN66" s="561">
        <v>3.0000000000000001E-3</v>
      </c>
      <c r="RO66" s="561">
        <v>0</v>
      </c>
      <c r="RP66" s="561">
        <v>2E-3</v>
      </c>
      <c r="RQ66" s="561">
        <v>0</v>
      </c>
      <c r="RR66" s="561">
        <v>1.2E-2</v>
      </c>
      <c r="RS66" s="561">
        <v>0</v>
      </c>
      <c r="RT66" s="561">
        <v>1E-3</v>
      </c>
      <c r="RU66" s="561">
        <v>4.0000000000000001E-3</v>
      </c>
      <c r="RV66" s="561">
        <v>3.0000000000000001E-3</v>
      </c>
      <c r="RW66" s="561">
        <v>4.8000000000000001E-2</v>
      </c>
      <c r="RX66" s="561">
        <v>0.39900000000000002</v>
      </c>
      <c r="RY66" s="561">
        <v>0.34499999999999997</v>
      </c>
      <c r="RZ66" s="561">
        <v>6.4000000000000001E-2</v>
      </c>
      <c r="SA66" s="561">
        <v>2.1999999999999999E-2</v>
      </c>
      <c r="SB66" s="561">
        <v>1.0999999999999999E-2</v>
      </c>
      <c r="SC66" s="561">
        <v>3.4000000000000002E-2</v>
      </c>
      <c r="SD66" s="561">
        <v>3.5999999999999997E-2</v>
      </c>
      <c r="SE66" s="561">
        <v>0</v>
      </c>
      <c r="SF66" s="561">
        <v>1.4999999999999999E-2</v>
      </c>
      <c r="SG66" s="561">
        <v>6.0000000000000001E-3</v>
      </c>
      <c r="SH66" s="561">
        <v>1E-3</v>
      </c>
      <c r="SI66" s="561">
        <v>2E-3</v>
      </c>
      <c r="SJ66" s="561">
        <v>1E-3</v>
      </c>
      <c r="SK66" s="561">
        <v>1.7999999999999999E-2</v>
      </c>
      <c r="SL66" s="561">
        <v>0</v>
      </c>
      <c r="SM66" s="561">
        <v>0</v>
      </c>
      <c r="SN66" s="561">
        <v>7.0000000000000001E-3</v>
      </c>
      <c r="SO66" s="561">
        <v>7.0000000000000001E-3</v>
      </c>
      <c r="SP66" s="561">
        <v>0.03</v>
      </c>
      <c r="SQ66" s="561">
        <v>0.45100000000000001</v>
      </c>
      <c r="SR66" s="561">
        <v>0.311</v>
      </c>
      <c r="SS66" s="561">
        <v>4.7E-2</v>
      </c>
      <c r="ST66" s="561">
        <v>0.02</v>
      </c>
      <c r="SU66" s="561">
        <v>0.01</v>
      </c>
      <c r="SV66" s="561">
        <v>3.4000000000000002E-2</v>
      </c>
      <c r="SW66" s="561">
        <v>4.2999999999999997E-2</v>
      </c>
      <c r="SX66" s="561">
        <v>1E-3</v>
      </c>
      <c r="SY66" s="561">
        <v>0.01</v>
      </c>
      <c r="SZ66" s="561">
        <v>4.0000000000000001E-3</v>
      </c>
      <c r="TA66" s="561">
        <v>1E-3</v>
      </c>
      <c r="TB66" s="561">
        <v>3.0000000000000001E-3</v>
      </c>
      <c r="TC66" s="561">
        <v>1E-3</v>
      </c>
      <c r="TD66" s="561">
        <v>1.2999999999999999E-2</v>
      </c>
      <c r="TE66" s="561">
        <v>0</v>
      </c>
      <c r="TF66" s="561">
        <v>0</v>
      </c>
      <c r="TG66" s="561">
        <v>7.0000000000000001E-3</v>
      </c>
      <c r="TH66" s="561">
        <v>7.0000000000000001E-3</v>
      </c>
      <c r="TI66" s="561">
        <v>3.6999999999999998E-2</v>
      </c>
      <c r="TJ66" s="561">
        <v>0.31</v>
      </c>
      <c r="TK66" s="561">
        <v>0.436</v>
      </c>
      <c r="TL66" s="561">
        <v>5.3999999999999999E-2</v>
      </c>
      <c r="TM66" s="561">
        <v>2.8000000000000001E-2</v>
      </c>
      <c r="TN66" s="561">
        <v>8.9999999999999993E-3</v>
      </c>
      <c r="TO66" s="561">
        <v>3.9E-2</v>
      </c>
      <c r="TP66" s="561">
        <v>2.8000000000000001E-2</v>
      </c>
      <c r="TQ66" s="561">
        <v>0</v>
      </c>
      <c r="TR66" s="561">
        <v>1.4999999999999999E-2</v>
      </c>
      <c r="TS66" s="561">
        <v>8.9999999999999993E-3</v>
      </c>
      <c r="TT66" s="561">
        <v>1E-3</v>
      </c>
      <c r="TU66" s="561">
        <v>2E-3</v>
      </c>
      <c r="TV66" s="561">
        <v>1E-3</v>
      </c>
      <c r="TW66" s="561">
        <v>2.5000000000000001E-2</v>
      </c>
      <c r="TX66" s="561">
        <v>0</v>
      </c>
      <c r="TY66" s="561">
        <v>0</v>
      </c>
      <c r="TZ66" s="561">
        <v>8.9999999999999993E-3</v>
      </c>
      <c r="UA66" s="561">
        <v>7.0000000000000001E-3</v>
      </c>
      <c r="UB66" s="561">
        <v>2.7E-2</v>
      </c>
      <c r="UC66" s="561">
        <v>0.39900000000000002</v>
      </c>
      <c r="UD66" s="561">
        <v>0.34100000000000003</v>
      </c>
      <c r="UE66" s="561">
        <v>6.7000000000000004E-2</v>
      </c>
      <c r="UF66" s="561">
        <v>2.1000000000000001E-2</v>
      </c>
      <c r="UG66" s="561">
        <v>1.2E-2</v>
      </c>
      <c r="UH66" s="561">
        <v>2.8000000000000001E-2</v>
      </c>
      <c r="UI66" s="561">
        <v>4.1000000000000002E-2</v>
      </c>
      <c r="UJ66" s="561">
        <v>0</v>
      </c>
      <c r="UK66" s="561">
        <v>1.4999999999999999E-2</v>
      </c>
      <c r="UL66" s="561">
        <v>8.0000000000000002E-3</v>
      </c>
      <c r="UM66" s="561">
        <v>1E-3</v>
      </c>
      <c r="UN66" s="561">
        <v>2E-3</v>
      </c>
      <c r="UO66" s="561">
        <v>1E-3</v>
      </c>
      <c r="UP66" s="561">
        <v>1.7999999999999999E-2</v>
      </c>
      <c r="UQ66" s="561">
        <v>0</v>
      </c>
      <c r="UR66" s="561">
        <v>0</v>
      </c>
      <c r="US66" s="561">
        <v>7.0000000000000001E-3</v>
      </c>
      <c r="UT66" s="561">
        <v>6.0000000000000001E-3</v>
      </c>
      <c r="UU66" s="561">
        <v>3.4000000000000002E-2</v>
      </c>
      <c r="UV66" s="561">
        <v>0.36199999999999999</v>
      </c>
      <c r="UW66" s="561">
        <v>0.372</v>
      </c>
      <c r="UX66" s="561">
        <v>6.3E-2</v>
      </c>
      <c r="UY66" s="561">
        <v>2.5999999999999999E-2</v>
      </c>
      <c r="UZ66" s="561">
        <v>0.01</v>
      </c>
      <c r="VA66" s="561">
        <v>4.1000000000000002E-2</v>
      </c>
      <c r="VB66" s="561">
        <v>0.03</v>
      </c>
      <c r="VC66" s="561">
        <v>0</v>
      </c>
      <c r="VD66" s="561">
        <v>1.7999999999999999E-2</v>
      </c>
      <c r="VE66" s="561">
        <v>7.0000000000000001E-3</v>
      </c>
      <c r="VF66" s="561">
        <v>1E-3</v>
      </c>
      <c r="VG66" s="561">
        <v>2E-3</v>
      </c>
      <c r="VH66" s="561">
        <v>1E-3</v>
      </c>
      <c r="VI66" s="561">
        <v>2.3E-2</v>
      </c>
      <c r="VJ66" s="561">
        <v>0</v>
      </c>
      <c r="VK66" s="561">
        <v>0</v>
      </c>
      <c r="VL66" s="561">
        <v>8.9999999999999993E-3</v>
      </c>
      <c r="VM66" s="561">
        <v>7.0000000000000001E-3</v>
      </c>
      <c r="VN66" s="561">
        <v>2.5999999999999999E-2</v>
      </c>
    </row>
    <row r="67" spans="1:586" s="693" customFormat="1" ht="15.75" customHeight="1" x14ac:dyDescent="0.35">
      <c r="A67" s="550" t="s">
        <v>15</v>
      </c>
      <c r="B67" s="551" t="s">
        <v>127</v>
      </c>
      <c r="C67" s="552">
        <v>16.23</v>
      </c>
      <c r="D67" s="666">
        <v>402</v>
      </c>
      <c r="E67" s="667">
        <v>45020.1</v>
      </c>
      <c r="F67" s="667">
        <v>113.6</v>
      </c>
      <c r="G67" s="666">
        <v>388</v>
      </c>
      <c r="H67" s="666">
        <v>370</v>
      </c>
      <c r="I67" s="666">
        <v>300</v>
      </c>
      <c r="J67" s="666">
        <v>225</v>
      </c>
      <c r="K67" s="666">
        <v>102</v>
      </c>
      <c r="L67" s="667">
        <v>18241.7</v>
      </c>
      <c r="M67" s="666">
        <v>294</v>
      </c>
      <c r="N67" s="667">
        <v>26778.400000000001</v>
      </c>
      <c r="O67" s="666">
        <v>54</v>
      </c>
      <c r="P67" s="668">
        <v>9774.7000000000007</v>
      </c>
      <c r="Q67" s="666">
        <v>50</v>
      </c>
      <c r="R67" s="668">
        <v>2090.1</v>
      </c>
      <c r="S67" s="666">
        <v>87</v>
      </c>
      <c r="T67" s="668">
        <v>8119.3</v>
      </c>
      <c r="U67" s="666">
        <v>6</v>
      </c>
      <c r="V67" s="668">
        <v>759.5</v>
      </c>
      <c r="W67" s="666">
        <v>310</v>
      </c>
      <c r="X67" s="668">
        <v>36141.300000000003</v>
      </c>
      <c r="Y67" s="666">
        <v>375</v>
      </c>
      <c r="Z67" s="666">
        <v>181</v>
      </c>
      <c r="AA67" s="666">
        <v>229</v>
      </c>
      <c r="AB67" s="666">
        <v>151</v>
      </c>
      <c r="AC67" s="666">
        <v>26</v>
      </c>
      <c r="AD67" s="666">
        <v>85</v>
      </c>
      <c r="AE67" s="666">
        <v>201</v>
      </c>
      <c r="AF67" s="668">
        <v>13257.4</v>
      </c>
      <c r="AG67" s="666">
        <v>175</v>
      </c>
      <c r="AH67" s="668">
        <v>30476.400000000001</v>
      </c>
      <c r="AI67" s="666">
        <v>12</v>
      </c>
      <c r="AJ67" s="668">
        <v>534.6</v>
      </c>
      <c r="AK67" s="666">
        <v>7</v>
      </c>
      <c r="AL67" s="668">
        <v>751.8</v>
      </c>
      <c r="AM67" s="553">
        <v>231</v>
      </c>
      <c r="AN67" s="553">
        <v>171</v>
      </c>
      <c r="AO67" s="553">
        <v>285</v>
      </c>
      <c r="AP67" s="553">
        <v>72</v>
      </c>
      <c r="AQ67" s="553">
        <v>5</v>
      </c>
      <c r="AR67" s="553">
        <v>2</v>
      </c>
      <c r="AS67" s="553">
        <v>13</v>
      </c>
      <c r="AT67" s="553">
        <v>2</v>
      </c>
      <c r="AU67" s="553">
        <v>12</v>
      </c>
      <c r="AV67" s="553">
        <v>0</v>
      </c>
      <c r="AW67" s="553">
        <v>0</v>
      </c>
      <c r="AX67" s="553">
        <v>0</v>
      </c>
      <c r="AY67" s="553">
        <v>0</v>
      </c>
      <c r="AZ67" s="553">
        <v>0</v>
      </c>
      <c r="BA67" s="553">
        <v>0</v>
      </c>
      <c r="BB67" s="553">
        <v>1</v>
      </c>
      <c r="BC67" s="553">
        <v>0</v>
      </c>
      <c r="BD67" s="553">
        <v>0</v>
      </c>
      <c r="BE67" s="553">
        <v>3</v>
      </c>
      <c r="BF67" s="553">
        <v>1</v>
      </c>
      <c r="BG67" s="553">
        <v>6</v>
      </c>
      <c r="BH67" s="553">
        <v>0</v>
      </c>
      <c r="BI67" s="553">
        <v>37</v>
      </c>
      <c r="BJ67" s="553">
        <v>0</v>
      </c>
      <c r="BK67" s="553">
        <v>0</v>
      </c>
      <c r="BL67" s="553">
        <v>0</v>
      </c>
      <c r="BM67" s="553">
        <v>1</v>
      </c>
      <c r="BN67" s="553">
        <v>1</v>
      </c>
      <c r="BO67" s="553">
        <v>356</v>
      </c>
      <c r="BP67" s="553">
        <v>1</v>
      </c>
      <c r="BQ67" s="553">
        <v>0</v>
      </c>
      <c r="BR67" s="553">
        <v>0</v>
      </c>
      <c r="BS67" s="553">
        <v>0</v>
      </c>
      <c r="BT67" s="553">
        <v>0</v>
      </c>
      <c r="BU67" s="553">
        <v>0</v>
      </c>
      <c r="BV67" s="553">
        <v>0</v>
      </c>
      <c r="BW67" s="553">
        <v>0</v>
      </c>
      <c r="BX67" s="553">
        <v>1</v>
      </c>
      <c r="BY67" s="553">
        <v>2</v>
      </c>
      <c r="BZ67" s="553">
        <v>0</v>
      </c>
      <c r="CA67" s="553">
        <v>0</v>
      </c>
      <c r="CB67" s="553">
        <v>0</v>
      </c>
      <c r="CC67" s="553">
        <v>0</v>
      </c>
      <c r="CD67" s="553">
        <v>0</v>
      </c>
      <c r="CE67" s="553">
        <v>0</v>
      </c>
      <c r="CF67" s="553">
        <v>0</v>
      </c>
      <c r="CG67" s="553">
        <v>0</v>
      </c>
      <c r="CH67" s="553">
        <v>0</v>
      </c>
      <c r="CI67" s="553">
        <v>0</v>
      </c>
      <c r="CJ67" s="553">
        <v>0</v>
      </c>
      <c r="CK67" s="553">
        <v>0</v>
      </c>
      <c r="CL67" s="553">
        <v>0</v>
      </c>
      <c r="CM67" s="553">
        <v>0</v>
      </c>
      <c r="CN67" s="553">
        <v>0</v>
      </c>
      <c r="CO67" s="553">
        <v>0</v>
      </c>
      <c r="CP67" s="553">
        <v>24</v>
      </c>
      <c r="CQ67" s="553">
        <v>0</v>
      </c>
      <c r="CR67" s="553">
        <v>0</v>
      </c>
      <c r="CS67" s="553">
        <v>0</v>
      </c>
      <c r="CT67" s="553">
        <v>0</v>
      </c>
      <c r="CU67" s="553">
        <v>0</v>
      </c>
      <c r="CV67" s="553">
        <v>343</v>
      </c>
      <c r="CW67" s="553">
        <v>5</v>
      </c>
      <c r="CX67" s="553">
        <v>0</v>
      </c>
      <c r="CY67" s="553">
        <v>0</v>
      </c>
      <c r="CZ67" s="553">
        <v>0</v>
      </c>
      <c r="DA67" s="553">
        <v>0</v>
      </c>
      <c r="DB67" s="553">
        <v>0</v>
      </c>
      <c r="DC67" s="553">
        <v>0</v>
      </c>
      <c r="DD67" s="553">
        <v>0</v>
      </c>
      <c r="DE67" s="553">
        <v>1</v>
      </c>
      <c r="DF67" s="553">
        <v>0</v>
      </c>
      <c r="DG67" s="553">
        <v>0</v>
      </c>
      <c r="DH67" s="553">
        <v>0</v>
      </c>
      <c r="DI67" s="553">
        <v>0</v>
      </c>
      <c r="DJ67" s="553">
        <v>0</v>
      </c>
      <c r="DK67" s="553">
        <v>0</v>
      </c>
      <c r="DL67" s="553">
        <v>0</v>
      </c>
      <c r="DM67" s="553">
        <v>0</v>
      </c>
      <c r="DN67" s="553">
        <v>0</v>
      </c>
      <c r="DO67" s="553">
        <v>0</v>
      </c>
      <c r="DP67" s="553">
        <v>0</v>
      </c>
      <c r="DQ67" s="553">
        <v>0</v>
      </c>
      <c r="DR67" s="553">
        <v>0</v>
      </c>
      <c r="DS67" s="553">
        <v>0</v>
      </c>
      <c r="DT67" s="553">
        <v>0</v>
      </c>
      <c r="DU67" s="553">
        <v>0</v>
      </c>
      <c r="DV67" s="553">
        <v>37</v>
      </c>
      <c r="DW67" s="554">
        <v>6759.6</v>
      </c>
      <c r="DX67" s="553">
        <v>69</v>
      </c>
      <c r="DY67" s="554">
        <v>10675.8</v>
      </c>
      <c r="DZ67" s="553">
        <v>107</v>
      </c>
      <c r="EA67" s="554">
        <v>10246</v>
      </c>
      <c r="EB67" s="553">
        <v>90</v>
      </c>
      <c r="EC67" s="554">
        <v>7769.6</v>
      </c>
      <c r="ED67" s="553">
        <v>64</v>
      </c>
      <c r="EE67" s="554">
        <v>5740.3</v>
      </c>
      <c r="EF67" s="553">
        <v>35</v>
      </c>
      <c r="EG67" s="554">
        <v>3828.8</v>
      </c>
      <c r="EH67" s="555">
        <v>328</v>
      </c>
      <c r="EI67" s="556">
        <v>1212.2</v>
      </c>
      <c r="EJ67" s="557">
        <v>323</v>
      </c>
      <c r="EK67" s="556">
        <v>6726.8</v>
      </c>
      <c r="EL67" s="557">
        <v>322</v>
      </c>
      <c r="EM67" s="556">
        <v>3044.2</v>
      </c>
      <c r="EN67" s="557">
        <v>331</v>
      </c>
      <c r="EO67" s="556">
        <v>1669.6</v>
      </c>
      <c r="EP67" s="557">
        <v>325</v>
      </c>
      <c r="EQ67" s="556">
        <v>1128.0999999999999</v>
      </c>
      <c r="ER67" s="557">
        <v>321</v>
      </c>
      <c r="ES67" s="556">
        <v>679.5</v>
      </c>
      <c r="ET67" s="557">
        <v>0</v>
      </c>
      <c r="EU67" s="553">
        <v>218</v>
      </c>
      <c r="EV67" s="554">
        <v>3482.6</v>
      </c>
      <c r="EW67" s="553">
        <v>62</v>
      </c>
      <c r="EX67" s="554">
        <v>349.6</v>
      </c>
      <c r="EY67" s="553">
        <v>94</v>
      </c>
      <c r="EZ67" s="554">
        <v>1174</v>
      </c>
      <c r="FA67" s="553">
        <v>44</v>
      </c>
      <c r="FB67" s="554">
        <v>450.9</v>
      </c>
      <c r="FC67" s="553">
        <v>323</v>
      </c>
      <c r="FD67" s="554">
        <v>3796.4</v>
      </c>
      <c r="FE67" s="553">
        <v>302</v>
      </c>
      <c r="FF67" s="554">
        <v>2326</v>
      </c>
      <c r="FG67" s="553">
        <v>137</v>
      </c>
      <c r="FH67" s="554">
        <v>1449.7</v>
      </c>
      <c r="FI67" s="553">
        <v>211</v>
      </c>
      <c r="FJ67" s="554">
        <v>1319.2</v>
      </c>
      <c r="FK67" s="553">
        <v>261</v>
      </c>
      <c r="FL67" s="554">
        <v>894.9</v>
      </c>
      <c r="FM67" s="553">
        <v>17</v>
      </c>
      <c r="FN67" s="554">
        <v>42.6</v>
      </c>
      <c r="FO67" s="553">
        <v>280</v>
      </c>
      <c r="FP67" s="554">
        <v>2096.4</v>
      </c>
      <c r="FQ67" s="553">
        <v>289</v>
      </c>
      <c r="FR67" s="554">
        <v>1264</v>
      </c>
      <c r="FS67" s="553">
        <v>6</v>
      </c>
      <c r="FT67" s="554">
        <v>57.9</v>
      </c>
      <c r="FU67" s="553">
        <v>0</v>
      </c>
      <c r="FV67" s="554">
        <v>2.4</v>
      </c>
      <c r="FW67" s="553">
        <v>0</v>
      </c>
      <c r="FX67" s="554">
        <v>0</v>
      </c>
      <c r="FY67" s="553">
        <v>2</v>
      </c>
      <c r="FZ67" s="554">
        <v>6.5</v>
      </c>
      <c r="GA67" s="553">
        <v>0</v>
      </c>
      <c r="GB67" s="554">
        <v>0</v>
      </c>
      <c r="GC67" s="562">
        <v>0</v>
      </c>
      <c r="GD67" s="553">
        <v>3</v>
      </c>
      <c r="GE67" s="553">
        <v>8</v>
      </c>
      <c r="GF67" s="553">
        <v>124</v>
      </c>
      <c r="GG67" s="553">
        <v>0</v>
      </c>
      <c r="GH67" s="553">
        <v>0</v>
      </c>
      <c r="GI67" s="553">
        <v>0</v>
      </c>
      <c r="GJ67" s="553">
        <v>0</v>
      </c>
      <c r="GK67" s="553">
        <v>62</v>
      </c>
      <c r="GL67" s="553">
        <v>72</v>
      </c>
      <c r="GM67" s="553">
        <v>135</v>
      </c>
      <c r="GN67" s="553">
        <v>17</v>
      </c>
      <c r="GO67" s="553">
        <v>17</v>
      </c>
      <c r="GP67" s="553">
        <v>2</v>
      </c>
      <c r="GQ67" s="553">
        <v>4</v>
      </c>
      <c r="GR67" s="553">
        <v>0</v>
      </c>
      <c r="GS67" s="553">
        <v>6</v>
      </c>
      <c r="GT67" s="671">
        <v>259.8823529</v>
      </c>
      <c r="GU67" s="670">
        <v>0</v>
      </c>
      <c r="GV67" s="557">
        <v>0</v>
      </c>
      <c r="GW67" s="557">
        <v>0</v>
      </c>
      <c r="GX67" s="557">
        <v>0</v>
      </c>
      <c r="GY67" s="559">
        <v>1</v>
      </c>
      <c r="GZ67" s="559">
        <v>1</v>
      </c>
      <c r="HA67" s="560">
        <v>2</v>
      </c>
      <c r="HB67" s="560">
        <v>0</v>
      </c>
      <c r="HC67" s="560">
        <v>0</v>
      </c>
      <c r="HD67" s="560">
        <v>0</v>
      </c>
      <c r="HE67" s="560">
        <v>0</v>
      </c>
      <c r="HF67" s="560">
        <v>0</v>
      </c>
      <c r="HG67" s="560">
        <v>0</v>
      </c>
      <c r="HH67" s="560">
        <v>0</v>
      </c>
      <c r="HI67" s="560">
        <v>0</v>
      </c>
      <c r="HJ67" s="560">
        <v>0</v>
      </c>
      <c r="HK67" s="560">
        <v>0</v>
      </c>
      <c r="HL67" s="560">
        <v>0</v>
      </c>
      <c r="HM67" s="560">
        <v>0</v>
      </c>
      <c r="HN67" s="560">
        <v>0</v>
      </c>
      <c r="HO67" s="560">
        <v>0</v>
      </c>
      <c r="HP67" s="560">
        <v>0</v>
      </c>
      <c r="HQ67" s="560">
        <v>0</v>
      </c>
      <c r="HR67" s="560">
        <v>2</v>
      </c>
      <c r="HS67" s="560">
        <v>0</v>
      </c>
      <c r="HT67" s="560">
        <v>0</v>
      </c>
      <c r="HU67" s="560">
        <v>0</v>
      </c>
      <c r="HV67" s="560">
        <v>0</v>
      </c>
      <c r="HW67" s="560">
        <v>0</v>
      </c>
      <c r="HX67" s="560">
        <v>0</v>
      </c>
      <c r="HY67" s="560">
        <v>0</v>
      </c>
      <c r="HZ67" s="560">
        <v>12</v>
      </c>
      <c r="IA67" s="560">
        <v>2</v>
      </c>
      <c r="IB67" s="560">
        <v>0</v>
      </c>
      <c r="IC67" s="560">
        <v>0</v>
      </c>
      <c r="ID67" s="560">
        <v>0</v>
      </c>
      <c r="IE67" s="560">
        <v>0</v>
      </c>
      <c r="IF67" s="560">
        <v>1</v>
      </c>
      <c r="IG67" s="560">
        <v>0</v>
      </c>
      <c r="IH67" s="560">
        <v>0</v>
      </c>
      <c r="II67" s="560">
        <v>0</v>
      </c>
      <c r="IJ67" s="560">
        <v>0</v>
      </c>
      <c r="IK67" s="560">
        <v>0</v>
      </c>
      <c r="IL67" s="560">
        <v>0</v>
      </c>
      <c r="IM67" s="560">
        <v>0</v>
      </c>
      <c r="IN67" s="560">
        <v>0</v>
      </c>
      <c r="IO67" s="560">
        <v>0</v>
      </c>
      <c r="IP67" s="560">
        <v>0</v>
      </c>
      <c r="IQ67" s="560">
        <v>0</v>
      </c>
      <c r="IR67" s="560">
        <v>1</v>
      </c>
      <c r="IS67" s="560">
        <v>5</v>
      </c>
      <c r="IT67" s="560">
        <v>1</v>
      </c>
      <c r="IU67" s="560">
        <v>0</v>
      </c>
      <c r="IV67" s="560">
        <v>0</v>
      </c>
      <c r="IW67" s="560">
        <v>0</v>
      </c>
      <c r="IX67" s="560">
        <v>0</v>
      </c>
      <c r="IY67" s="560">
        <v>0</v>
      </c>
      <c r="IZ67" s="560">
        <v>0</v>
      </c>
      <c r="JA67" s="560">
        <v>0</v>
      </c>
      <c r="JB67" s="560">
        <v>0</v>
      </c>
      <c r="JC67" s="560">
        <v>0</v>
      </c>
      <c r="JD67" s="560">
        <v>0</v>
      </c>
      <c r="JE67" s="560">
        <v>0</v>
      </c>
      <c r="JF67" s="560">
        <v>0</v>
      </c>
      <c r="JG67" s="560">
        <v>0</v>
      </c>
      <c r="JH67" s="560">
        <v>0</v>
      </c>
      <c r="JI67" s="560">
        <v>0</v>
      </c>
      <c r="JJ67" s="560">
        <v>0</v>
      </c>
      <c r="JK67" s="560">
        <v>0</v>
      </c>
      <c r="JL67" s="758">
        <v>31322</v>
      </c>
      <c r="JM67" s="758">
        <v>8832</v>
      </c>
      <c r="JN67" s="758">
        <v>577</v>
      </c>
      <c r="JO67" s="758">
        <v>294</v>
      </c>
      <c r="JP67" s="758">
        <v>1392</v>
      </c>
      <c r="JQ67" s="758">
        <v>235</v>
      </c>
      <c r="JR67" s="758">
        <v>1127</v>
      </c>
      <c r="JS67" s="758">
        <v>0</v>
      </c>
      <c r="JT67" s="758">
        <v>85</v>
      </c>
      <c r="JU67" s="758">
        <v>36</v>
      </c>
      <c r="JV67" s="758">
        <v>44</v>
      </c>
      <c r="JW67" s="758">
        <v>34</v>
      </c>
      <c r="JX67" s="758">
        <v>19</v>
      </c>
      <c r="JY67" s="758">
        <v>65</v>
      </c>
      <c r="JZ67" s="758">
        <v>33</v>
      </c>
      <c r="KA67" s="758">
        <v>0</v>
      </c>
      <c r="KB67" s="758">
        <v>199</v>
      </c>
      <c r="KC67" s="758">
        <v>51</v>
      </c>
      <c r="KD67" s="758">
        <v>676</v>
      </c>
      <c r="KE67" s="560">
        <v>38</v>
      </c>
      <c r="KF67" s="560">
        <v>9</v>
      </c>
      <c r="KG67" s="560">
        <v>1</v>
      </c>
      <c r="KH67" s="560">
        <v>0</v>
      </c>
      <c r="KI67" s="560">
        <v>2</v>
      </c>
      <c r="KJ67" s="560">
        <v>0</v>
      </c>
      <c r="KK67" s="560">
        <v>1</v>
      </c>
      <c r="KL67" s="560">
        <v>0</v>
      </c>
      <c r="KM67" s="560">
        <v>0</v>
      </c>
      <c r="KN67" s="560">
        <v>0</v>
      </c>
      <c r="KO67" s="560">
        <v>0</v>
      </c>
      <c r="KP67" s="560">
        <v>0</v>
      </c>
      <c r="KQ67" s="560">
        <v>0</v>
      </c>
      <c r="KR67" s="560">
        <v>0</v>
      </c>
      <c r="KS67" s="560">
        <v>0</v>
      </c>
      <c r="KT67" s="560">
        <v>0</v>
      </c>
      <c r="KU67" s="560">
        <v>0</v>
      </c>
      <c r="KV67" s="560">
        <v>0</v>
      </c>
      <c r="KW67" s="560">
        <v>1</v>
      </c>
      <c r="KX67" s="560">
        <v>27</v>
      </c>
      <c r="KY67" s="560">
        <v>17</v>
      </c>
      <c r="KZ67" s="560">
        <v>0</v>
      </c>
      <c r="LA67" s="560">
        <v>0</v>
      </c>
      <c r="LB67" s="560">
        <v>1</v>
      </c>
      <c r="LC67" s="560">
        <v>1</v>
      </c>
      <c r="LD67" s="560">
        <v>1</v>
      </c>
      <c r="LE67" s="560">
        <v>0</v>
      </c>
      <c r="LF67" s="560">
        <v>0</v>
      </c>
      <c r="LG67" s="560">
        <v>0</v>
      </c>
      <c r="LH67" s="560">
        <v>0</v>
      </c>
      <c r="LI67" s="560">
        <v>0</v>
      </c>
      <c r="LJ67" s="560">
        <v>0</v>
      </c>
      <c r="LK67" s="560">
        <v>0</v>
      </c>
      <c r="LL67" s="560">
        <v>0</v>
      </c>
      <c r="LM67" s="560">
        <v>0</v>
      </c>
      <c r="LN67" s="560">
        <v>0</v>
      </c>
      <c r="LO67" s="560">
        <v>0</v>
      </c>
      <c r="LP67" s="560">
        <v>1</v>
      </c>
      <c r="LQ67" s="560">
        <v>215</v>
      </c>
      <c r="LR67" s="560">
        <v>45</v>
      </c>
      <c r="LS67" s="560">
        <v>4</v>
      </c>
      <c r="LT67" s="560">
        <v>1</v>
      </c>
      <c r="LU67" s="560">
        <v>10</v>
      </c>
      <c r="LV67" s="560">
        <v>2</v>
      </c>
      <c r="LW67" s="560">
        <v>9</v>
      </c>
      <c r="LX67" s="560">
        <v>0</v>
      </c>
      <c r="LY67" s="560">
        <v>0</v>
      </c>
      <c r="LZ67" s="560">
        <v>0</v>
      </c>
      <c r="MA67" s="560">
        <v>0</v>
      </c>
      <c r="MB67" s="560">
        <v>0</v>
      </c>
      <c r="MC67" s="560">
        <v>0</v>
      </c>
      <c r="MD67" s="560">
        <v>0</v>
      </c>
      <c r="ME67" s="560">
        <v>0</v>
      </c>
      <c r="MF67" s="560">
        <v>0</v>
      </c>
      <c r="MG67" s="560">
        <v>2</v>
      </c>
      <c r="MH67" s="560">
        <v>0</v>
      </c>
      <c r="MI67" s="560">
        <v>4</v>
      </c>
      <c r="MJ67" s="560">
        <v>66</v>
      </c>
      <c r="MK67" s="560">
        <v>25</v>
      </c>
      <c r="ML67" s="560">
        <v>1</v>
      </c>
      <c r="MM67" s="560">
        <v>1</v>
      </c>
      <c r="MN67" s="560">
        <v>3</v>
      </c>
      <c r="MO67" s="560">
        <v>1</v>
      </c>
      <c r="MP67" s="560">
        <v>2</v>
      </c>
      <c r="MQ67" s="560">
        <v>0</v>
      </c>
      <c r="MR67" s="560">
        <v>0</v>
      </c>
      <c r="MS67" s="560">
        <v>0</v>
      </c>
      <c r="MT67" s="560">
        <v>0</v>
      </c>
      <c r="MU67" s="560">
        <v>0</v>
      </c>
      <c r="MV67" s="560">
        <v>0</v>
      </c>
      <c r="MW67" s="560">
        <v>0</v>
      </c>
      <c r="MX67" s="560">
        <v>0</v>
      </c>
      <c r="MY67" s="560">
        <v>0</v>
      </c>
      <c r="MZ67" s="560">
        <v>0</v>
      </c>
      <c r="NA67" s="560">
        <v>0</v>
      </c>
      <c r="NB67" s="560">
        <v>1</v>
      </c>
      <c r="NC67" s="561">
        <v>0.57499999999999996</v>
      </c>
      <c r="ND67" s="561">
        <v>0.42499999999999999</v>
      </c>
      <c r="NE67" s="561">
        <v>0.73</v>
      </c>
      <c r="NF67" s="561">
        <v>0.17799999999999999</v>
      </c>
      <c r="NG67" s="561">
        <v>1.2E-2</v>
      </c>
      <c r="NH67" s="561">
        <v>6.0000000000000001E-3</v>
      </c>
      <c r="NI67" s="561">
        <v>3.1E-2</v>
      </c>
      <c r="NJ67" s="561">
        <v>6.0000000000000001E-3</v>
      </c>
      <c r="NK67" s="561">
        <v>2.9000000000000001E-2</v>
      </c>
      <c r="NL67" s="561">
        <v>0</v>
      </c>
      <c r="NM67" s="561">
        <v>1E-3</v>
      </c>
      <c r="NN67" s="561">
        <v>1E-3</v>
      </c>
      <c r="NO67" s="561">
        <v>1E-3</v>
      </c>
      <c r="NP67" s="561">
        <v>1E-3</v>
      </c>
      <c r="NQ67" s="561">
        <v>1E-3</v>
      </c>
      <c r="NR67" s="561">
        <v>1E-3</v>
      </c>
      <c r="NS67" s="561">
        <v>1E-3</v>
      </c>
      <c r="NT67" s="561">
        <v>0</v>
      </c>
      <c r="NU67" s="561">
        <v>6.0000000000000001E-3</v>
      </c>
      <c r="NV67" s="561">
        <v>1E-3</v>
      </c>
      <c r="NW67" s="561">
        <v>1.4E-2</v>
      </c>
      <c r="NX67" s="561">
        <v>1E-3</v>
      </c>
      <c r="NY67" s="561">
        <v>9.1999999999999998E-2</v>
      </c>
      <c r="NZ67" s="561">
        <v>0</v>
      </c>
      <c r="OA67" s="561">
        <v>0</v>
      </c>
      <c r="OB67" s="561">
        <v>0</v>
      </c>
      <c r="OC67" s="561">
        <v>1E-3</v>
      </c>
      <c r="OD67" s="561">
        <v>3.0000000000000001E-3</v>
      </c>
      <c r="OE67" s="561">
        <v>0.88600000000000001</v>
      </c>
      <c r="OF67" s="561">
        <v>3.0000000000000001E-3</v>
      </c>
      <c r="OG67" s="561">
        <v>1E-3</v>
      </c>
      <c r="OH67" s="561">
        <v>0</v>
      </c>
      <c r="OI67" s="561">
        <v>0</v>
      </c>
      <c r="OJ67" s="561">
        <v>1E-3</v>
      </c>
      <c r="OK67" s="561">
        <v>0</v>
      </c>
      <c r="OL67" s="561">
        <v>1E-3</v>
      </c>
      <c r="OM67" s="561">
        <v>0</v>
      </c>
      <c r="ON67" s="561">
        <v>3.0000000000000001E-3</v>
      </c>
      <c r="OO67" s="561">
        <v>4.0000000000000001E-3</v>
      </c>
      <c r="OP67" s="561">
        <v>0</v>
      </c>
      <c r="OQ67" s="561">
        <v>0</v>
      </c>
      <c r="OR67" s="561">
        <v>0</v>
      </c>
      <c r="OS67" s="561">
        <v>0</v>
      </c>
      <c r="OT67" s="561">
        <v>1E-3</v>
      </c>
      <c r="OU67" s="561">
        <v>0</v>
      </c>
      <c r="OV67" s="561">
        <v>0</v>
      </c>
      <c r="OW67" s="561">
        <v>0</v>
      </c>
      <c r="OX67" s="561">
        <v>0</v>
      </c>
      <c r="OY67" s="561">
        <v>0</v>
      </c>
      <c r="OZ67" s="561">
        <v>1E-3</v>
      </c>
      <c r="PA67" s="561">
        <v>1E-3</v>
      </c>
      <c r="PB67" s="561">
        <v>0</v>
      </c>
      <c r="PC67" s="561">
        <v>0</v>
      </c>
      <c r="PD67" s="561">
        <v>0</v>
      </c>
      <c r="PE67" s="561">
        <v>0</v>
      </c>
      <c r="PF67" s="561">
        <v>6.5000000000000002E-2</v>
      </c>
      <c r="PG67" s="561">
        <v>0</v>
      </c>
      <c r="PH67" s="561">
        <v>0</v>
      </c>
      <c r="PI67" s="561">
        <v>0</v>
      </c>
      <c r="PJ67" s="561">
        <v>0</v>
      </c>
      <c r="PK67" s="561">
        <v>0</v>
      </c>
      <c r="PL67" s="561">
        <v>0.91500000000000004</v>
      </c>
      <c r="PM67" s="561">
        <v>1.4E-2</v>
      </c>
      <c r="PN67" s="561">
        <v>0</v>
      </c>
      <c r="PO67" s="561">
        <v>0</v>
      </c>
      <c r="PP67" s="561">
        <v>0</v>
      </c>
      <c r="PQ67" s="561">
        <v>0</v>
      </c>
      <c r="PR67" s="561">
        <v>0</v>
      </c>
      <c r="PS67" s="561">
        <v>0</v>
      </c>
      <c r="PT67" s="561">
        <v>0</v>
      </c>
      <c r="PU67" s="561">
        <v>2E-3</v>
      </c>
      <c r="PV67" s="561">
        <v>1E-3</v>
      </c>
      <c r="PW67" s="561">
        <v>0</v>
      </c>
      <c r="PX67" s="561">
        <v>0</v>
      </c>
      <c r="PY67" s="561">
        <v>0</v>
      </c>
      <c r="PZ67" s="561">
        <v>0</v>
      </c>
      <c r="QA67" s="561">
        <v>1E-3</v>
      </c>
      <c r="QB67" s="561">
        <v>0</v>
      </c>
      <c r="QC67" s="561">
        <v>0</v>
      </c>
      <c r="QD67" s="561">
        <v>0</v>
      </c>
      <c r="QE67" s="561">
        <v>0</v>
      </c>
      <c r="QF67" s="561">
        <v>0</v>
      </c>
      <c r="QG67" s="561">
        <v>0</v>
      </c>
      <c r="QH67" s="561">
        <v>0</v>
      </c>
      <c r="QI67" s="561">
        <v>0</v>
      </c>
      <c r="QJ67" s="561">
        <v>0</v>
      </c>
      <c r="QK67" s="561">
        <v>0</v>
      </c>
      <c r="QL67" s="561">
        <v>0.71199999999999997</v>
      </c>
      <c r="QM67" s="561">
        <v>0.14199999999999999</v>
      </c>
      <c r="QN67" s="561">
        <v>3.0000000000000001E-3</v>
      </c>
      <c r="QO67" s="561">
        <v>3.0000000000000001E-3</v>
      </c>
      <c r="QP67" s="561">
        <v>2.4E-2</v>
      </c>
      <c r="QQ67" s="561">
        <v>0</v>
      </c>
      <c r="QR67" s="561">
        <v>6.3E-2</v>
      </c>
      <c r="QS67" s="561">
        <v>0</v>
      </c>
      <c r="QT67" s="561">
        <v>0</v>
      </c>
      <c r="QU67" s="561">
        <v>0</v>
      </c>
      <c r="QV67" s="561">
        <v>0</v>
      </c>
      <c r="QW67" s="561">
        <v>0</v>
      </c>
      <c r="QX67" s="561">
        <v>0</v>
      </c>
      <c r="QY67" s="561">
        <v>0</v>
      </c>
      <c r="QZ67" s="561">
        <v>7.0000000000000001E-3</v>
      </c>
      <c r="RA67" s="561">
        <v>0</v>
      </c>
      <c r="RB67" s="561">
        <v>3.0000000000000001E-3</v>
      </c>
      <c r="RC67" s="561">
        <v>3.0000000000000001E-3</v>
      </c>
      <c r="RD67" s="561">
        <v>3.7999999999999999E-2</v>
      </c>
      <c r="RE67" s="561">
        <v>0.72499999999999998</v>
      </c>
      <c r="RF67" s="561">
        <v>0.14699999999999999</v>
      </c>
      <c r="RG67" s="561">
        <v>2.8000000000000001E-2</v>
      </c>
      <c r="RH67" s="561">
        <v>0</v>
      </c>
      <c r="RI67" s="561">
        <v>2.8000000000000001E-2</v>
      </c>
      <c r="RJ67" s="561">
        <v>8.9999999999999993E-3</v>
      </c>
      <c r="RK67" s="561">
        <v>3.6999999999999998E-2</v>
      </c>
      <c r="RL67" s="561">
        <v>0</v>
      </c>
      <c r="RM67" s="561">
        <v>0</v>
      </c>
      <c r="RN67" s="561">
        <v>0</v>
      </c>
      <c r="RO67" s="561">
        <v>0</v>
      </c>
      <c r="RP67" s="561">
        <v>0</v>
      </c>
      <c r="RQ67" s="561">
        <v>0</v>
      </c>
      <c r="RR67" s="561">
        <v>0</v>
      </c>
      <c r="RS67" s="561">
        <v>0</v>
      </c>
      <c r="RT67" s="561">
        <v>0</v>
      </c>
      <c r="RU67" s="561">
        <v>0</v>
      </c>
      <c r="RV67" s="561">
        <v>0</v>
      </c>
      <c r="RW67" s="561">
        <v>2.8000000000000001E-2</v>
      </c>
      <c r="RX67" s="561">
        <v>0.69599999999999995</v>
      </c>
      <c r="RY67" s="561">
        <v>0.19600000000000001</v>
      </c>
      <c r="RZ67" s="561">
        <v>1.2999999999999999E-2</v>
      </c>
      <c r="SA67" s="561">
        <v>7.0000000000000001E-3</v>
      </c>
      <c r="SB67" s="561">
        <v>3.1E-2</v>
      </c>
      <c r="SC67" s="561">
        <v>5.0000000000000001E-3</v>
      </c>
      <c r="SD67" s="561">
        <v>2.5000000000000001E-2</v>
      </c>
      <c r="SE67" s="561">
        <v>0</v>
      </c>
      <c r="SF67" s="561">
        <v>2E-3</v>
      </c>
      <c r="SG67" s="561">
        <v>1E-3</v>
      </c>
      <c r="SH67" s="561">
        <v>1E-3</v>
      </c>
      <c r="SI67" s="561">
        <v>1E-3</v>
      </c>
      <c r="SJ67" s="561">
        <v>0</v>
      </c>
      <c r="SK67" s="561">
        <v>1E-3</v>
      </c>
      <c r="SL67" s="561">
        <v>1E-3</v>
      </c>
      <c r="SM67" s="561">
        <v>0</v>
      </c>
      <c r="SN67" s="561">
        <v>4.0000000000000001E-3</v>
      </c>
      <c r="SO67" s="561">
        <v>1E-3</v>
      </c>
      <c r="SP67" s="561">
        <v>1.4999999999999999E-2</v>
      </c>
      <c r="SQ67" s="561">
        <v>0.70799999999999996</v>
      </c>
      <c r="SR67" s="561">
        <v>0.17499999999999999</v>
      </c>
      <c r="SS67" s="561">
        <v>1.7000000000000001E-2</v>
      </c>
      <c r="ST67" s="561">
        <v>5.0000000000000001E-3</v>
      </c>
      <c r="SU67" s="561">
        <v>3.4000000000000002E-2</v>
      </c>
      <c r="SV67" s="561">
        <v>4.0000000000000001E-3</v>
      </c>
      <c r="SW67" s="561">
        <v>2.3E-2</v>
      </c>
      <c r="SX67" s="561">
        <v>0</v>
      </c>
      <c r="SY67" s="561">
        <v>4.0000000000000001E-3</v>
      </c>
      <c r="SZ67" s="561">
        <v>1E-3</v>
      </c>
      <c r="TA67" s="561">
        <v>1E-3</v>
      </c>
      <c r="TB67" s="561">
        <v>2E-3</v>
      </c>
      <c r="TC67" s="561">
        <v>0</v>
      </c>
      <c r="TD67" s="561">
        <v>1E-3</v>
      </c>
      <c r="TE67" s="561">
        <v>1E-3</v>
      </c>
      <c r="TF67" s="561">
        <v>0</v>
      </c>
      <c r="TG67" s="561">
        <v>2E-3</v>
      </c>
      <c r="TH67" s="561">
        <v>1E-3</v>
      </c>
      <c r="TI67" s="561">
        <v>0.02</v>
      </c>
      <c r="TJ67" s="561">
        <v>0.55100000000000005</v>
      </c>
      <c r="TK67" s="561">
        <v>0.34200000000000003</v>
      </c>
      <c r="TL67" s="561">
        <v>7.0000000000000001E-3</v>
      </c>
      <c r="TM67" s="561">
        <v>8.0000000000000002E-3</v>
      </c>
      <c r="TN67" s="561">
        <v>2.4E-2</v>
      </c>
      <c r="TO67" s="561">
        <v>1.2999999999999999E-2</v>
      </c>
      <c r="TP67" s="561">
        <v>1.4999999999999999E-2</v>
      </c>
      <c r="TQ67" s="561">
        <v>0</v>
      </c>
      <c r="TR67" s="561">
        <v>2E-3</v>
      </c>
      <c r="TS67" s="561">
        <v>1E-3</v>
      </c>
      <c r="TT67" s="561">
        <v>1E-3</v>
      </c>
      <c r="TU67" s="561">
        <v>0</v>
      </c>
      <c r="TV67" s="561">
        <v>0</v>
      </c>
      <c r="TW67" s="561">
        <v>2E-3</v>
      </c>
      <c r="TX67" s="561">
        <v>0</v>
      </c>
      <c r="TY67" s="561">
        <v>0</v>
      </c>
      <c r="TZ67" s="561">
        <v>5.0000000000000001E-3</v>
      </c>
      <c r="UA67" s="561">
        <v>1E-3</v>
      </c>
      <c r="UB67" s="561">
        <v>2.5999999999999999E-2</v>
      </c>
      <c r="UC67" s="561">
        <v>0.73099999999999998</v>
      </c>
      <c r="UD67" s="561">
        <v>0.154</v>
      </c>
      <c r="UE67" s="561">
        <v>1.2E-2</v>
      </c>
      <c r="UF67" s="561">
        <v>5.0000000000000001E-3</v>
      </c>
      <c r="UG67" s="561">
        <v>3.2000000000000001E-2</v>
      </c>
      <c r="UH67" s="561">
        <v>6.0000000000000001E-3</v>
      </c>
      <c r="UI67" s="561">
        <v>3.2000000000000001E-2</v>
      </c>
      <c r="UJ67" s="561">
        <v>0</v>
      </c>
      <c r="UK67" s="561">
        <v>1E-3</v>
      </c>
      <c r="UL67" s="561">
        <v>1E-3</v>
      </c>
      <c r="UM67" s="561">
        <v>1E-3</v>
      </c>
      <c r="UN67" s="561">
        <v>1E-3</v>
      </c>
      <c r="UO67" s="561">
        <v>0</v>
      </c>
      <c r="UP67" s="561">
        <v>1E-3</v>
      </c>
      <c r="UQ67" s="561">
        <v>1E-3</v>
      </c>
      <c r="UR67" s="561">
        <v>0</v>
      </c>
      <c r="US67" s="561">
        <v>7.0000000000000001E-3</v>
      </c>
      <c r="UT67" s="561">
        <v>1E-3</v>
      </c>
      <c r="UU67" s="561">
        <v>1.4E-2</v>
      </c>
      <c r="UV67" s="561">
        <v>0.64800000000000002</v>
      </c>
      <c r="UW67" s="561">
        <v>0.25</v>
      </c>
      <c r="UX67" s="561">
        <v>1.2E-2</v>
      </c>
      <c r="UY67" s="561">
        <v>8.9999999999999993E-3</v>
      </c>
      <c r="UZ67" s="561">
        <v>2.8000000000000001E-2</v>
      </c>
      <c r="VA67" s="561">
        <v>5.0000000000000001E-3</v>
      </c>
      <c r="VB67" s="561">
        <v>2.1000000000000001E-2</v>
      </c>
      <c r="VC67" s="561">
        <v>0</v>
      </c>
      <c r="VD67" s="561">
        <v>1E-3</v>
      </c>
      <c r="VE67" s="561">
        <v>1E-3</v>
      </c>
      <c r="VF67" s="561">
        <v>2E-3</v>
      </c>
      <c r="VG67" s="561">
        <v>0</v>
      </c>
      <c r="VH67" s="561">
        <v>1E-3</v>
      </c>
      <c r="VI67" s="561">
        <v>2E-3</v>
      </c>
      <c r="VJ67" s="561">
        <v>1E-3</v>
      </c>
      <c r="VK67" s="561">
        <v>0</v>
      </c>
      <c r="VL67" s="561">
        <v>4.0000000000000001E-3</v>
      </c>
      <c r="VM67" s="561">
        <v>2E-3</v>
      </c>
      <c r="VN67" s="561">
        <v>1.2999999999999999E-2</v>
      </c>
    </row>
    <row r="68" spans="1:586" s="693" customFormat="1" ht="15.75" customHeight="1" x14ac:dyDescent="0.35">
      <c r="A68" s="563" t="s">
        <v>75</v>
      </c>
      <c r="B68" s="564" t="s">
        <v>127</v>
      </c>
      <c r="C68" s="565">
        <v>16</v>
      </c>
      <c r="D68" s="677">
        <v>22</v>
      </c>
      <c r="E68" s="678">
        <v>2432.6</v>
      </c>
      <c r="F68" s="667">
        <v>110.6</v>
      </c>
      <c r="G68" s="677">
        <v>22</v>
      </c>
      <c r="H68" s="677">
        <v>20</v>
      </c>
      <c r="I68" s="677">
        <v>14</v>
      </c>
      <c r="J68" s="677">
        <v>11</v>
      </c>
      <c r="K68" s="677">
        <v>7</v>
      </c>
      <c r="L68" s="678">
        <v>1291.3</v>
      </c>
      <c r="M68" s="677">
        <v>15</v>
      </c>
      <c r="N68" s="678">
        <v>1141.3</v>
      </c>
      <c r="O68" s="677">
        <v>1</v>
      </c>
      <c r="P68" s="679">
        <v>176.8</v>
      </c>
      <c r="Q68" s="677">
        <v>1</v>
      </c>
      <c r="R68" s="679">
        <v>15.2</v>
      </c>
      <c r="S68" s="677">
        <v>0</v>
      </c>
      <c r="T68" s="679">
        <v>0</v>
      </c>
      <c r="U68" s="677">
        <v>0</v>
      </c>
      <c r="V68" s="679">
        <v>0</v>
      </c>
      <c r="W68" s="677">
        <v>22</v>
      </c>
      <c r="X68" s="679">
        <v>2432.6</v>
      </c>
      <c r="Y68" s="677">
        <v>20</v>
      </c>
      <c r="Z68" s="677">
        <v>7</v>
      </c>
      <c r="AA68" s="677">
        <v>18</v>
      </c>
      <c r="AB68" s="677">
        <v>7</v>
      </c>
      <c r="AC68" s="677">
        <v>1</v>
      </c>
      <c r="AD68" s="677">
        <v>3</v>
      </c>
      <c r="AE68" s="677">
        <v>7</v>
      </c>
      <c r="AF68" s="679">
        <v>480.9</v>
      </c>
      <c r="AG68" s="677">
        <v>15</v>
      </c>
      <c r="AH68" s="679">
        <v>1951.7</v>
      </c>
      <c r="AI68" s="677">
        <v>0</v>
      </c>
      <c r="AJ68" s="679">
        <v>0</v>
      </c>
      <c r="AK68" s="677">
        <v>0</v>
      </c>
      <c r="AL68" s="679">
        <v>0</v>
      </c>
      <c r="AM68" s="566">
        <v>16</v>
      </c>
      <c r="AN68" s="566" t="s">
        <v>721</v>
      </c>
      <c r="AO68" s="566" t="s">
        <v>721</v>
      </c>
      <c r="AP68" s="566" t="s">
        <v>721</v>
      </c>
      <c r="AQ68" s="566" t="s">
        <v>721</v>
      </c>
      <c r="AR68" s="566" t="s">
        <v>721</v>
      </c>
      <c r="AS68" s="566">
        <v>19</v>
      </c>
      <c r="AT68" s="566" t="s">
        <v>721</v>
      </c>
      <c r="AU68" s="566" t="s">
        <v>721</v>
      </c>
      <c r="AV68" s="566" t="s">
        <v>721</v>
      </c>
      <c r="AW68" s="566" t="s">
        <v>721</v>
      </c>
      <c r="AX68" s="566" t="s">
        <v>721</v>
      </c>
      <c r="AY68" s="566" t="s">
        <v>721</v>
      </c>
      <c r="AZ68" s="566" t="s">
        <v>721</v>
      </c>
      <c r="BA68" s="566" t="s">
        <v>721</v>
      </c>
      <c r="BB68" s="566" t="s">
        <v>721</v>
      </c>
      <c r="BC68" s="566" t="s">
        <v>721</v>
      </c>
      <c r="BD68" s="566" t="s">
        <v>721</v>
      </c>
      <c r="BE68" s="566" t="s">
        <v>721</v>
      </c>
      <c r="BF68" s="566" t="s">
        <v>721</v>
      </c>
      <c r="BG68" s="566" t="s">
        <v>721</v>
      </c>
      <c r="BH68" s="566" t="s">
        <v>721</v>
      </c>
      <c r="BI68" s="566" t="s">
        <v>721</v>
      </c>
      <c r="BJ68" s="566" t="s">
        <v>721</v>
      </c>
      <c r="BK68" s="566" t="s">
        <v>721</v>
      </c>
      <c r="BL68" s="566" t="s">
        <v>721</v>
      </c>
      <c r="BM68" s="566" t="s">
        <v>721</v>
      </c>
      <c r="BN68" s="566" t="s">
        <v>721</v>
      </c>
      <c r="BO68" s="566">
        <v>22</v>
      </c>
      <c r="BP68" s="566" t="s">
        <v>721</v>
      </c>
      <c r="BQ68" s="566" t="s">
        <v>721</v>
      </c>
      <c r="BR68" s="566" t="s">
        <v>721</v>
      </c>
      <c r="BS68" s="566" t="s">
        <v>721</v>
      </c>
      <c r="BT68" s="566" t="s">
        <v>721</v>
      </c>
      <c r="BU68" s="566" t="s">
        <v>721</v>
      </c>
      <c r="BV68" s="566" t="s">
        <v>721</v>
      </c>
      <c r="BW68" s="566" t="s">
        <v>721</v>
      </c>
      <c r="BX68" s="566" t="s">
        <v>721</v>
      </c>
      <c r="BY68" s="566" t="s">
        <v>721</v>
      </c>
      <c r="BZ68" s="566" t="s">
        <v>721</v>
      </c>
      <c r="CA68" s="566" t="s">
        <v>721</v>
      </c>
      <c r="CB68" s="566" t="s">
        <v>721</v>
      </c>
      <c r="CC68" s="566" t="s">
        <v>721</v>
      </c>
      <c r="CD68" s="566" t="s">
        <v>721</v>
      </c>
      <c r="CE68" s="566" t="s">
        <v>721</v>
      </c>
      <c r="CF68" s="566" t="s">
        <v>721</v>
      </c>
      <c r="CG68" s="566" t="s">
        <v>721</v>
      </c>
      <c r="CH68" s="566" t="s">
        <v>721</v>
      </c>
      <c r="CI68" s="566" t="s">
        <v>721</v>
      </c>
      <c r="CJ68" s="566" t="s">
        <v>721</v>
      </c>
      <c r="CK68" s="566" t="s">
        <v>721</v>
      </c>
      <c r="CL68" s="566" t="s">
        <v>721</v>
      </c>
      <c r="CM68" s="566" t="s">
        <v>721</v>
      </c>
      <c r="CN68" s="566" t="s">
        <v>721</v>
      </c>
      <c r="CO68" s="566" t="s">
        <v>721</v>
      </c>
      <c r="CP68" s="566" t="s">
        <v>721</v>
      </c>
      <c r="CQ68" s="566" t="s">
        <v>721</v>
      </c>
      <c r="CR68" s="566" t="s">
        <v>721</v>
      </c>
      <c r="CS68" s="566" t="s">
        <v>721</v>
      </c>
      <c r="CT68" s="566" t="s">
        <v>721</v>
      </c>
      <c r="CU68" s="566" t="s">
        <v>721</v>
      </c>
      <c r="CV68" s="566">
        <v>20</v>
      </c>
      <c r="CW68" s="566" t="s">
        <v>721</v>
      </c>
      <c r="CX68" s="566" t="s">
        <v>721</v>
      </c>
      <c r="CY68" s="566" t="s">
        <v>721</v>
      </c>
      <c r="CZ68" s="566" t="s">
        <v>721</v>
      </c>
      <c r="DA68" s="566" t="s">
        <v>721</v>
      </c>
      <c r="DB68" s="566" t="s">
        <v>721</v>
      </c>
      <c r="DC68" s="566" t="s">
        <v>721</v>
      </c>
      <c r="DD68" s="566" t="s">
        <v>721</v>
      </c>
      <c r="DE68" s="566" t="s">
        <v>721</v>
      </c>
      <c r="DF68" s="566" t="s">
        <v>721</v>
      </c>
      <c r="DG68" s="566" t="s">
        <v>721</v>
      </c>
      <c r="DH68" s="566" t="s">
        <v>721</v>
      </c>
      <c r="DI68" s="566" t="s">
        <v>721</v>
      </c>
      <c r="DJ68" s="566" t="s">
        <v>721</v>
      </c>
      <c r="DK68" s="566" t="s">
        <v>721</v>
      </c>
      <c r="DL68" s="566" t="s">
        <v>721</v>
      </c>
      <c r="DM68" s="566" t="s">
        <v>721</v>
      </c>
      <c r="DN68" s="566" t="s">
        <v>721</v>
      </c>
      <c r="DO68" s="566" t="s">
        <v>721</v>
      </c>
      <c r="DP68" s="566" t="s">
        <v>721</v>
      </c>
      <c r="DQ68" s="566" t="s">
        <v>721</v>
      </c>
      <c r="DR68" s="566" t="s">
        <v>721</v>
      </c>
      <c r="DS68" s="566" t="s">
        <v>721</v>
      </c>
      <c r="DT68" s="566" t="s">
        <v>721</v>
      </c>
      <c r="DU68" s="566" t="s">
        <v>721</v>
      </c>
      <c r="DV68" s="566" t="s">
        <v>721</v>
      </c>
      <c r="DW68" s="567">
        <v>283</v>
      </c>
      <c r="DX68" s="566" t="s">
        <v>721</v>
      </c>
      <c r="DY68" s="567">
        <v>617.20000000000005</v>
      </c>
      <c r="DZ68" s="566" t="s">
        <v>721</v>
      </c>
      <c r="EA68" s="567">
        <v>576</v>
      </c>
      <c r="EB68" s="566" t="s">
        <v>721</v>
      </c>
      <c r="EC68" s="567">
        <v>726.6</v>
      </c>
      <c r="ED68" s="566" t="s">
        <v>721</v>
      </c>
      <c r="EE68" s="567">
        <v>229.8</v>
      </c>
      <c r="EF68" s="566" t="s">
        <v>721</v>
      </c>
      <c r="EG68" s="566" t="s">
        <v>721</v>
      </c>
      <c r="EH68" s="568">
        <v>20</v>
      </c>
      <c r="EI68" s="569">
        <v>52.8</v>
      </c>
      <c r="EJ68" s="570">
        <v>20</v>
      </c>
      <c r="EK68" s="569">
        <v>428</v>
      </c>
      <c r="EL68" s="570">
        <v>20</v>
      </c>
      <c r="EM68" s="569">
        <v>151</v>
      </c>
      <c r="EN68" s="570">
        <v>20</v>
      </c>
      <c r="EO68" s="569">
        <v>107.1</v>
      </c>
      <c r="EP68" s="570">
        <v>20</v>
      </c>
      <c r="EQ68" s="569">
        <v>95.2</v>
      </c>
      <c r="ER68" s="570">
        <v>20</v>
      </c>
      <c r="ES68" s="569">
        <v>86.2</v>
      </c>
      <c r="ET68" s="570">
        <v>0</v>
      </c>
      <c r="EU68" s="571">
        <v>15</v>
      </c>
      <c r="EV68" s="569">
        <v>220.3</v>
      </c>
      <c r="EW68" s="571">
        <v>5</v>
      </c>
      <c r="EX68" s="569">
        <v>84.5</v>
      </c>
      <c r="EY68" s="571">
        <v>11</v>
      </c>
      <c r="EZ68" s="569">
        <v>160.6</v>
      </c>
      <c r="FA68" s="571">
        <v>3</v>
      </c>
      <c r="FB68" s="569">
        <v>23.8</v>
      </c>
      <c r="FC68" s="571">
        <v>17</v>
      </c>
      <c r="FD68" s="569">
        <v>191.9</v>
      </c>
      <c r="FE68" s="571">
        <v>18</v>
      </c>
      <c r="FF68" s="569">
        <v>123.5</v>
      </c>
      <c r="FG68" s="571">
        <v>6</v>
      </c>
      <c r="FH68" s="569">
        <v>46.2</v>
      </c>
      <c r="FI68" s="571">
        <v>17</v>
      </c>
      <c r="FJ68" s="569">
        <v>109.5</v>
      </c>
      <c r="FK68" s="571">
        <v>9</v>
      </c>
      <c r="FL68" s="569">
        <v>22.4</v>
      </c>
      <c r="FM68" s="571">
        <v>4</v>
      </c>
      <c r="FN68" s="569">
        <v>9.3000000000000007</v>
      </c>
      <c r="FO68" s="571">
        <v>18</v>
      </c>
      <c r="FP68" s="569">
        <v>187.7</v>
      </c>
      <c r="FQ68" s="571">
        <v>19</v>
      </c>
      <c r="FR68" s="569">
        <v>140.9</v>
      </c>
      <c r="FS68" s="571">
        <v>0</v>
      </c>
      <c r="FT68" s="569">
        <v>0</v>
      </c>
      <c r="FU68" s="568">
        <v>0</v>
      </c>
      <c r="FV68" s="569">
        <v>0</v>
      </c>
      <c r="FW68" s="568">
        <v>0</v>
      </c>
      <c r="FX68" s="569">
        <v>0</v>
      </c>
      <c r="FY68" s="568">
        <v>0</v>
      </c>
      <c r="FZ68" s="569">
        <v>0</v>
      </c>
      <c r="GA68" s="568">
        <v>0</v>
      </c>
      <c r="GB68" s="569">
        <v>0</v>
      </c>
      <c r="GC68" s="680">
        <v>0</v>
      </c>
      <c r="GD68" s="681">
        <v>0</v>
      </c>
      <c r="GE68" s="681">
        <v>0</v>
      </c>
      <c r="GF68" s="681">
        <v>11</v>
      </c>
      <c r="GG68" s="681">
        <v>0</v>
      </c>
      <c r="GH68" s="681">
        <v>0</v>
      </c>
      <c r="GI68" s="681">
        <v>0</v>
      </c>
      <c r="GJ68" s="681">
        <v>0</v>
      </c>
      <c r="GK68" s="681">
        <v>3</v>
      </c>
      <c r="GL68" s="681">
        <v>8</v>
      </c>
      <c r="GM68" s="570">
        <v>11</v>
      </c>
      <c r="GN68" s="570">
        <v>2</v>
      </c>
      <c r="GO68" s="570">
        <v>0</v>
      </c>
      <c r="GP68" s="570">
        <v>0</v>
      </c>
      <c r="GQ68" s="570">
        <v>0</v>
      </c>
      <c r="GR68" s="570">
        <v>0</v>
      </c>
      <c r="GS68" s="570">
        <v>0</v>
      </c>
      <c r="GT68" s="682">
        <v>15</v>
      </c>
      <c r="GU68" s="681">
        <v>0</v>
      </c>
      <c r="GV68" s="570">
        <v>0</v>
      </c>
      <c r="GW68" s="570">
        <v>0</v>
      </c>
      <c r="GX68" s="570">
        <v>0</v>
      </c>
      <c r="GY68" s="572">
        <v>0</v>
      </c>
      <c r="GZ68" s="572">
        <v>0</v>
      </c>
      <c r="HA68" s="573">
        <v>0</v>
      </c>
      <c r="HB68" s="573">
        <v>0</v>
      </c>
      <c r="HC68" s="573">
        <v>0</v>
      </c>
      <c r="HD68" s="573">
        <v>0</v>
      </c>
      <c r="HE68" s="573">
        <v>0</v>
      </c>
      <c r="HF68" s="573">
        <v>0</v>
      </c>
      <c r="HG68" s="573">
        <v>0</v>
      </c>
      <c r="HH68" s="573">
        <v>0</v>
      </c>
      <c r="HI68" s="573">
        <v>0</v>
      </c>
      <c r="HJ68" s="573">
        <v>0</v>
      </c>
      <c r="HK68" s="573">
        <v>0</v>
      </c>
      <c r="HL68" s="573">
        <v>0</v>
      </c>
      <c r="HM68" s="573">
        <v>0</v>
      </c>
      <c r="HN68" s="573">
        <v>0</v>
      </c>
      <c r="HO68" s="573">
        <v>0</v>
      </c>
      <c r="HP68" s="573">
        <v>0</v>
      </c>
      <c r="HQ68" s="573">
        <v>0</v>
      </c>
      <c r="HR68" s="573">
        <v>0</v>
      </c>
      <c r="HS68" s="573">
        <v>0</v>
      </c>
      <c r="HT68" s="573">
        <v>0</v>
      </c>
      <c r="HU68" s="573">
        <v>0</v>
      </c>
      <c r="HV68" s="573">
        <v>0</v>
      </c>
      <c r="HW68" s="573">
        <v>0</v>
      </c>
      <c r="HX68" s="573">
        <v>0</v>
      </c>
      <c r="HY68" s="573">
        <v>0</v>
      </c>
      <c r="HZ68" s="573" t="s">
        <v>721</v>
      </c>
      <c r="IA68" s="573" t="s">
        <v>721</v>
      </c>
      <c r="IB68" s="573" t="s">
        <v>721</v>
      </c>
      <c r="IC68" s="573" t="s">
        <v>721</v>
      </c>
      <c r="ID68" s="573" t="s">
        <v>721</v>
      </c>
      <c r="IE68" s="573" t="s">
        <v>721</v>
      </c>
      <c r="IF68" s="573" t="s">
        <v>721</v>
      </c>
      <c r="IG68" s="573" t="s">
        <v>721</v>
      </c>
      <c r="IH68" s="573" t="s">
        <v>721</v>
      </c>
      <c r="II68" s="573" t="s">
        <v>721</v>
      </c>
      <c r="IJ68" s="573" t="s">
        <v>721</v>
      </c>
      <c r="IK68" s="573" t="s">
        <v>721</v>
      </c>
      <c r="IL68" s="573" t="s">
        <v>721</v>
      </c>
      <c r="IM68" s="573" t="s">
        <v>721</v>
      </c>
      <c r="IN68" s="573" t="s">
        <v>721</v>
      </c>
      <c r="IO68" s="573" t="s">
        <v>721</v>
      </c>
      <c r="IP68" s="573" t="s">
        <v>721</v>
      </c>
      <c r="IQ68" s="573" t="s">
        <v>721</v>
      </c>
      <c r="IR68" s="573" t="s">
        <v>721</v>
      </c>
      <c r="IS68" s="573" t="s">
        <v>721</v>
      </c>
      <c r="IT68" s="573" t="s">
        <v>721</v>
      </c>
      <c r="IU68" s="573" t="s">
        <v>721</v>
      </c>
      <c r="IV68" s="573" t="s">
        <v>721</v>
      </c>
      <c r="IW68" s="573" t="s">
        <v>721</v>
      </c>
      <c r="IX68" s="573" t="s">
        <v>721</v>
      </c>
      <c r="IY68" s="573" t="s">
        <v>721</v>
      </c>
      <c r="IZ68" s="573" t="s">
        <v>721</v>
      </c>
      <c r="JA68" s="573" t="s">
        <v>721</v>
      </c>
      <c r="JB68" s="573" t="s">
        <v>721</v>
      </c>
      <c r="JC68" s="573" t="s">
        <v>721</v>
      </c>
      <c r="JD68" s="573" t="s">
        <v>721</v>
      </c>
      <c r="JE68" s="573" t="s">
        <v>721</v>
      </c>
      <c r="JF68" s="573" t="s">
        <v>721</v>
      </c>
      <c r="JG68" s="573" t="s">
        <v>721</v>
      </c>
      <c r="JH68" s="573" t="s">
        <v>721</v>
      </c>
      <c r="JI68" s="573" t="s">
        <v>721</v>
      </c>
      <c r="JJ68" s="573" t="s">
        <v>721</v>
      </c>
      <c r="JK68" s="573" t="s">
        <v>721</v>
      </c>
      <c r="JL68" s="760">
        <v>431</v>
      </c>
      <c r="JM68" s="760" t="s">
        <v>721</v>
      </c>
      <c r="JN68" s="760" t="s">
        <v>721</v>
      </c>
      <c r="JO68" s="760" t="s">
        <v>721</v>
      </c>
      <c r="JP68" s="760">
        <v>2001</v>
      </c>
      <c r="JQ68" s="760" t="s">
        <v>721</v>
      </c>
      <c r="JR68" s="760" t="s">
        <v>721</v>
      </c>
      <c r="JS68" s="760" t="s">
        <v>721</v>
      </c>
      <c r="JT68" s="760" t="s">
        <v>721</v>
      </c>
      <c r="JU68" s="760" t="s">
        <v>721</v>
      </c>
      <c r="JV68" s="760" t="s">
        <v>721</v>
      </c>
      <c r="JW68" s="760" t="s">
        <v>721</v>
      </c>
      <c r="JX68" s="760" t="s">
        <v>721</v>
      </c>
      <c r="JY68" s="760" t="s">
        <v>721</v>
      </c>
      <c r="JZ68" s="760" t="s">
        <v>721</v>
      </c>
      <c r="KA68" s="760" t="s">
        <v>721</v>
      </c>
      <c r="KB68" s="760" t="s">
        <v>721</v>
      </c>
      <c r="KC68" s="760" t="s">
        <v>721</v>
      </c>
      <c r="KD68" s="760" t="s">
        <v>721</v>
      </c>
      <c r="KE68" s="573" t="s">
        <v>721</v>
      </c>
      <c r="KF68" s="573" t="s">
        <v>721</v>
      </c>
      <c r="KG68" s="573" t="s">
        <v>721</v>
      </c>
      <c r="KH68" s="573" t="s">
        <v>721</v>
      </c>
      <c r="KI68" s="573" t="s">
        <v>721</v>
      </c>
      <c r="KJ68" s="573" t="s">
        <v>721</v>
      </c>
      <c r="KK68" s="573" t="s">
        <v>721</v>
      </c>
      <c r="KL68" s="573" t="s">
        <v>721</v>
      </c>
      <c r="KM68" s="573" t="s">
        <v>721</v>
      </c>
      <c r="KN68" s="573" t="s">
        <v>721</v>
      </c>
      <c r="KO68" s="573" t="s">
        <v>721</v>
      </c>
      <c r="KP68" s="573" t="s">
        <v>721</v>
      </c>
      <c r="KQ68" s="573" t="s">
        <v>721</v>
      </c>
      <c r="KR68" s="573" t="s">
        <v>721</v>
      </c>
      <c r="KS68" s="573" t="s">
        <v>721</v>
      </c>
      <c r="KT68" s="573" t="s">
        <v>721</v>
      </c>
      <c r="KU68" s="573" t="s">
        <v>721</v>
      </c>
      <c r="KV68" s="573" t="s">
        <v>721</v>
      </c>
      <c r="KW68" s="573" t="s">
        <v>721</v>
      </c>
      <c r="KX68" s="573" t="s">
        <v>721</v>
      </c>
      <c r="KY68" s="573" t="s">
        <v>721</v>
      </c>
      <c r="KZ68" s="573" t="s">
        <v>721</v>
      </c>
      <c r="LA68" s="573" t="s">
        <v>721</v>
      </c>
      <c r="LB68" s="573" t="s">
        <v>721</v>
      </c>
      <c r="LC68" s="573" t="s">
        <v>721</v>
      </c>
      <c r="LD68" s="573" t="s">
        <v>721</v>
      </c>
      <c r="LE68" s="573" t="s">
        <v>721</v>
      </c>
      <c r="LF68" s="573" t="s">
        <v>721</v>
      </c>
      <c r="LG68" s="573" t="s">
        <v>721</v>
      </c>
      <c r="LH68" s="573" t="s">
        <v>721</v>
      </c>
      <c r="LI68" s="573" t="s">
        <v>721</v>
      </c>
      <c r="LJ68" s="573" t="s">
        <v>721</v>
      </c>
      <c r="LK68" s="573" t="s">
        <v>721</v>
      </c>
      <c r="LL68" s="573" t="s">
        <v>721</v>
      </c>
      <c r="LM68" s="573" t="s">
        <v>721</v>
      </c>
      <c r="LN68" s="573" t="s">
        <v>721</v>
      </c>
      <c r="LO68" s="573" t="s">
        <v>721</v>
      </c>
      <c r="LP68" s="573" t="s">
        <v>721</v>
      </c>
      <c r="LQ68" s="573" t="s">
        <v>721</v>
      </c>
      <c r="LR68" s="573" t="s">
        <v>721</v>
      </c>
      <c r="LS68" s="573" t="s">
        <v>721</v>
      </c>
      <c r="LT68" s="573" t="s">
        <v>721</v>
      </c>
      <c r="LU68" s="573">
        <v>13</v>
      </c>
      <c r="LV68" s="573" t="s">
        <v>721</v>
      </c>
      <c r="LW68" s="573" t="s">
        <v>721</v>
      </c>
      <c r="LX68" s="573" t="s">
        <v>721</v>
      </c>
      <c r="LY68" s="573" t="s">
        <v>721</v>
      </c>
      <c r="LZ68" s="573" t="s">
        <v>721</v>
      </c>
      <c r="MA68" s="573" t="s">
        <v>721</v>
      </c>
      <c r="MB68" s="573" t="s">
        <v>721</v>
      </c>
      <c r="MC68" s="573" t="s">
        <v>721</v>
      </c>
      <c r="MD68" s="573" t="s">
        <v>721</v>
      </c>
      <c r="ME68" s="573" t="s">
        <v>721</v>
      </c>
      <c r="MF68" s="573" t="s">
        <v>721</v>
      </c>
      <c r="MG68" s="573" t="s">
        <v>721</v>
      </c>
      <c r="MH68" s="573" t="s">
        <v>721</v>
      </c>
      <c r="MI68" s="573" t="s">
        <v>721</v>
      </c>
      <c r="MJ68" s="573" t="s">
        <v>721</v>
      </c>
      <c r="MK68" s="573" t="s">
        <v>721</v>
      </c>
      <c r="ML68" s="573" t="s">
        <v>721</v>
      </c>
      <c r="MM68" s="573" t="s">
        <v>721</v>
      </c>
      <c r="MN68" s="573" t="s">
        <v>721</v>
      </c>
      <c r="MO68" s="573" t="s">
        <v>721</v>
      </c>
      <c r="MP68" s="573" t="s">
        <v>721</v>
      </c>
      <c r="MQ68" s="573" t="s">
        <v>721</v>
      </c>
      <c r="MR68" s="573" t="s">
        <v>721</v>
      </c>
      <c r="MS68" s="573" t="s">
        <v>721</v>
      </c>
      <c r="MT68" s="573" t="s">
        <v>721</v>
      </c>
      <c r="MU68" s="573" t="s">
        <v>721</v>
      </c>
      <c r="MV68" s="573" t="s">
        <v>721</v>
      </c>
      <c r="MW68" s="573" t="s">
        <v>721</v>
      </c>
      <c r="MX68" s="573" t="s">
        <v>721</v>
      </c>
      <c r="MY68" s="573" t="s">
        <v>721</v>
      </c>
      <c r="MZ68" s="573" t="s">
        <v>721</v>
      </c>
      <c r="NA68" s="573" t="s">
        <v>721</v>
      </c>
      <c r="NB68" s="573" t="s">
        <v>721</v>
      </c>
      <c r="NC68" s="574">
        <v>0.72699999999999998</v>
      </c>
      <c r="ND68" s="574" t="s">
        <v>721</v>
      </c>
      <c r="NE68" s="574" t="s">
        <v>721</v>
      </c>
      <c r="NF68" s="574" t="s">
        <v>721</v>
      </c>
      <c r="NG68" s="574" t="s">
        <v>721</v>
      </c>
      <c r="NH68" s="574" t="s">
        <v>721</v>
      </c>
      <c r="NI68" s="574">
        <v>0.86399999999999999</v>
      </c>
      <c r="NJ68" s="574" t="s">
        <v>721</v>
      </c>
      <c r="NK68" s="574" t="s">
        <v>721</v>
      </c>
      <c r="NL68" s="574" t="s">
        <v>721</v>
      </c>
      <c r="NM68" s="574" t="s">
        <v>721</v>
      </c>
      <c r="NN68" s="574" t="s">
        <v>721</v>
      </c>
      <c r="NO68" s="574" t="s">
        <v>721</v>
      </c>
      <c r="NP68" s="574" t="s">
        <v>721</v>
      </c>
      <c r="NQ68" s="574" t="s">
        <v>721</v>
      </c>
      <c r="NR68" s="574" t="s">
        <v>721</v>
      </c>
      <c r="NS68" s="574" t="s">
        <v>721</v>
      </c>
      <c r="NT68" s="574" t="s">
        <v>721</v>
      </c>
      <c r="NU68" s="574" t="s">
        <v>721</v>
      </c>
      <c r="NV68" s="574" t="s">
        <v>721</v>
      </c>
      <c r="NW68" s="574" t="s">
        <v>721</v>
      </c>
      <c r="NX68" s="574" t="s">
        <v>721</v>
      </c>
      <c r="NY68" s="574" t="s">
        <v>721</v>
      </c>
      <c r="NZ68" s="574" t="s">
        <v>721</v>
      </c>
      <c r="OA68" s="574" t="s">
        <v>721</v>
      </c>
      <c r="OB68" s="574" t="s">
        <v>721</v>
      </c>
      <c r="OC68" s="574" t="s">
        <v>721</v>
      </c>
      <c r="OD68" s="574" t="s">
        <v>721</v>
      </c>
      <c r="OE68" s="574">
        <v>1</v>
      </c>
      <c r="OF68" s="574" t="s">
        <v>721</v>
      </c>
      <c r="OG68" s="574" t="s">
        <v>721</v>
      </c>
      <c r="OH68" s="574" t="s">
        <v>721</v>
      </c>
      <c r="OI68" s="574" t="s">
        <v>721</v>
      </c>
      <c r="OJ68" s="574" t="s">
        <v>721</v>
      </c>
      <c r="OK68" s="574" t="s">
        <v>721</v>
      </c>
      <c r="OL68" s="574" t="s">
        <v>721</v>
      </c>
      <c r="OM68" s="574" t="s">
        <v>721</v>
      </c>
      <c r="ON68" s="574" t="s">
        <v>721</v>
      </c>
      <c r="OO68" s="574" t="s">
        <v>721</v>
      </c>
      <c r="OP68" s="574" t="s">
        <v>721</v>
      </c>
      <c r="OQ68" s="574" t="s">
        <v>721</v>
      </c>
      <c r="OR68" s="574" t="s">
        <v>721</v>
      </c>
      <c r="OS68" s="574" t="s">
        <v>721</v>
      </c>
      <c r="OT68" s="574" t="s">
        <v>721</v>
      </c>
      <c r="OU68" s="574" t="s">
        <v>721</v>
      </c>
      <c r="OV68" s="574" t="s">
        <v>721</v>
      </c>
      <c r="OW68" s="574" t="s">
        <v>721</v>
      </c>
      <c r="OX68" s="574" t="s">
        <v>721</v>
      </c>
      <c r="OY68" s="574" t="s">
        <v>721</v>
      </c>
      <c r="OZ68" s="574" t="s">
        <v>721</v>
      </c>
      <c r="PA68" s="574" t="s">
        <v>721</v>
      </c>
      <c r="PB68" s="574" t="s">
        <v>721</v>
      </c>
      <c r="PC68" s="574" t="s">
        <v>721</v>
      </c>
      <c r="PD68" s="574" t="s">
        <v>721</v>
      </c>
      <c r="PE68" s="574" t="s">
        <v>721</v>
      </c>
      <c r="PF68" s="574" t="s">
        <v>721</v>
      </c>
      <c r="PG68" s="574" t="s">
        <v>721</v>
      </c>
      <c r="PH68" s="574" t="s">
        <v>721</v>
      </c>
      <c r="PI68" s="574" t="s">
        <v>721</v>
      </c>
      <c r="PJ68" s="574" t="s">
        <v>721</v>
      </c>
      <c r="PK68" s="574" t="s">
        <v>721</v>
      </c>
      <c r="PL68" s="574">
        <v>1</v>
      </c>
      <c r="PM68" s="574" t="s">
        <v>721</v>
      </c>
      <c r="PN68" s="574" t="s">
        <v>721</v>
      </c>
      <c r="PO68" s="574" t="s">
        <v>721</v>
      </c>
      <c r="PP68" s="574" t="s">
        <v>721</v>
      </c>
      <c r="PQ68" s="574" t="s">
        <v>721</v>
      </c>
      <c r="PR68" s="574" t="s">
        <v>721</v>
      </c>
      <c r="PS68" s="574" t="s">
        <v>721</v>
      </c>
      <c r="PT68" s="574" t="s">
        <v>721</v>
      </c>
      <c r="PU68" s="574" t="s">
        <v>721</v>
      </c>
      <c r="PV68" s="574" t="s">
        <v>721</v>
      </c>
      <c r="PW68" s="574" t="s">
        <v>721</v>
      </c>
      <c r="PX68" s="574" t="s">
        <v>721</v>
      </c>
      <c r="PY68" s="574" t="s">
        <v>721</v>
      </c>
      <c r="PZ68" s="574" t="s">
        <v>721</v>
      </c>
      <c r="QA68" s="574" t="s">
        <v>721</v>
      </c>
      <c r="QB68" s="574" t="s">
        <v>721</v>
      </c>
      <c r="QC68" s="574" t="s">
        <v>721</v>
      </c>
      <c r="QD68" s="574" t="s">
        <v>721</v>
      </c>
      <c r="QE68" s="574" t="s">
        <v>721</v>
      </c>
      <c r="QF68" s="574" t="s">
        <v>721</v>
      </c>
      <c r="QG68" s="574" t="s">
        <v>721</v>
      </c>
      <c r="QH68" s="574" t="s">
        <v>721</v>
      </c>
      <c r="QI68" s="574" t="s">
        <v>721</v>
      </c>
      <c r="QJ68" s="574" t="s">
        <v>721</v>
      </c>
      <c r="QK68" s="574" t="s">
        <v>721</v>
      </c>
      <c r="QL68" s="574" t="s">
        <v>721</v>
      </c>
      <c r="QM68" s="574" t="s">
        <v>721</v>
      </c>
      <c r="QN68" s="574" t="s">
        <v>721</v>
      </c>
      <c r="QO68" s="574" t="s">
        <v>721</v>
      </c>
      <c r="QP68" s="574" t="s">
        <v>721</v>
      </c>
      <c r="QQ68" s="574" t="s">
        <v>721</v>
      </c>
      <c r="QR68" s="574" t="s">
        <v>721</v>
      </c>
      <c r="QS68" s="574" t="s">
        <v>721</v>
      </c>
      <c r="QT68" s="574" t="s">
        <v>721</v>
      </c>
      <c r="QU68" s="574" t="s">
        <v>721</v>
      </c>
      <c r="QV68" s="574" t="s">
        <v>721</v>
      </c>
      <c r="QW68" s="574" t="s">
        <v>721</v>
      </c>
      <c r="QX68" s="574" t="s">
        <v>721</v>
      </c>
      <c r="QY68" s="574" t="s">
        <v>721</v>
      </c>
      <c r="QZ68" s="574" t="s">
        <v>721</v>
      </c>
      <c r="RA68" s="574" t="s">
        <v>721</v>
      </c>
      <c r="RB68" s="574" t="s">
        <v>721</v>
      </c>
      <c r="RC68" s="574" t="s">
        <v>721</v>
      </c>
      <c r="RD68" s="574" t="s">
        <v>721</v>
      </c>
      <c r="RE68" s="574" t="s">
        <v>721</v>
      </c>
      <c r="RF68" s="574" t="s">
        <v>721</v>
      </c>
      <c r="RG68" s="574" t="s">
        <v>721</v>
      </c>
      <c r="RH68" s="574" t="s">
        <v>721</v>
      </c>
      <c r="RI68" s="574" t="s">
        <v>721</v>
      </c>
      <c r="RJ68" s="574" t="s">
        <v>721</v>
      </c>
      <c r="RK68" s="574" t="s">
        <v>721</v>
      </c>
      <c r="RL68" s="574" t="s">
        <v>721</v>
      </c>
      <c r="RM68" s="574" t="s">
        <v>721</v>
      </c>
      <c r="RN68" s="574" t="s">
        <v>721</v>
      </c>
      <c r="RO68" s="574" t="s">
        <v>721</v>
      </c>
      <c r="RP68" s="574" t="s">
        <v>721</v>
      </c>
      <c r="RQ68" s="574" t="s">
        <v>721</v>
      </c>
      <c r="RR68" s="574" t="s">
        <v>721</v>
      </c>
      <c r="RS68" s="574" t="s">
        <v>721</v>
      </c>
      <c r="RT68" s="574" t="s">
        <v>721</v>
      </c>
      <c r="RU68" s="574" t="s">
        <v>721</v>
      </c>
      <c r="RV68" s="574" t="s">
        <v>721</v>
      </c>
      <c r="RW68" s="574" t="s">
        <v>721</v>
      </c>
      <c r="RX68" s="574">
        <v>0.17699999999999999</v>
      </c>
      <c r="RY68" s="574" t="s">
        <v>721</v>
      </c>
      <c r="RZ68" s="574" t="s">
        <v>721</v>
      </c>
      <c r="SA68" s="574" t="s">
        <v>721</v>
      </c>
      <c r="SB68" s="574">
        <v>0.82299999999999995</v>
      </c>
      <c r="SC68" s="574" t="s">
        <v>721</v>
      </c>
      <c r="SD68" s="574" t="s">
        <v>721</v>
      </c>
      <c r="SE68" s="574" t="s">
        <v>721</v>
      </c>
      <c r="SF68" s="574" t="s">
        <v>721</v>
      </c>
      <c r="SG68" s="574" t="s">
        <v>721</v>
      </c>
      <c r="SH68" s="574" t="s">
        <v>721</v>
      </c>
      <c r="SI68" s="574" t="s">
        <v>721</v>
      </c>
      <c r="SJ68" s="574" t="s">
        <v>721</v>
      </c>
      <c r="SK68" s="574" t="s">
        <v>721</v>
      </c>
      <c r="SL68" s="574" t="s">
        <v>721</v>
      </c>
      <c r="SM68" s="574" t="s">
        <v>721</v>
      </c>
      <c r="SN68" s="574" t="s">
        <v>721</v>
      </c>
      <c r="SO68" s="574" t="s">
        <v>721</v>
      </c>
      <c r="SP68" s="574" t="s">
        <v>721</v>
      </c>
      <c r="SQ68" s="574" t="s">
        <v>721</v>
      </c>
      <c r="SR68" s="574" t="s">
        <v>721</v>
      </c>
      <c r="SS68" s="574" t="s">
        <v>721</v>
      </c>
      <c r="ST68" s="574" t="s">
        <v>721</v>
      </c>
      <c r="SU68" s="574" t="s">
        <v>721</v>
      </c>
      <c r="SV68" s="574" t="s">
        <v>721</v>
      </c>
      <c r="SW68" s="574" t="s">
        <v>721</v>
      </c>
      <c r="SX68" s="574" t="s">
        <v>721</v>
      </c>
      <c r="SY68" s="574" t="s">
        <v>721</v>
      </c>
      <c r="SZ68" s="574" t="s">
        <v>721</v>
      </c>
      <c r="TA68" s="574" t="s">
        <v>721</v>
      </c>
      <c r="TB68" s="574" t="s">
        <v>721</v>
      </c>
      <c r="TC68" s="574" t="s">
        <v>721</v>
      </c>
      <c r="TD68" s="574" t="s">
        <v>721</v>
      </c>
      <c r="TE68" s="574" t="s">
        <v>721</v>
      </c>
      <c r="TF68" s="574" t="s">
        <v>721</v>
      </c>
      <c r="TG68" s="574" t="s">
        <v>721</v>
      </c>
      <c r="TH68" s="574" t="s">
        <v>721</v>
      </c>
      <c r="TI68" s="574" t="s">
        <v>721</v>
      </c>
      <c r="TJ68" s="574" t="s">
        <v>721</v>
      </c>
      <c r="TK68" s="574" t="s">
        <v>721</v>
      </c>
      <c r="TL68" s="574" t="s">
        <v>721</v>
      </c>
      <c r="TM68" s="574" t="s">
        <v>721</v>
      </c>
      <c r="TN68" s="574" t="s">
        <v>721</v>
      </c>
      <c r="TO68" s="574" t="s">
        <v>721</v>
      </c>
      <c r="TP68" s="574" t="s">
        <v>721</v>
      </c>
      <c r="TQ68" s="574" t="s">
        <v>721</v>
      </c>
      <c r="TR68" s="574" t="s">
        <v>721</v>
      </c>
      <c r="TS68" s="574" t="s">
        <v>721</v>
      </c>
      <c r="TT68" s="574" t="s">
        <v>721</v>
      </c>
      <c r="TU68" s="574" t="s">
        <v>721</v>
      </c>
      <c r="TV68" s="574" t="s">
        <v>721</v>
      </c>
      <c r="TW68" s="574" t="s">
        <v>721</v>
      </c>
      <c r="TX68" s="574" t="s">
        <v>721</v>
      </c>
      <c r="TY68" s="574" t="s">
        <v>721</v>
      </c>
      <c r="TZ68" s="574" t="s">
        <v>721</v>
      </c>
      <c r="UA68" s="574" t="s">
        <v>721</v>
      </c>
      <c r="UB68" s="574" t="s">
        <v>721</v>
      </c>
      <c r="UC68" s="574" t="s">
        <v>721</v>
      </c>
      <c r="UD68" s="574" t="s">
        <v>721</v>
      </c>
      <c r="UE68" s="574" t="s">
        <v>721</v>
      </c>
      <c r="UF68" s="574" t="s">
        <v>721</v>
      </c>
      <c r="UG68" s="574">
        <v>0.86699999999999999</v>
      </c>
      <c r="UH68" s="574" t="s">
        <v>721</v>
      </c>
      <c r="UI68" s="574" t="s">
        <v>721</v>
      </c>
      <c r="UJ68" s="574" t="s">
        <v>721</v>
      </c>
      <c r="UK68" s="574" t="s">
        <v>721</v>
      </c>
      <c r="UL68" s="574" t="s">
        <v>721</v>
      </c>
      <c r="UM68" s="574" t="s">
        <v>721</v>
      </c>
      <c r="UN68" s="574" t="s">
        <v>721</v>
      </c>
      <c r="UO68" s="574" t="s">
        <v>721</v>
      </c>
      <c r="UP68" s="574" t="s">
        <v>721</v>
      </c>
      <c r="UQ68" s="574" t="s">
        <v>721</v>
      </c>
      <c r="UR68" s="574" t="s">
        <v>721</v>
      </c>
      <c r="US68" s="574" t="s">
        <v>721</v>
      </c>
      <c r="UT68" s="574" t="s">
        <v>721</v>
      </c>
      <c r="UU68" s="574" t="s">
        <v>721</v>
      </c>
      <c r="UV68" s="574" t="s">
        <v>721</v>
      </c>
      <c r="UW68" s="574" t="s">
        <v>721</v>
      </c>
      <c r="UX68" s="574" t="s">
        <v>721</v>
      </c>
      <c r="UY68" s="574" t="s">
        <v>721</v>
      </c>
      <c r="UZ68" s="574" t="s">
        <v>721</v>
      </c>
      <c r="VA68" s="574" t="s">
        <v>721</v>
      </c>
      <c r="VB68" s="574" t="s">
        <v>721</v>
      </c>
      <c r="VC68" s="574" t="s">
        <v>721</v>
      </c>
      <c r="VD68" s="574" t="s">
        <v>721</v>
      </c>
      <c r="VE68" s="574" t="s">
        <v>721</v>
      </c>
      <c r="VF68" s="574" t="s">
        <v>721</v>
      </c>
      <c r="VG68" s="574" t="s">
        <v>721</v>
      </c>
      <c r="VH68" s="574" t="s">
        <v>721</v>
      </c>
      <c r="VI68" s="574" t="s">
        <v>721</v>
      </c>
      <c r="VJ68" s="574" t="s">
        <v>721</v>
      </c>
      <c r="VK68" s="574" t="s">
        <v>721</v>
      </c>
      <c r="VL68" s="574" t="s">
        <v>721</v>
      </c>
      <c r="VM68" s="574" t="s">
        <v>721</v>
      </c>
      <c r="VN68" s="664" t="s">
        <v>721</v>
      </c>
    </row>
    <row r="69" spans="1:586" s="690" customFormat="1" ht="15.5" x14ac:dyDescent="0.35">
      <c r="A69" s="575"/>
      <c r="B69" s="576"/>
      <c r="C69" s="577"/>
      <c r="D69" s="683"/>
      <c r="E69" s="684"/>
      <c r="F69" s="684"/>
      <c r="G69" s="685"/>
      <c r="H69" s="683"/>
      <c r="I69" s="683"/>
      <c r="J69" s="684"/>
      <c r="K69" s="683"/>
      <c r="L69" s="684"/>
      <c r="M69" s="683"/>
      <c r="N69" s="686"/>
      <c r="O69" s="683"/>
      <c r="P69" s="686"/>
      <c r="Q69" s="683"/>
      <c r="R69" s="687"/>
      <c r="S69" s="683"/>
      <c r="T69" s="687"/>
      <c r="U69" s="683"/>
      <c r="V69" s="687"/>
      <c r="W69" s="683"/>
      <c r="X69" s="683"/>
      <c r="Y69" s="683"/>
      <c r="Z69" s="683"/>
      <c r="AA69" s="683"/>
      <c r="AB69" s="683"/>
      <c r="AC69" s="683"/>
      <c r="AD69" s="687"/>
      <c r="AE69" s="683"/>
      <c r="AF69" s="687"/>
      <c r="AG69" s="683"/>
      <c r="AH69" s="687"/>
      <c r="AI69" s="683"/>
      <c r="AJ69" s="687"/>
      <c r="AK69" s="578"/>
      <c r="AL69" s="578"/>
      <c r="AM69" s="578"/>
      <c r="AN69" s="578"/>
      <c r="AO69" s="578"/>
      <c r="AP69" s="578"/>
      <c r="AQ69" s="578"/>
      <c r="AR69" s="578"/>
      <c r="AS69" s="578"/>
      <c r="AT69" s="578"/>
      <c r="AU69" s="578"/>
      <c r="AV69" s="578"/>
      <c r="AW69" s="578"/>
      <c r="AX69" s="578"/>
      <c r="AY69" s="578"/>
      <c r="AZ69" s="578"/>
      <c r="BA69" s="578"/>
      <c r="BB69" s="578"/>
      <c r="BC69" s="578"/>
      <c r="BD69" s="578"/>
      <c r="BE69" s="578"/>
      <c r="BF69" s="578"/>
      <c r="BG69" s="578"/>
      <c r="BH69" s="578"/>
      <c r="BI69" s="578"/>
      <c r="BJ69" s="578"/>
      <c r="BK69" s="578"/>
      <c r="BL69" s="578"/>
      <c r="BM69" s="578"/>
      <c r="BN69" s="578"/>
      <c r="BO69" s="578"/>
      <c r="BP69" s="578"/>
      <c r="BQ69" s="578"/>
      <c r="BR69" s="578"/>
      <c r="BS69" s="578"/>
      <c r="BT69" s="578"/>
      <c r="BU69" s="578"/>
      <c r="BV69" s="578"/>
      <c r="BW69" s="578"/>
      <c r="BX69" s="578"/>
      <c r="BY69" s="578"/>
      <c r="BZ69" s="578"/>
      <c r="CA69" s="578"/>
      <c r="CB69" s="578"/>
      <c r="CC69" s="578"/>
      <c r="CD69" s="578"/>
      <c r="CE69" s="578"/>
      <c r="CF69" s="578"/>
      <c r="CG69" s="578"/>
      <c r="CH69" s="578"/>
      <c r="CI69" s="578"/>
      <c r="CJ69" s="578"/>
      <c r="CK69" s="578"/>
      <c r="CL69" s="578"/>
      <c r="CM69" s="578"/>
      <c r="CN69" s="578"/>
      <c r="CO69" s="578"/>
      <c r="CP69" s="578"/>
      <c r="CQ69" s="578"/>
      <c r="CR69" s="578"/>
      <c r="CS69" s="578"/>
      <c r="CT69" s="578"/>
      <c r="CU69" s="578"/>
      <c r="CV69" s="578"/>
      <c r="CW69" s="578"/>
      <c r="CX69" s="578"/>
      <c r="CY69" s="578"/>
      <c r="CZ69" s="578"/>
      <c r="DA69" s="578"/>
      <c r="DB69" s="578"/>
      <c r="DC69" s="578"/>
      <c r="DD69" s="578"/>
      <c r="DE69" s="578"/>
      <c r="DF69" s="578"/>
      <c r="DG69" s="578"/>
      <c r="DH69" s="578"/>
      <c r="DI69" s="578"/>
      <c r="DJ69" s="578"/>
      <c r="DK69" s="578"/>
      <c r="DL69" s="578"/>
      <c r="DM69" s="578"/>
      <c r="DN69" s="578"/>
      <c r="DO69" s="578"/>
      <c r="DP69" s="578"/>
      <c r="DQ69" s="578"/>
      <c r="DR69" s="578"/>
      <c r="DS69" s="579"/>
      <c r="DT69" s="579"/>
      <c r="DU69" s="578"/>
      <c r="DV69" s="578"/>
      <c r="DW69" s="578"/>
      <c r="DX69" s="578"/>
      <c r="DY69" s="578"/>
      <c r="DZ69" s="578"/>
      <c r="EA69" s="578"/>
      <c r="EB69" s="578"/>
      <c r="EC69" s="578"/>
      <c r="ED69" s="578"/>
      <c r="EE69" s="688"/>
      <c r="EF69" s="689"/>
      <c r="EG69" s="688"/>
      <c r="EH69" s="689"/>
      <c r="EI69" s="688"/>
      <c r="EJ69" s="689"/>
      <c r="EK69" s="688"/>
      <c r="EL69" s="689"/>
      <c r="EM69" s="688"/>
      <c r="EN69" s="689"/>
      <c r="EO69" s="688"/>
      <c r="EP69" s="689"/>
      <c r="EQ69" s="688"/>
      <c r="ER69" s="688"/>
      <c r="ES69" s="689"/>
      <c r="ET69" s="688"/>
      <c r="EU69" s="689"/>
      <c r="EV69" s="688"/>
      <c r="EW69" s="689"/>
      <c r="EX69" s="688"/>
      <c r="EY69" s="689"/>
      <c r="EZ69" s="688"/>
      <c r="FA69" s="689"/>
      <c r="FB69" s="688"/>
      <c r="FC69" s="689"/>
      <c r="FD69" s="688"/>
      <c r="FE69" s="689"/>
      <c r="FF69" s="688"/>
      <c r="FG69" s="689"/>
      <c r="FH69" s="688"/>
      <c r="FI69" s="689"/>
      <c r="FJ69" s="688"/>
      <c r="FK69" s="689"/>
      <c r="FL69" s="688"/>
      <c r="FM69" s="689"/>
      <c r="FN69" s="688"/>
      <c r="FO69" s="689"/>
      <c r="FP69" s="688"/>
      <c r="FQ69" s="689"/>
      <c r="FR69" s="688"/>
      <c r="FS69" s="689"/>
      <c r="FT69" s="688"/>
      <c r="FU69" s="689"/>
      <c r="FV69" s="688"/>
      <c r="FW69" s="689"/>
      <c r="FX69" s="688"/>
      <c r="FY69" s="689"/>
      <c r="FZ69" s="688"/>
      <c r="GA69" s="688"/>
      <c r="GB69" s="688"/>
      <c r="GC69" s="688"/>
      <c r="GD69" s="688"/>
      <c r="GE69" s="688"/>
      <c r="GF69" s="688"/>
      <c r="GG69" s="688"/>
      <c r="GH69" s="688"/>
      <c r="GI69" s="688"/>
      <c r="GQ69" s="691"/>
      <c r="GR69" s="692"/>
      <c r="GS69" s="580"/>
      <c r="GT69" s="580"/>
      <c r="GU69" s="580"/>
      <c r="GV69" s="693"/>
      <c r="GW69" s="693"/>
      <c r="GX69" s="693"/>
      <c r="KG69" s="691"/>
      <c r="KH69" s="691"/>
      <c r="KI69" s="691"/>
      <c r="KJ69" s="691"/>
      <c r="KK69" s="691"/>
      <c r="KL69" s="691"/>
      <c r="KM69" s="691"/>
      <c r="KN69" s="691"/>
      <c r="KO69" s="691"/>
      <c r="KP69" s="691"/>
      <c r="KQ69" s="691"/>
      <c r="KR69" s="691"/>
      <c r="KS69" s="691"/>
      <c r="KT69" s="691"/>
      <c r="KU69" s="691"/>
      <c r="KV69" s="691"/>
      <c r="KW69" s="691"/>
      <c r="KX69" s="691"/>
      <c r="KY69" s="691"/>
      <c r="KZ69" s="691"/>
      <c r="LA69" s="691"/>
      <c r="LB69" s="691"/>
      <c r="LC69" s="691"/>
      <c r="LD69" s="691"/>
      <c r="LE69" s="691"/>
      <c r="LF69" s="691"/>
      <c r="LG69" s="691"/>
      <c r="LH69" s="691"/>
      <c r="LI69" s="691"/>
      <c r="LJ69" s="691"/>
      <c r="LK69" s="691"/>
      <c r="LL69" s="691"/>
      <c r="LM69" s="691"/>
      <c r="LN69" s="691"/>
      <c r="LO69" s="691"/>
      <c r="LP69" s="691"/>
      <c r="LQ69" s="691"/>
      <c r="LR69" s="691"/>
      <c r="LS69" s="691"/>
      <c r="LT69" s="691"/>
      <c r="LU69" s="691"/>
      <c r="LV69" s="691"/>
      <c r="LW69" s="691"/>
      <c r="LX69" s="691"/>
      <c r="LY69" s="691"/>
      <c r="LZ69" s="691"/>
      <c r="MA69" s="691"/>
      <c r="MB69" s="691"/>
      <c r="MC69" s="691"/>
      <c r="MD69" s="691"/>
      <c r="ME69" s="691"/>
      <c r="MF69" s="691"/>
      <c r="MG69" s="691"/>
      <c r="MH69" s="691"/>
      <c r="MI69" s="691"/>
      <c r="MJ69" s="691"/>
      <c r="MK69" s="691"/>
      <c r="ML69" s="691"/>
      <c r="MM69" s="691"/>
      <c r="MN69" s="691"/>
      <c r="MO69" s="691"/>
      <c r="MP69" s="691"/>
      <c r="MQ69" s="691"/>
      <c r="MR69" s="691"/>
      <c r="MS69" s="691"/>
      <c r="MT69" s="691"/>
      <c r="MU69" s="691"/>
      <c r="MV69" s="691"/>
      <c r="MW69" s="691"/>
      <c r="MX69" s="691"/>
      <c r="MY69" s="691"/>
      <c r="MZ69" s="691"/>
      <c r="NA69" s="691"/>
      <c r="NB69" s="691"/>
      <c r="NC69" s="691"/>
      <c r="ND69" s="691"/>
      <c r="NE69" s="691"/>
      <c r="NF69" s="691"/>
      <c r="NG69" s="691"/>
      <c r="NH69" s="691"/>
      <c r="NI69" s="691"/>
      <c r="NJ69" s="691"/>
      <c r="NK69" s="691"/>
      <c r="NL69" s="691"/>
      <c r="NM69" s="691"/>
      <c r="NN69" s="691"/>
      <c r="NO69" s="691"/>
      <c r="NP69" s="691"/>
      <c r="NQ69" s="691"/>
      <c r="NR69" s="691"/>
      <c r="NS69" s="691"/>
      <c r="NT69" s="691"/>
      <c r="NU69" s="691"/>
      <c r="NV69" s="691"/>
      <c r="NW69" s="691"/>
      <c r="NX69" s="691"/>
      <c r="NY69" s="691"/>
      <c r="NZ69" s="691"/>
      <c r="OA69" s="691"/>
      <c r="OB69" s="691"/>
      <c r="OC69" s="691"/>
      <c r="OD69" s="691"/>
      <c r="OE69" s="691"/>
      <c r="OF69" s="691"/>
      <c r="OG69" s="691"/>
      <c r="OH69" s="691"/>
      <c r="OI69" s="691"/>
      <c r="OJ69" s="691"/>
      <c r="OK69" s="691"/>
      <c r="OL69" s="691"/>
      <c r="OM69" s="691"/>
      <c r="ON69" s="691"/>
      <c r="OO69" s="691"/>
      <c r="OP69" s="691"/>
      <c r="OQ69" s="691"/>
      <c r="OR69" s="691"/>
      <c r="OS69" s="691"/>
      <c r="OT69" s="691"/>
      <c r="OU69" s="691"/>
      <c r="OV69" s="691"/>
      <c r="OW69" s="691"/>
      <c r="OX69" s="691"/>
      <c r="OY69" s="691"/>
      <c r="OZ69" s="691"/>
      <c r="PA69" s="691"/>
      <c r="PB69" s="691"/>
      <c r="PC69" s="691"/>
      <c r="PD69" s="691"/>
      <c r="PE69" s="691"/>
      <c r="PF69" s="691"/>
      <c r="PG69" s="691"/>
      <c r="PH69" s="691"/>
      <c r="PI69" s="691"/>
      <c r="PJ69" s="691"/>
      <c r="PK69" s="691"/>
      <c r="PL69" s="691"/>
      <c r="PM69" s="691"/>
      <c r="PN69" s="691"/>
      <c r="PO69" s="691"/>
      <c r="PP69" s="691"/>
      <c r="PQ69" s="691"/>
      <c r="PR69" s="691"/>
      <c r="PS69" s="691"/>
      <c r="PT69" s="691"/>
      <c r="PU69" s="691"/>
      <c r="PV69" s="691"/>
      <c r="PW69" s="691"/>
      <c r="PX69" s="691"/>
      <c r="PY69" s="691"/>
      <c r="PZ69" s="691"/>
      <c r="QA69" s="691"/>
      <c r="QB69" s="691"/>
      <c r="QC69" s="691"/>
      <c r="QD69" s="691"/>
      <c r="QE69" s="691"/>
      <c r="QF69" s="691"/>
      <c r="QG69" s="691"/>
      <c r="QH69" s="691"/>
      <c r="QI69" s="691"/>
      <c r="QJ69" s="691"/>
      <c r="QK69" s="691"/>
      <c r="QL69" s="691"/>
      <c r="QM69" s="691"/>
      <c r="QN69" s="691"/>
      <c r="QO69" s="691"/>
      <c r="QP69" s="691"/>
      <c r="QQ69" s="691"/>
      <c r="QR69" s="691"/>
      <c r="QS69" s="691"/>
      <c r="QT69" s="691"/>
      <c r="QU69" s="691"/>
    </row>
    <row r="70" spans="1:586" s="694" customFormat="1" ht="93.5" thickBot="1" x14ac:dyDescent="0.4">
      <c r="A70" s="451" t="s">
        <v>440</v>
      </c>
      <c r="B70" s="582" t="s">
        <v>9</v>
      </c>
      <c r="C70" s="582" t="s">
        <v>298</v>
      </c>
      <c r="D70" s="582" t="s">
        <v>300</v>
      </c>
      <c r="E70" s="583" t="s">
        <v>66</v>
      </c>
      <c r="F70" s="583" t="s">
        <v>251</v>
      </c>
      <c r="G70" s="582" t="s">
        <v>650</v>
      </c>
      <c r="H70" s="582" t="s">
        <v>651</v>
      </c>
      <c r="I70" s="582" t="s">
        <v>654</v>
      </c>
      <c r="J70" s="582" t="s">
        <v>656</v>
      </c>
      <c r="K70" s="582" t="s">
        <v>308</v>
      </c>
      <c r="L70" s="583" t="s">
        <v>0</v>
      </c>
      <c r="M70" s="582" t="s">
        <v>232</v>
      </c>
      <c r="N70" s="583" t="s">
        <v>1</v>
      </c>
      <c r="O70" s="582" t="s">
        <v>233</v>
      </c>
      <c r="P70" s="584" t="s">
        <v>67</v>
      </c>
      <c r="Q70" s="582" t="s">
        <v>234</v>
      </c>
      <c r="R70" s="584" t="s">
        <v>68</v>
      </c>
      <c r="S70" s="582" t="s">
        <v>235</v>
      </c>
      <c r="T70" s="584" t="s">
        <v>236</v>
      </c>
      <c r="U70" s="582" t="s">
        <v>237</v>
      </c>
      <c r="V70" s="584" t="s">
        <v>238</v>
      </c>
      <c r="W70" s="582" t="s">
        <v>239</v>
      </c>
      <c r="X70" s="584" t="s">
        <v>240</v>
      </c>
      <c r="Y70" s="582" t="s">
        <v>71</v>
      </c>
      <c r="Z70" s="582" t="s">
        <v>72</v>
      </c>
      <c r="AA70" s="582" t="s">
        <v>73</v>
      </c>
      <c r="AB70" s="695" t="s">
        <v>74</v>
      </c>
      <c r="AC70" s="695" t="s">
        <v>69</v>
      </c>
      <c r="AD70" s="695" t="s">
        <v>70</v>
      </c>
      <c r="AE70" s="582" t="s">
        <v>241</v>
      </c>
      <c r="AF70" s="584" t="s">
        <v>78</v>
      </c>
      <c r="AG70" s="582" t="s">
        <v>242</v>
      </c>
      <c r="AH70" s="584" t="s">
        <v>77</v>
      </c>
      <c r="AI70" s="582" t="s">
        <v>243</v>
      </c>
      <c r="AJ70" s="584" t="s">
        <v>76</v>
      </c>
      <c r="AK70" s="582" t="s">
        <v>244</v>
      </c>
      <c r="AL70" s="584" t="s">
        <v>79</v>
      </c>
      <c r="AM70" s="582" t="s">
        <v>80</v>
      </c>
      <c r="AN70" s="582" t="s">
        <v>81</v>
      </c>
      <c r="AO70" s="582" t="s">
        <v>82</v>
      </c>
      <c r="AP70" s="582" t="s">
        <v>83</v>
      </c>
      <c r="AQ70" s="582" t="s">
        <v>129</v>
      </c>
      <c r="AR70" s="582" t="s">
        <v>84</v>
      </c>
      <c r="AS70" s="582" t="s">
        <v>85</v>
      </c>
      <c r="AT70" s="582" t="s">
        <v>86</v>
      </c>
      <c r="AU70" s="582" t="s">
        <v>87</v>
      </c>
      <c r="AV70" s="582" t="s">
        <v>88</v>
      </c>
      <c r="AW70" s="582" t="s">
        <v>89</v>
      </c>
      <c r="AX70" s="582" t="s">
        <v>90</v>
      </c>
      <c r="AY70" s="582" t="s">
        <v>91</v>
      </c>
      <c r="AZ70" s="582" t="s">
        <v>92</v>
      </c>
      <c r="BA70" s="582" t="s">
        <v>93</v>
      </c>
      <c r="BB70" s="582" t="s">
        <v>94</v>
      </c>
      <c r="BC70" s="582" t="s">
        <v>95</v>
      </c>
      <c r="BD70" s="582" t="s">
        <v>301</v>
      </c>
      <c r="BE70" s="582" t="s">
        <v>96</v>
      </c>
      <c r="BF70" s="582" t="s">
        <v>97</v>
      </c>
      <c r="BG70" s="582" t="s">
        <v>98</v>
      </c>
      <c r="BH70" s="582" t="s">
        <v>632</v>
      </c>
      <c r="BI70" s="582" t="s">
        <v>603</v>
      </c>
      <c r="BJ70" s="582" t="s">
        <v>604</v>
      </c>
      <c r="BK70" s="582" t="s">
        <v>605</v>
      </c>
      <c r="BL70" s="582" t="s">
        <v>606</v>
      </c>
      <c r="BM70" s="582" t="s">
        <v>607</v>
      </c>
      <c r="BN70" s="582" t="s">
        <v>608</v>
      </c>
      <c r="BO70" s="582" t="s">
        <v>609</v>
      </c>
      <c r="BP70" s="582" t="s">
        <v>610</v>
      </c>
      <c r="BQ70" s="582" t="s">
        <v>611</v>
      </c>
      <c r="BR70" s="582" t="s">
        <v>612</v>
      </c>
      <c r="BS70" s="582" t="s">
        <v>613</v>
      </c>
      <c r="BT70" s="582" t="s">
        <v>614</v>
      </c>
      <c r="BU70" s="582" t="s">
        <v>615</v>
      </c>
      <c r="BV70" s="582" t="s">
        <v>616</v>
      </c>
      <c r="BW70" s="582" t="s">
        <v>617</v>
      </c>
      <c r="BX70" s="582" t="s">
        <v>618</v>
      </c>
      <c r="BY70" s="582" t="s">
        <v>619</v>
      </c>
      <c r="BZ70" s="582" t="s">
        <v>620</v>
      </c>
      <c r="CA70" s="582" t="s">
        <v>621</v>
      </c>
      <c r="CB70" s="582" t="s">
        <v>622</v>
      </c>
      <c r="CC70" s="582" t="s">
        <v>623</v>
      </c>
      <c r="CD70" s="582" t="s">
        <v>624</v>
      </c>
      <c r="CE70" s="582" t="s">
        <v>625</v>
      </c>
      <c r="CF70" s="582" t="s">
        <v>626</v>
      </c>
      <c r="CG70" s="582" t="s">
        <v>627</v>
      </c>
      <c r="CH70" s="582" t="s">
        <v>628</v>
      </c>
      <c r="CI70" s="582" t="s">
        <v>629</v>
      </c>
      <c r="CJ70" s="582" t="s">
        <v>630</v>
      </c>
      <c r="CK70" s="582" t="s">
        <v>631</v>
      </c>
      <c r="CL70" s="582" t="s">
        <v>725</v>
      </c>
      <c r="CM70" s="582" t="s">
        <v>726</v>
      </c>
      <c r="CN70" s="582" t="s">
        <v>727</v>
      </c>
      <c r="CO70" s="582" t="s">
        <v>202</v>
      </c>
      <c r="CP70" s="582" t="s">
        <v>203</v>
      </c>
      <c r="CQ70" s="582" t="s">
        <v>204</v>
      </c>
      <c r="CR70" s="582" t="s">
        <v>205</v>
      </c>
      <c r="CS70" s="582" t="s">
        <v>206</v>
      </c>
      <c r="CT70" s="582" t="s">
        <v>207</v>
      </c>
      <c r="CU70" s="582" t="s">
        <v>208</v>
      </c>
      <c r="CV70" s="582" t="s">
        <v>209</v>
      </c>
      <c r="CW70" s="582" t="s">
        <v>210</v>
      </c>
      <c r="CX70" s="582" t="s">
        <v>211</v>
      </c>
      <c r="CY70" s="582" t="s">
        <v>212</v>
      </c>
      <c r="CZ70" s="582" t="s">
        <v>213</v>
      </c>
      <c r="DA70" s="582" t="s">
        <v>214</v>
      </c>
      <c r="DB70" s="582" t="s">
        <v>215</v>
      </c>
      <c r="DC70" s="582" t="s">
        <v>216</v>
      </c>
      <c r="DD70" s="582" t="s">
        <v>217</v>
      </c>
      <c r="DE70" s="582" t="s">
        <v>218</v>
      </c>
      <c r="DF70" s="582" t="s">
        <v>219</v>
      </c>
      <c r="DG70" s="582" t="s">
        <v>220</v>
      </c>
      <c r="DH70" s="582" t="s">
        <v>221</v>
      </c>
      <c r="DI70" s="582" t="s">
        <v>222</v>
      </c>
      <c r="DJ70" s="582" t="s">
        <v>223</v>
      </c>
      <c r="DK70" s="582" t="s">
        <v>224</v>
      </c>
      <c r="DL70" s="582" t="s">
        <v>225</v>
      </c>
      <c r="DM70" s="582" t="s">
        <v>226</v>
      </c>
      <c r="DN70" s="582" t="s">
        <v>227</v>
      </c>
      <c r="DO70" s="582" t="s">
        <v>228</v>
      </c>
      <c r="DP70" s="582" t="s">
        <v>229</v>
      </c>
      <c r="DQ70" s="582" t="s">
        <v>230</v>
      </c>
      <c r="DR70" s="582" t="s">
        <v>231</v>
      </c>
      <c r="DS70" s="582" t="s">
        <v>736</v>
      </c>
      <c r="DT70" s="582" t="s">
        <v>737</v>
      </c>
      <c r="DU70" s="582" t="s">
        <v>738</v>
      </c>
      <c r="DV70" s="582" t="s">
        <v>245</v>
      </c>
      <c r="DW70" s="582" t="s">
        <v>383</v>
      </c>
      <c r="DX70" s="582" t="s">
        <v>246</v>
      </c>
      <c r="DY70" s="582" t="s">
        <v>384</v>
      </c>
      <c r="DZ70" s="582" t="s">
        <v>247</v>
      </c>
      <c r="EA70" s="582" t="s">
        <v>385</v>
      </c>
      <c r="EB70" s="582" t="s">
        <v>248</v>
      </c>
      <c r="EC70" s="582" t="s">
        <v>386</v>
      </c>
      <c r="ED70" s="582" t="s">
        <v>249</v>
      </c>
      <c r="EE70" s="582" t="s">
        <v>387</v>
      </c>
      <c r="EF70" s="582" t="s">
        <v>250</v>
      </c>
      <c r="EG70" s="582" t="s">
        <v>388</v>
      </c>
      <c r="EH70" s="526" t="s">
        <v>134</v>
      </c>
      <c r="EI70" s="531" t="s">
        <v>172</v>
      </c>
      <c r="EJ70" s="526" t="s">
        <v>149</v>
      </c>
      <c r="EK70" s="531" t="s">
        <v>176</v>
      </c>
      <c r="EL70" s="526" t="s">
        <v>150</v>
      </c>
      <c r="EM70" s="531" t="s">
        <v>175</v>
      </c>
      <c r="EN70" s="526" t="s">
        <v>135</v>
      </c>
      <c r="EO70" s="531" t="s">
        <v>174</v>
      </c>
      <c r="EP70" s="526" t="s">
        <v>151</v>
      </c>
      <c r="EQ70" s="531" t="s">
        <v>178</v>
      </c>
      <c r="ER70" s="526" t="s">
        <v>152</v>
      </c>
      <c r="ES70" s="531" t="s">
        <v>168</v>
      </c>
      <c r="ET70" s="526" t="s">
        <v>201</v>
      </c>
      <c r="EU70" s="526" t="s">
        <v>154</v>
      </c>
      <c r="EV70" s="531" t="s">
        <v>171</v>
      </c>
      <c r="EW70" s="526" t="s">
        <v>169</v>
      </c>
      <c r="EX70" s="531" t="s">
        <v>170</v>
      </c>
      <c r="EY70" s="526" t="s">
        <v>133</v>
      </c>
      <c r="EZ70" s="531" t="s">
        <v>173</v>
      </c>
      <c r="FA70" s="526" t="s">
        <v>166</v>
      </c>
      <c r="FB70" s="531" t="s">
        <v>167</v>
      </c>
      <c r="FC70" s="526" t="s">
        <v>160</v>
      </c>
      <c r="FD70" s="531" t="s">
        <v>161</v>
      </c>
      <c r="FE70" s="526" t="s">
        <v>130</v>
      </c>
      <c r="FF70" s="531" t="s">
        <v>155</v>
      </c>
      <c r="FG70" s="526" t="s">
        <v>162</v>
      </c>
      <c r="FH70" s="531" t="s">
        <v>163</v>
      </c>
      <c r="FI70" s="526" t="s">
        <v>132</v>
      </c>
      <c r="FJ70" s="531" t="s">
        <v>159</v>
      </c>
      <c r="FK70" s="526" t="s">
        <v>164</v>
      </c>
      <c r="FL70" s="531" t="s">
        <v>165</v>
      </c>
      <c r="FM70" s="526" t="s">
        <v>156</v>
      </c>
      <c r="FN70" s="531" t="s">
        <v>157</v>
      </c>
      <c r="FO70" s="526" t="s">
        <v>131</v>
      </c>
      <c r="FP70" s="531" t="s">
        <v>158</v>
      </c>
      <c r="FQ70" s="526" t="s">
        <v>153</v>
      </c>
      <c r="FR70" s="531" t="s">
        <v>177</v>
      </c>
      <c r="FS70" s="526" t="s">
        <v>191</v>
      </c>
      <c r="FT70" s="531" t="s">
        <v>192</v>
      </c>
      <c r="FU70" s="526" t="s">
        <v>193</v>
      </c>
      <c r="FV70" s="531" t="s">
        <v>194</v>
      </c>
      <c r="FW70" s="526" t="s">
        <v>195</v>
      </c>
      <c r="FX70" s="531" t="s">
        <v>196</v>
      </c>
      <c r="FY70" s="526" t="s">
        <v>197</v>
      </c>
      <c r="FZ70" s="531" t="s">
        <v>198</v>
      </c>
      <c r="GA70" s="526" t="s">
        <v>199</v>
      </c>
      <c r="GB70" s="531" t="s">
        <v>200</v>
      </c>
      <c r="GC70" s="539" t="s">
        <v>661</v>
      </c>
      <c r="GD70" s="540" t="s">
        <v>662</v>
      </c>
      <c r="GE70" s="526" t="s">
        <v>273</v>
      </c>
      <c r="GF70" s="526" t="s">
        <v>280</v>
      </c>
      <c r="GG70" s="526" t="s">
        <v>274</v>
      </c>
      <c r="GH70" s="526" t="s">
        <v>275</v>
      </c>
      <c r="GI70" s="526" t="s">
        <v>453</v>
      </c>
      <c r="GJ70" s="526" t="s">
        <v>276</v>
      </c>
      <c r="GK70" s="526" t="s">
        <v>277</v>
      </c>
      <c r="GL70" s="526" t="s">
        <v>454</v>
      </c>
      <c r="GM70" s="526" t="s">
        <v>278</v>
      </c>
      <c r="GN70" s="526" t="s">
        <v>448</v>
      </c>
      <c r="GO70" s="526" t="s">
        <v>389</v>
      </c>
      <c r="GP70" s="526" t="s">
        <v>390</v>
      </c>
      <c r="GQ70" s="526" t="s">
        <v>391</v>
      </c>
      <c r="GR70" s="526" t="s">
        <v>392</v>
      </c>
      <c r="GS70" s="526" t="s">
        <v>393</v>
      </c>
      <c r="GT70" s="543" t="s">
        <v>639</v>
      </c>
      <c r="GU70" s="526" t="s">
        <v>633</v>
      </c>
      <c r="GV70" s="526" t="s">
        <v>634</v>
      </c>
      <c r="GW70" s="526" t="s">
        <v>635</v>
      </c>
      <c r="GX70" s="526" t="s">
        <v>401</v>
      </c>
      <c r="GY70" s="544" t="s">
        <v>636</v>
      </c>
      <c r="GZ70" s="544" t="s">
        <v>637</v>
      </c>
      <c r="HA70" s="736" t="s">
        <v>407</v>
      </c>
      <c r="HB70" s="736" t="s">
        <v>671</v>
      </c>
      <c r="HC70" s="737" t="s">
        <v>672</v>
      </c>
      <c r="HD70" s="546" t="s">
        <v>673</v>
      </c>
      <c r="HE70" s="546" t="s">
        <v>674</v>
      </c>
      <c r="HF70" s="546" t="s">
        <v>675</v>
      </c>
      <c r="HG70" s="546" t="s">
        <v>676</v>
      </c>
      <c r="HH70" s="546" t="s">
        <v>677</v>
      </c>
      <c r="HI70" s="546" t="s">
        <v>678</v>
      </c>
      <c r="HJ70" s="546" t="s">
        <v>679</v>
      </c>
      <c r="HK70" s="546" t="s">
        <v>680</v>
      </c>
      <c r="HL70" s="546" t="s">
        <v>681</v>
      </c>
      <c r="HM70" s="546" t="s">
        <v>682</v>
      </c>
      <c r="HN70" s="546" t="s">
        <v>683</v>
      </c>
      <c r="HO70" s="546" t="s">
        <v>684</v>
      </c>
      <c r="HP70" s="546" t="s">
        <v>685</v>
      </c>
      <c r="HQ70" s="546" t="s">
        <v>686</v>
      </c>
      <c r="HR70" s="546" t="s">
        <v>687</v>
      </c>
      <c r="HS70" s="546" t="s">
        <v>688</v>
      </c>
      <c r="HT70" s="546" t="s">
        <v>689</v>
      </c>
      <c r="HU70" s="546" t="s">
        <v>690</v>
      </c>
      <c r="HV70" s="546" t="s">
        <v>691</v>
      </c>
      <c r="HW70" s="546" t="s">
        <v>692</v>
      </c>
      <c r="HX70" s="547" t="s">
        <v>693</v>
      </c>
      <c r="HY70" s="588" t="s">
        <v>694</v>
      </c>
      <c r="HZ70" s="589" t="s">
        <v>797</v>
      </c>
      <c r="IA70" s="590" t="s">
        <v>798</v>
      </c>
      <c r="IB70" s="591" t="s">
        <v>799</v>
      </c>
      <c r="IC70" s="591" t="s">
        <v>800</v>
      </c>
      <c r="ID70" s="592" t="s">
        <v>801</v>
      </c>
      <c r="IE70" s="592" t="s">
        <v>802</v>
      </c>
      <c r="IF70" s="592" t="s">
        <v>803</v>
      </c>
      <c r="IG70" s="592" t="s">
        <v>804</v>
      </c>
      <c r="IH70" s="590" t="s">
        <v>805</v>
      </c>
      <c r="II70" s="591" t="s">
        <v>806</v>
      </c>
      <c r="IJ70" s="590" t="s">
        <v>807</v>
      </c>
      <c r="IK70" s="591" t="s">
        <v>808</v>
      </c>
      <c r="IL70" s="590" t="s">
        <v>809</v>
      </c>
      <c r="IM70" s="593" t="s">
        <v>810</v>
      </c>
      <c r="IN70" s="590" t="s">
        <v>811</v>
      </c>
      <c r="IO70" s="593" t="s">
        <v>812</v>
      </c>
      <c r="IP70" s="592" t="s">
        <v>813</v>
      </c>
      <c r="IQ70" s="593" t="s">
        <v>814</v>
      </c>
      <c r="IR70" s="592" t="s">
        <v>815</v>
      </c>
      <c r="IS70" s="593" t="s">
        <v>816</v>
      </c>
      <c r="IT70" s="592" t="s">
        <v>817</v>
      </c>
      <c r="IU70" s="593" t="s">
        <v>818</v>
      </c>
      <c r="IV70" s="592" t="s">
        <v>819</v>
      </c>
      <c r="IW70" s="592" t="s">
        <v>820</v>
      </c>
      <c r="IX70" s="592" t="s">
        <v>821</v>
      </c>
      <c r="IY70" s="592" t="s">
        <v>822</v>
      </c>
      <c r="IZ70" s="592" t="s">
        <v>823</v>
      </c>
      <c r="JA70" s="592" t="s">
        <v>824</v>
      </c>
      <c r="JB70" s="589" t="s">
        <v>825</v>
      </c>
      <c r="JC70" s="593" t="s">
        <v>826</v>
      </c>
      <c r="JD70" s="589" t="s">
        <v>827</v>
      </c>
      <c r="JE70" s="593" t="s">
        <v>828</v>
      </c>
      <c r="JF70" s="589" t="s">
        <v>829</v>
      </c>
      <c r="JG70" s="593" t="s">
        <v>830</v>
      </c>
      <c r="JH70" s="589" t="s">
        <v>831</v>
      </c>
      <c r="JI70" s="593" t="s">
        <v>832</v>
      </c>
      <c r="JJ70" s="594" t="s">
        <v>833</v>
      </c>
      <c r="JK70" s="594" t="s">
        <v>834</v>
      </c>
      <c r="JL70" s="594" t="s">
        <v>835</v>
      </c>
      <c r="JM70" s="594" t="s">
        <v>836</v>
      </c>
      <c r="JN70" s="594" t="s">
        <v>837</v>
      </c>
      <c r="JO70" s="594" t="s">
        <v>838</v>
      </c>
      <c r="JP70" s="594" t="s">
        <v>839</v>
      </c>
      <c r="JQ70" s="594" t="s">
        <v>840</v>
      </c>
      <c r="JR70" s="594" t="s">
        <v>841</v>
      </c>
      <c r="JS70" s="594" t="s">
        <v>842</v>
      </c>
      <c r="JT70" s="594" t="s">
        <v>843</v>
      </c>
      <c r="JU70" s="594" t="s">
        <v>844</v>
      </c>
      <c r="JV70" s="594" t="s">
        <v>845</v>
      </c>
      <c r="JW70" s="594" t="s">
        <v>846</v>
      </c>
      <c r="JX70" s="594" t="s">
        <v>847</v>
      </c>
      <c r="JY70" s="594" t="s">
        <v>848</v>
      </c>
      <c r="JZ70" s="594" t="s">
        <v>849</v>
      </c>
      <c r="KA70" s="594" t="s">
        <v>850</v>
      </c>
      <c r="KB70" s="594" t="s">
        <v>851</v>
      </c>
      <c r="KC70" s="594" t="s">
        <v>852</v>
      </c>
      <c r="KD70" s="594" t="s">
        <v>853</v>
      </c>
      <c r="KE70" s="594" t="s">
        <v>854</v>
      </c>
      <c r="KF70" s="594" t="s">
        <v>855</v>
      </c>
      <c r="KG70" s="594" t="s">
        <v>856</v>
      </c>
      <c r="KH70" s="594" t="s">
        <v>857</v>
      </c>
      <c r="KI70" s="594" t="s">
        <v>858</v>
      </c>
      <c r="KJ70" s="594" t="s">
        <v>859</v>
      </c>
      <c r="KK70" s="594" t="s">
        <v>860</v>
      </c>
      <c r="KL70" s="594" t="s">
        <v>861</v>
      </c>
      <c r="KM70" s="594" t="s">
        <v>862</v>
      </c>
      <c r="KN70" s="594" t="s">
        <v>863</v>
      </c>
      <c r="KO70" s="594" t="s">
        <v>864</v>
      </c>
      <c r="KP70" s="594" t="s">
        <v>865</v>
      </c>
      <c r="KQ70" s="594" t="s">
        <v>866</v>
      </c>
      <c r="KR70" s="594" t="s">
        <v>867</v>
      </c>
      <c r="KS70" s="594" t="s">
        <v>868</v>
      </c>
      <c r="KT70" s="594" t="s">
        <v>869</v>
      </c>
      <c r="KU70" s="594" t="s">
        <v>870</v>
      </c>
      <c r="KV70" s="594" t="s">
        <v>871</v>
      </c>
      <c r="KW70" s="594" t="s">
        <v>872</v>
      </c>
      <c r="KX70" s="588" t="s">
        <v>873</v>
      </c>
      <c r="KY70" s="589" t="s">
        <v>874</v>
      </c>
      <c r="KZ70" s="590" t="s">
        <v>875</v>
      </c>
      <c r="LA70" s="591" t="s">
        <v>876</v>
      </c>
      <c r="LB70" s="591" t="s">
        <v>877</v>
      </c>
      <c r="LC70" s="592" t="s">
        <v>878</v>
      </c>
      <c r="LD70" s="592" t="s">
        <v>879</v>
      </c>
      <c r="LE70" s="592" t="s">
        <v>880</v>
      </c>
      <c r="LF70" s="592" t="s">
        <v>881</v>
      </c>
      <c r="LG70" s="590" t="s">
        <v>882</v>
      </c>
      <c r="LH70" s="591" t="s">
        <v>883</v>
      </c>
      <c r="LI70" s="590" t="s">
        <v>884</v>
      </c>
      <c r="LJ70" s="591" t="s">
        <v>885</v>
      </c>
      <c r="LK70" s="590" t="s">
        <v>886</v>
      </c>
      <c r="LL70" s="593" t="s">
        <v>887</v>
      </c>
      <c r="LM70" s="590" t="s">
        <v>888</v>
      </c>
      <c r="LN70" s="593" t="s">
        <v>889</v>
      </c>
      <c r="LO70" s="592" t="s">
        <v>890</v>
      </c>
      <c r="LP70" s="593" t="s">
        <v>891</v>
      </c>
      <c r="LQ70" s="592" t="s">
        <v>892</v>
      </c>
      <c r="LR70" s="593" t="s">
        <v>893</v>
      </c>
      <c r="LS70" s="592" t="s">
        <v>894</v>
      </c>
      <c r="LT70" s="593" t="s">
        <v>895</v>
      </c>
      <c r="LU70" s="592" t="s">
        <v>896</v>
      </c>
      <c r="LV70" s="592" t="s">
        <v>897</v>
      </c>
      <c r="LW70" s="592" t="s">
        <v>898</v>
      </c>
      <c r="LX70" s="592" t="s">
        <v>899</v>
      </c>
      <c r="LY70" s="592" t="s">
        <v>900</v>
      </c>
      <c r="LZ70" s="592" t="s">
        <v>901</v>
      </c>
      <c r="MA70" s="589" t="s">
        <v>902</v>
      </c>
      <c r="MB70" s="593" t="s">
        <v>903</v>
      </c>
      <c r="MC70" s="589" t="s">
        <v>904</v>
      </c>
      <c r="MD70" s="593" t="s">
        <v>905</v>
      </c>
      <c r="ME70" s="589" t="s">
        <v>906</v>
      </c>
      <c r="MF70" s="593" t="s">
        <v>907</v>
      </c>
      <c r="MG70" s="589" t="s">
        <v>908</v>
      </c>
      <c r="MH70" s="593" t="s">
        <v>909</v>
      </c>
      <c r="MI70" s="594" t="s">
        <v>910</v>
      </c>
      <c r="MJ70" s="594" t="s">
        <v>911</v>
      </c>
      <c r="MK70" s="594" t="s">
        <v>912</v>
      </c>
      <c r="ML70" s="594" t="s">
        <v>913</v>
      </c>
      <c r="MM70" s="594" t="s">
        <v>914</v>
      </c>
      <c r="MN70" s="594" t="s">
        <v>915</v>
      </c>
      <c r="MO70" s="594" t="s">
        <v>916</v>
      </c>
      <c r="MP70" s="594" t="s">
        <v>917</v>
      </c>
      <c r="MQ70" s="594" t="s">
        <v>918</v>
      </c>
      <c r="MR70" s="594" t="s">
        <v>919</v>
      </c>
      <c r="MS70" s="594" t="s">
        <v>920</v>
      </c>
      <c r="MT70" s="594" t="s">
        <v>921</v>
      </c>
      <c r="MU70" s="594" t="s">
        <v>922</v>
      </c>
      <c r="MV70" s="594" t="s">
        <v>923</v>
      </c>
      <c r="MW70" s="594" t="s">
        <v>924</v>
      </c>
      <c r="MX70" s="594" t="s">
        <v>925</v>
      </c>
      <c r="MY70" s="594" t="s">
        <v>926</v>
      </c>
      <c r="MZ70" s="594" t="s">
        <v>927</v>
      </c>
      <c r="NA70" s="594" t="s">
        <v>928</v>
      </c>
      <c r="NB70" s="594" t="s">
        <v>929</v>
      </c>
      <c r="NC70" s="594" t="s">
        <v>455</v>
      </c>
      <c r="ND70" s="594" t="s">
        <v>456</v>
      </c>
      <c r="NE70" s="594" t="s">
        <v>457</v>
      </c>
      <c r="NF70" s="594" t="s">
        <v>458</v>
      </c>
      <c r="NG70" s="594" t="s">
        <v>459</v>
      </c>
      <c r="NH70" s="594" t="s">
        <v>460</v>
      </c>
      <c r="NI70" s="594" t="s">
        <v>461</v>
      </c>
      <c r="NJ70" s="594" t="s">
        <v>462</v>
      </c>
      <c r="NK70" s="594" t="s">
        <v>463</v>
      </c>
      <c r="NL70" s="594" t="s">
        <v>464</v>
      </c>
      <c r="NM70" s="594" t="s">
        <v>465</v>
      </c>
      <c r="NN70" s="594" t="s">
        <v>466</v>
      </c>
      <c r="NO70" s="594" t="s">
        <v>467</v>
      </c>
      <c r="NP70" s="594" t="s">
        <v>468</v>
      </c>
      <c r="NQ70" s="594" t="s">
        <v>469</v>
      </c>
      <c r="NR70" s="594" t="s">
        <v>470</v>
      </c>
      <c r="NS70" s="594" t="s">
        <v>471</v>
      </c>
      <c r="NT70" s="594" t="s">
        <v>472</v>
      </c>
      <c r="NU70" s="594" t="s">
        <v>473</v>
      </c>
      <c r="NV70" s="594" t="s">
        <v>474</v>
      </c>
      <c r="NW70" s="594" t="s">
        <v>475</v>
      </c>
      <c r="NX70" s="594" t="s">
        <v>476</v>
      </c>
      <c r="NY70" s="594" t="s">
        <v>477</v>
      </c>
      <c r="NZ70" s="594" t="s">
        <v>478</v>
      </c>
      <c r="OA70" s="594" t="s">
        <v>479</v>
      </c>
      <c r="OB70" s="594" t="s">
        <v>480</v>
      </c>
      <c r="OC70" s="594" t="s">
        <v>481</v>
      </c>
      <c r="OD70" s="594" t="s">
        <v>482</v>
      </c>
      <c r="OE70" s="594" t="s">
        <v>483</v>
      </c>
      <c r="OF70" s="594" t="s">
        <v>484</v>
      </c>
      <c r="OG70" s="594" t="s">
        <v>485</v>
      </c>
      <c r="OH70" s="594" t="s">
        <v>486</v>
      </c>
      <c r="OI70" s="594" t="s">
        <v>487</v>
      </c>
      <c r="OJ70" s="594" t="s">
        <v>488</v>
      </c>
      <c r="OK70" s="594" t="s">
        <v>489</v>
      </c>
      <c r="OL70" s="594" t="s">
        <v>490</v>
      </c>
      <c r="OM70" s="594" t="s">
        <v>491</v>
      </c>
      <c r="ON70" s="594" t="s">
        <v>492</v>
      </c>
      <c r="OO70" s="594" t="s">
        <v>493</v>
      </c>
      <c r="OP70" s="594" t="s">
        <v>494</v>
      </c>
      <c r="OQ70" s="594" t="s">
        <v>495</v>
      </c>
      <c r="OR70" s="594" t="s">
        <v>496</v>
      </c>
      <c r="OS70" s="594" t="s">
        <v>497</v>
      </c>
      <c r="OT70" s="594" t="s">
        <v>498</v>
      </c>
      <c r="OU70" s="594" t="s">
        <v>499</v>
      </c>
      <c r="OV70" s="594" t="s">
        <v>500</v>
      </c>
      <c r="OW70" s="594" t="s">
        <v>501</v>
      </c>
      <c r="OX70" s="594" t="s">
        <v>502</v>
      </c>
      <c r="OY70" s="594" t="s">
        <v>503</v>
      </c>
      <c r="OZ70" s="594" t="s">
        <v>504</v>
      </c>
      <c r="PA70" s="594" t="s">
        <v>505</v>
      </c>
      <c r="PB70" s="594" t="s">
        <v>722</v>
      </c>
      <c r="PC70" s="594" t="s">
        <v>723</v>
      </c>
      <c r="PD70" s="594" t="s">
        <v>724</v>
      </c>
      <c r="PE70" s="594" t="s">
        <v>506</v>
      </c>
      <c r="PF70" s="594" t="s">
        <v>507</v>
      </c>
      <c r="PG70" s="594" t="s">
        <v>508</v>
      </c>
      <c r="PH70" s="594" t="s">
        <v>509</v>
      </c>
      <c r="PI70" s="594" t="s">
        <v>510</v>
      </c>
      <c r="PJ70" s="594" t="s">
        <v>511</v>
      </c>
      <c r="PK70" s="594" t="s">
        <v>512</v>
      </c>
      <c r="PL70" s="594" t="s">
        <v>513</v>
      </c>
      <c r="PM70" s="543" t="s">
        <v>514</v>
      </c>
      <c r="PN70" s="543" t="s">
        <v>515</v>
      </c>
      <c r="PO70" s="543" t="s">
        <v>516</v>
      </c>
      <c r="PP70" s="543" t="s">
        <v>517</v>
      </c>
      <c r="PQ70" s="543" t="s">
        <v>518</v>
      </c>
      <c r="PR70" s="543" t="s">
        <v>519</v>
      </c>
      <c r="PS70" s="543" t="s">
        <v>520</v>
      </c>
      <c r="PT70" s="543" t="s">
        <v>521</v>
      </c>
      <c r="PU70" s="543" t="s">
        <v>522</v>
      </c>
      <c r="PV70" s="543" t="s">
        <v>523</v>
      </c>
      <c r="PW70" s="543" t="s">
        <v>524</v>
      </c>
      <c r="PX70" s="543" t="s">
        <v>525</v>
      </c>
      <c r="PY70" s="543" t="s">
        <v>526</v>
      </c>
      <c r="PZ70" s="543" t="s">
        <v>527</v>
      </c>
      <c r="QA70" s="548" t="s">
        <v>528</v>
      </c>
      <c r="QB70" s="548" t="s">
        <v>529</v>
      </c>
      <c r="QC70" s="548" t="s">
        <v>530</v>
      </c>
      <c r="QD70" s="548" t="s">
        <v>531</v>
      </c>
      <c r="QE70" s="548" t="s">
        <v>532</v>
      </c>
      <c r="QF70" s="548" t="s">
        <v>533</v>
      </c>
      <c r="QG70" s="548" t="s">
        <v>534</v>
      </c>
      <c r="QH70" s="548" t="s">
        <v>535</v>
      </c>
      <c r="QI70" s="548" t="s">
        <v>732</v>
      </c>
      <c r="QJ70" s="548" t="s">
        <v>733</v>
      </c>
      <c r="QK70" s="548" t="s">
        <v>734</v>
      </c>
      <c r="QL70" s="544" t="s">
        <v>930</v>
      </c>
      <c r="QM70" s="544" t="s">
        <v>931</v>
      </c>
      <c r="QN70" s="544" t="s">
        <v>932</v>
      </c>
      <c r="QO70" s="544" t="s">
        <v>933</v>
      </c>
      <c r="QP70" s="544" t="s">
        <v>934</v>
      </c>
      <c r="QQ70" s="544" t="s">
        <v>935</v>
      </c>
      <c r="QR70" s="544" t="s">
        <v>936</v>
      </c>
      <c r="QS70" s="544" t="s">
        <v>937</v>
      </c>
      <c r="QT70" s="544" t="s">
        <v>938</v>
      </c>
      <c r="QU70" s="544" t="s">
        <v>939</v>
      </c>
      <c r="QV70" s="544" t="s">
        <v>940</v>
      </c>
      <c r="QW70" s="544" t="s">
        <v>941</v>
      </c>
      <c r="QX70" s="544" t="s">
        <v>942</v>
      </c>
      <c r="QY70" s="544" t="s">
        <v>943</v>
      </c>
      <c r="QZ70" s="544" t="s">
        <v>944</v>
      </c>
      <c r="RA70" s="544" t="s">
        <v>945</v>
      </c>
      <c r="RB70" s="544" t="s">
        <v>946</v>
      </c>
      <c r="RC70" s="544" t="s">
        <v>947</v>
      </c>
      <c r="RD70" s="544" t="s">
        <v>948</v>
      </c>
      <c r="RE70" s="544" t="s">
        <v>949</v>
      </c>
      <c r="RF70" s="544" t="s">
        <v>950</v>
      </c>
      <c r="RG70" s="544" t="s">
        <v>951</v>
      </c>
      <c r="RH70" s="544" t="s">
        <v>952</v>
      </c>
      <c r="RI70" s="544" t="s">
        <v>953</v>
      </c>
      <c r="RJ70" s="544" t="s">
        <v>954</v>
      </c>
      <c r="RK70" s="544" t="s">
        <v>955</v>
      </c>
      <c r="RL70" s="544" t="s">
        <v>956</v>
      </c>
      <c r="RM70" s="544" t="s">
        <v>957</v>
      </c>
      <c r="RN70" s="544" t="s">
        <v>958</v>
      </c>
      <c r="RO70" s="544" t="s">
        <v>959</v>
      </c>
      <c r="RP70" s="544" t="s">
        <v>960</v>
      </c>
      <c r="RQ70" s="544" t="s">
        <v>961</v>
      </c>
      <c r="RR70" s="544" t="s">
        <v>962</v>
      </c>
      <c r="RS70" s="544" t="s">
        <v>963</v>
      </c>
      <c r="RT70" s="544" t="s">
        <v>964</v>
      </c>
      <c r="RU70" s="544" t="s">
        <v>965</v>
      </c>
      <c r="RV70" s="544" t="s">
        <v>966</v>
      </c>
      <c r="RW70" s="544" t="s">
        <v>967</v>
      </c>
      <c r="RX70" s="544" t="s">
        <v>968</v>
      </c>
      <c r="RY70" s="544" t="s">
        <v>969</v>
      </c>
      <c r="RZ70" s="544" t="s">
        <v>970</v>
      </c>
      <c r="SA70" s="544" t="s">
        <v>971</v>
      </c>
      <c r="SB70" s="544" t="s">
        <v>972</v>
      </c>
      <c r="SC70" s="544" t="s">
        <v>973</v>
      </c>
      <c r="SD70" s="544" t="s">
        <v>974</v>
      </c>
      <c r="SE70" s="544" t="s">
        <v>975</v>
      </c>
      <c r="SF70" s="544" t="s">
        <v>976</v>
      </c>
      <c r="SG70" s="544" t="s">
        <v>977</v>
      </c>
      <c r="SH70" s="544" t="s">
        <v>978</v>
      </c>
      <c r="SI70" s="544" t="s">
        <v>979</v>
      </c>
      <c r="SJ70" s="544" t="s">
        <v>980</v>
      </c>
      <c r="SK70" s="544" t="s">
        <v>981</v>
      </c>
      <c r="SL70" s="544" t="s">
        <v>982</v>
      </c>
      <c r="SM70" s="544" t="s">
        <v>983</v>
      </c>
      <c r="SN70" s="544" t="s">
        <v>984</v>
      </c>
      <c r="SO70" s="544" t="s">
        <v>985</v>
      </c>
      <c r="SP70" s="544" t="s">
        <v>986</v>
      </c>
      <c r="SQ70" s="544" t="s">
        <v>987</v>
      </c>
      <c r="SR70" s="544" t="s">
        <v>988</v>
      </c>
      <c r="SS70" s="544" t="s">
        <v>989</v>
      </c>
      <c r="ST70" s="544" t="s">
        <v>990</v>
      </c>
      <c r="SU70" s="544" t="s">
        <v>991</v>
      </c>
      <c r="SV70" s="544" t="s">
        <v>992</v>
      </c>
      <c r="SW70" s="544" t="s">
        <v>993</v>
      </c>
      <c r="SX70" s="544" t="s">
        <v>994</v>
      </c>
      <c r="SY70" s="544" t="s">
        <v>995</v>
      </c>
      <c r="SZ70" s="544" t="s">
        <v>996</v>
      </c>
      <c r="TA70" s="544" t="s">
        <v>997</v>
      </c>
      <c r="TB70" s="544" t="s">
        <v>998</v>
      </c>
      <c r="TC70" s="544" t="s">
        <v>999</v>
      </c>
      <c r="TD70" s="544" t="s">
        <v>1000</v>
      </c>
      <c r="TE70" s="544" t="s">
        <v>1001</v>
      </c>
      <c r="TF70" s="544" t="s">
        <v>1002</v>
      </c>
      <c r="TG70" s="544" t="s">
        <v>1003</v>
      </c>
      <c r="TH70" s="544" t="s">
        <v>1004</v>
      </c>
      <c r="TI70" s="544" t="s">
        <v>1005</v>
      </c>
      <c r="TJ70" s="544" t="s">
        <v>1006</v>
      </c>
      <c r="TK70" s="544" t="s">
        <v>1007</v>
      </c>
      <c r="TL70" s="544" t="s">
        <v>1008</v>
      </c>
      <c r="TM70" s="544" t="s">
        <v>1009</v>
      </c>
      <c r="TN70" s="544" t="s">
        <v>1010</v>
      </c>
      <c r="TO70" s="544" t="s">
        <v>1011</v>
      </c>
      <c r="TP70" s="544" t="s">
        <v>1012</v>
      </c>
      <c r="TQ70" s="544" t="s">
        <v>1013</v>
      </c>
      <c r="TR70" s="544" t="s">
        <v>1014</v>
      </c>
      <c r="TS70" s="544" t="s">
        <v>1015</v>
      </c>
      <c r="TT70" s="544" t="s">
        <v>1016</v>
      </c>
      <c r="TU70" s="544" t="s">
        <v>1017</v>
      </c>
      <c r="TV70" s="544" t="s">
        <v>1018</v>
      </c>
      <c r="TW70" s="544" t="s">
        <v>1019</v>
      </c>
      <c r="TX70" s="544" t="s">
        <v>1020</v>
      </c>
      <c r="TY70" s="544" t="s">
        <v>1021</v>
      </c>
      <c r="TZ70" s="544" t="s">
        <v>1022</v>
      </c>
      <c r="UA70" s="544" t="s">
        <v>1023</v>
      </c>
      <c r="UB70" s="544" t="s">
        <v>1024</v>
      </c>
      <c r="UC70" s="544" t="s">
        <v>1025</v>
      </c>
      <c r="UD70" s="544" t="s">
        <v>1026</v>
      </c>
      <c r="UE70" s="544" t="s">
        <v>1027</v>
      </c>
      <c r="UF70" s="544" t="s">
        <v>1028</v>
      </c>
      <c r="UG70" s="544" t="s">
        <v>1029</v>
      </c>
      <c r="UH70" s="544" t="s">
        <v>1030</v>
      </c>
      <c r="UI70" s="544" t="s">
        <v>1031</v>
      </c>
      <c r="UJ70" s="544" t="s">
        <v>1032</v>
      </c>
      <c r="UK70" s="544" t="s">
        <v>1033</v>
      </c>
      <c r="UL70" s="544" t="s">
        <v>1034</v>
      </c>
      <c r="UM70" s="544" t="s">
        <v>1035</v>
      </c>
      <c r="UN70" s="544" t="s">
        <v>1036</v>
      </c>
      <c r="UO70" s="544" t="s">
        <v>1037</v>
      </c>
      <c r="UP70" s="544" t="s">
        <v>1038</v>
      </c>
      <c r="UQ70" s="544" t="s">
        <v>1039</v>
      </c>
      <c r="UR70" s="544" t="s">
        <v>1040</v>
      </c>
      <c r="US70" s="544" t="s">
        <v>1041</v>
      </c>
      <c r="UT70" s="544" t="s">
        <v>1042</v>
      </c>
      <c r="UU70" s="544" t="s">
        <v>1043</v>
      </c>
      <c r="UV70" s="544" t="s">
        <v>1044</v>
      </c>
      <c r="UW70" s="544" t="s">
        <v>1045</v>
      </c>
      <c r="UX70" s="544" t="s">
        <v>1046</v>
      </c>
      <c r="UY70" s="544" t="s">
        <v>1047</v>
      </c>
      <c r="UZ70" s="544" t="s">
        <v>1048</v>
      </c>
      <c r="VA70" s="544" t="s">
        <v>1049</v>
      </c>
      <c r="VB70" s="544" t="s">
        <v>1050</v>
      </c>
      <c r="VC70" s="544" t="s">
        <v>1051</v>
      </c>
      <c r="VD70" s="544" t="s">
        <v>1052</v>
      </c>
      <c r="VE70" s="544" t="s">
        <v>1053</v>
      </c>
      <c r="VF70" s="544" t="s">
        <v>1054</v>
      </c>
      <c r="VG70" s="544" t="s">
        <v>1055</v>
      </c>
      <c r="VH70" s="544" t="s">
        <v>1056</v>
      </c>
      <c r="VI70" s="544" t="s">
        <v>1057</v>
      </c>
      <c r="VJ70" s="544" t="s">
        <v>1058</v>
      </c>
      <c r="VK70" s="544" t="s">
        <v>1059</v>
      </c>
      <c r="VL70" s="544" t="s">
        <v>1060</v>
      </c>
      <c r="VM70" s="544" t="s">
        <v>1061</v>
      </c>
      <c r="VN70" s="544" t="s">
        <v>1062</v>
      </c>
    </row>
    <row r="71" spans="1:586" s="701" customFormat="1" ht="15.5" x14ac:dyDescent="0.35">
      <c r="A71" s="576" t="str">
        <f>IF(INDEX(COUNTY_NAME,MATCH(COUNTY_SELECT,COUNTY_NAME,0))="County Name","",INDEX(COUNTY_NAME,MATCH(COUNTY_SELECT,COUNTY_NAME,0)))</f>
        <v/>
      </c>
      <c r="B71" s="696" t="str">
        <f>IF(INDEX($B$3:$B$61,MATCH(COUNTY_SELECT,COUNTY_NAME,0))=Selected_County[[#Headers],[County Size]],"",IFERROR(INDEX($B$3:$B$61,MATCH(COUNTY_SELECT,COUNTY_NAME,0)),"0"))</f>
        <v/>
      </c>
      <c r="C71" s="697" t="str">
        <f>IF(INDEX(C3:C61,MATCH(COUNTY_SELECT,COUNTY_NAME,0))=Selected_County[[#Headers],[Wage Rate]],"",INDEX(C3:C61,MATCH(COUNTY_SELECT,COUNTY_NAME,0)))</f>
        <v/>
      </c>
      <c r="D71" s="738" t="str">
        <f>IF(INDEX(D3:D61,MATCH(COUNTY_SELECT,COUNTY_NAME,0))=Selected_County[[#Headers],[Authorized Recipients]],"",INDEX(D3:D61,MATCH(COUNTY_SELECT,COUNTY_NAME,0)))</f>
        <v/>
      </c>
      <c r="E71" s="699" t="str">
        <f>IF(INDEX(E3:E61,MATCH(COUNTY_SELECT,COUNTY_NAME,0))=Selected_County[[#Headers],[Authorized Hours]],"",INDEX(E3:E61,MATCH(COUNTY_SELECT,COUNTY_NAME,0)))</f>
        <v/>
      </c>
      <c r="F71" s="699" t="str">
        <f>IF(INDEX(F3:F61,MATCH(COUNTY_SELECT,COUNTY_NAME,0))=Selected_County[[#Headers],[Authorized Hours per Recipient]],"",INDEX(F3:F61,MATCH(COUNTY_SELECT,COUNTY_NAME,0)))</f>
        <v/>
      </c>
      <c r="G71" s="738" t="str">
        <f>IF(INDEX(G3:G61,MATCH(COUNTY_SELECT,COUNTY_NAME,0))=Selected_County[[#Headers],[Electronic Timesheets - Enrolled: Authorized Recipients]],"",INDEX(G3:G61,MATCH(COUNTY_SELECT,COUNTY_NAME,0)))</f>
        <v/>
      </c>
      <c r="H71" s="738" t="str">
        <f>IF(INDEX(H3:H61,MATCH(COUNTY_SELECT,COUNTY_NAME,0))=Selected_County[[#Headers],[Electronic Timesheets - Enrolled: Active or Leave Ind. Providers]],"",INDEX(H3:H61,MATCH(COUNTY_SELECT,COUNTY_NAME,0)))</f>
        <v/>
      </c>
      <c r="I71" s="738" t="str">
        <f>IF(INDEX(I3:I61,MATCH(COUNTY_SELECT,COUNTY_NAME,0))=Selected_County[[#Headers],[Electronic Visit Verification (EVV): Authorized Recipients ]],"",INDEX(I3:I61,MATCH(COUNTY_SELECT,COUNTY_NAME,0)))</f>
        <v/>
      </c>
      <c r="J71" s="738" t="str">
        <f>IF(INDEX(J3:J61,MATCH(COUNTY_SELECT,COUNTY_NAME,0))=Selected_County[[#Headers],[ Electronic Visit 
Verification (EVV):
Active or Leave
Ind. Providers ]],"",INDEX(J3:J61,MATCH(COUNTY_SELECT,COUNTY_NAME,0)))</f>
        <v/>
      </c>
      <c r="K71" s="738" t="str">
        <f>IF(INDEX(K3:K61,MATCH(COUNTY_SELECT,COUNTY_NAME,0))=Selected_County[[#Headers],[Severely Impaired (SI) Recipients]],"",INDEX(K3:K61,MATCH(COUNTY_SELECT,COUNTY_NAME,0)))</f>
        <v/>
      </c>
      <c r="L71" s="699" t="str">
        <f>IF(INDEX(L3:L61,MATCH(COUNTY_SELECT,COUNTY_NAME,0))=Selected_County[[#Headers],[SI Authorized Hours]],"",INDEX(L3:L61,MATCH(COUNTY_SELECT,COUNTY_NAME,0)))</f>
        <v/>
      </c>
      <c r="M71" s="738" t="str">
        <f>IF(INDEX(M3:M61,MATCH(COUNTY_SELECT,COUNTY_NAME,0))=Selected_County[[#Headers],[Non-Severely Impaired (NSI) Recipients]],"",INDEX(M3:M61,MATCH(COUNTY_SELECT,COUNTY_NAME,0)))</f>
        <v/>
      </c>
      <c r="N71" s="699" t="str">
        <f>IF(INDEX(N3:N61,MATCH(COUNTY_SELECT,COUNTY_NAME,0))=Selected_County[[#Headers],[NSI Authorized Hours]],"",INDEX(N3:N61,MATCH(COUNTY_SELECT,COUNTY_NAME,0)))</f>
        <v/>
      </c>
      <c r="O71" s="738" t="str">
        <f>IF(INDEX(O3:O61,MATCH(COUNTY_SELECT,COUNTY_NAME,0))=Selected_County[[#Headers],[Protective Sup. (PS) Recipients]],"",INDEX(O3:O61,MATCH(COUNTY_SELECT,COUNTY_NAME,0)))</f>
        <v/>
      </c>
      <c r="P71" s="699" t="str">
        <f>IF(INDEX(P3:P61,MATCH(COUNTY_SELECT,COUNTY_NAME,0))=Selected_County[[#Headers],[Protective Sup. (PS) Auth. Hours]],"",INDEX(P3:P61,MATCH(COUNTY_SELECT,COUNTY_NAME,0)))</f>
        <v/>
      </c>
      <c r="Q71" s="738" t="str">
        <f>IF(INDEX(Q3:Q61,MATCH(COUNTY_SELECT,COUNTY_NAME,0))=Selected_County[[#Headers],[Paramedical (PM) Recipients]],"",INDEX(Q3:Q61,MATCH(COUNTY_SELECT,COUNTY_NAME,0)))</f>
        <v/>
      </c>
      <c r="R71" s="699" t="str">
        <f>IF(INDEX(R3:R61,MATCH(COUNTY_SELECT,COUNTY_NAME,0))=Selected_County[[#Headers],[Paramedical (PM) Auth. Hours]],"",INDEX(R3:R61,MATCH(COUNTY_SELECT,COUNTY_NAME,0)))</f>
        <v/>
      </c>
      <c r="S71" s="738" t="str">
        <f>IF(INDEX(S3:S61,MATCH(COUNTY_SELECT,COUNTY_NAME,0))=Selected_County[[#Headers],[Recipients that Entered IHSS as "Aged"]],"",INDEX(S3:S61,MATCH(COUNTY_SELECT,COUNTY_NAME,0)))</f>
        <v/>
      </c>
      <c r="T71" s="699" t="str">
        <f>IF(INDEX(T3:T61,MATCH(COUNTY_SELECT,COUNTY_NAME,0))=Selected_County[[#Headers],[Hours for Recipients that Entered IHSS as "Aged"]],"",INDEX(T3:T61,MATCH(COUNTY_SELECT,COUNTY_NAME,0)))</f>
        <v/>
      </c>
      <c r="U71" s="738" t="str">
        <f>IF(INDEX(U3:U61,MATCH(COUNTY_SELECT,COUNTY_NAME,0))=Selected_County[[#Headers],[Recipients that Entered IHSS as "Blind"]],"",INDEX(U3:U61,MATCH(COUNTY_SELECT,COUNTY_NAME,0)))</f>
        <v/>
      </c>
      <c r="V71" s="699" t="str">
        <f>IF(INDEX(V3:V61,MATCH(COUNTY_SELECT,COUNTY_NAME,0))=Selected_County[[#Headers],[Hours for Recipients that Entered IHSS as "Blind"]],"",INDEX(V3:V61,MATCH(COUNTY_SELECT,COUNTY_NAME,0)))</f>
        <v/>
      </c>
      <c r="W71" s="738" t="str">
        <f>IF(INDEX(W3:W61,MATCH(COUNTY_SELECT,COUNTY_NAME,0))=Selected_County[[#Headers],[Recipients that Entered IHSS as "Disabled"]],"",INDEX(W3:W61,MATCH(COUNTY_SELECT,COUNTY_NAME,0)))</f>
        <v/>
      </c>
      <c r="X71" s="699" t="str">
        <f>IF(INDEX(X3:X61,MATCH(COUNTY_SELECT,COUNTY_NAME,0))=Selected_County[[#Headers],[Hours for Recipients that Entered IHSS as "Disabled"]],"",INDEX(X3:X61,MATCH(COUNTY_SELECT,COUNTY_NAME,0)))</f>
        <v/>
      </c>
      <c r="Y71" s="738" t="str">
        <f>IF(INDEX(Y3:Y61,MATCH(COUNTY_SELECT,COUNTY_NAME,0))=Selected_County[[#Headers],[Active or Leave Ind. Providers]],"",INDEX(Y3:Y61,MATCH(COUNTY_SELECT,COUNTY_NAME,0)))</f>
        <v/>
      </c>
      <c r="Z71" s="738" t="str">
        <f>IF(INDEX(Z3:Z61,MATCH(COUNTY_SELECT,COUNTY_NAME,0))=Selected_County[[#Headers],[Active/Leave Live-In Providers]],"",INDEX(Z3:Z61,MATCH(COUNTY_SELECT,COUNTY_NAME,0)))</f>
        <v/>
      </c>
      <c r="AA71" s="738" t="str">
        <f>IF(INDEX(AA3:AA61,MATCH(COUNTY_SELECT,COUNTY_NAME,0))=Selected_County[[#Headers],[Active/Leave Relatives Providers ]],"",INDEX(AA3:AA61,MATCH(COUNTY_SELECT,COUNTY_NAME,0)))</f>
        <v/>
      </c>
      <c r="AB71" s="738" t="str">
        <f>IF(INDEX(AB3:AB61,MATCH(COUNTY_SELECT,COUNTY_NAME,0))=Selected_County[[#Headers],[Active/Leave Live-In Relative Prov]],"",INDEX(AB3:AB61,MATCH(COUNTY_SELECT,COUNTY_NAME,0)))</f>
        <v/>
      </c>
      <c r="AC71" s="738" t="str">
        <f>IF(INDEX(AC3:AC61,MATCH(COUNTY_SELECT,COUNTY_NAME,0))=Selected_County[[#Headers],[Active/Leave Spouse Providers]],"",INDEX(AC3:AC61,MATCH(COUNTY_SELECT,COUNTY_NAME,0)))</f>
        <v/>
      </c>
      <c r="AD71" s="738" t="str">
        <f>IF(INDEX(AD3:AD61,MATCH(COUNTY_SELECT,COUNTY_NAME,0))=Selected_County[[#Headers],[Active/Leave Parent Providers]],"",INDEX(AD3:AD61,MATCH(COUNTY_SELECT,COUNTY_NAME,0)))</f>
        <v/>
      </c>
      <c r="AE71" s="738" t="str">
        <f>IF(INDEX(AE3:AE61,MATCH(COUNTY_SELECT,COUNTY_NAME,0))=Selected_County[[#Headers],[Recipients in PCSP]],"",INDEX(AE3:AE61,MATCH(COUNTY_SELECT,COUNTY_NAME,0)))</f>
        <v/>
      </c>
      <c r="AF71" s="699" t="str">
        <f>IF(INDEX(AF3:AF61,MATCH(COUNTY_SELECT,COUNTY_NAME,0))=Selected_County[[#Headers],[Hours in PCSP]],"",INDEX(AF3:AF61,MATCH(COUNTY_SELECT,COUNTY_NAME,0)))</f>
        <v/>
      </c>
      <c r="AG71" s="738" t="str">
        <f>IF(INDEX(AG3:AG61,MATCH(COUNTY_SELECT,COUNTY_NAME,0))=Selected_County[[#Headers],[Recipients in CFCO]],"",INDEX(AG3:AG61,MATCH(COUNTY_SELECT,COUNTY_NAME,0)))</f>
        <v/>
      </c>
      <c r="AH71" s="699" t="str">
        <f>IF(INDEX(AH3:AH61,MATCH(COUNTY_SELECT,COUNTY_NAME,0))=Selected_County[[#Headers],[Hours in CFCO]],"",INDEX(AH3:AH61,MATCH(COUNTY_SELECT,COUNTY_NAME,0)))</f>
        <v/>
      </c>
      <c r="AI71" s="738" t="str">
        <f>IF(INDEX(AI3:AI61,MATCH(COUNTY_SELECT,COUNTY_NAME,0))=Selected_County[[#Headers],[Recipients in IPO]],"",INDEX(AI3:AI61,MATCH(COUNTY_SELECT,COUNTY_NAME,0)))</f>
        <v/>
      </c>
      <c r="AJ71" s="699" t="str">
        <f>IF(INDEX(AJ3:AJ61,MATCH(COUNTY_SELECT,COUNTY_NAME,0))=Selected_County[[#Headers],[Hours in IPO]],"",INDEX(AJ3:AJ61,MATCH(COUNTY_SELECT,COUNTY_NAME,0)))</f>
        <v/>
      </c>
      <c r="AK71" s="698" t="str">
        <f>IF(INDEX(AK3:AK61,MATCH(COUNTY_SELECT,COUNTY_NAME,0))=Selected_County[[#Headers],[Recipients in     IHSS-R]],"",INDEX(AK3:AK61,MATCH(COUNTY_SELECT,COUNTY_NAME,0)))</f>
        <v/>
      </c>
      <c r="AL71" s="699" t="str">
        <f>IF(INDEX(AL3:AL61,MATCH(COUNTY_SELECT,COUNTY_NAME,0))=Selected_County[[#Headers],[Hours in     IHSS-R]],"",INDEX(AL3:AL61,MATCH(COUNTY_SELECT,COUNTY_NAME,0)))</f>
        <v/>
      </c>
      <c r="AM71" s="738" t="str">
        <f>IF(INDEX(AM3:AM61,MATCH(COUNTY_SELECT,COUNTY_NAME,0))=Selected_County[[#Headers],[Female]],"",INDEX(AM3:AM61,MATCH(COUNTY_SELECT,COUNTY_NAME,0)))</f>
        <v/>
      </c>
      <c r="AN71" s="738" t="str">
        <f>IF(INDEX(AN3:AN61,MATCH(COUNTY_SELECT,COUNTY_NAME,0))=Selected_County[[#Headers],[Male]],"",INDEX(AN3:AN61,MATCH(COUNTY_SELECT,COUNTY_NAME,0)))</f>
        <v/>
      </c>
      <c r="AO71" s="738" t="str">
        <f>IF(INDEX(AO3:AO61,MATCH(COUNTY_SELECT,COUNTY_NAME,0))=Selected_County[[#Headers],[White]],"",INDEX(AO3:AO61,MATCH(COUNTY_SELECT,COUNTY_NAME,0)))</f>
        <v/>
      </c>
      <c r="AP71" s="738" t="str">
        <f>IF(INDEX(AP3:AP61,MATCH(COUNTY_SELECT,COUNTY_NAME,0))=Selected_County[[#Headers],[Hispanic]],"",INDEX(AP3:AP61,MATCH(COUNTY_SELECT,COUNTY_NAME,0)))</f>
        <v/>
      </c>
      <c r="AQ71" s="738" t="str">
        <f>IF(INDEX(AQ3:AQ61,MATCH(COUNTY_SELECT,COUNTY_NAME,0))=Selected_County[[#Headers],[Black]],"",INDEX(AQ3:AQ61,MATCH(COUNTY_SELECT,COUNTY_NAME,0)))</f>
        <v/>
      </c>
      <c r="AR71" s="738" t="str">
        <f>IF(INDEX(AR3:AR61,MATCH(COUNTY_SELECT,COUNTY_NAME,0))=Selected_County[[#Headers],[Asian or Pacific Islander]],"",INDEX(AR3:AR61,MATCH(COUNTY_SELECT,COUNTY_NAME,0)))</f>
        <v/>
      </c>
      <c r="AS71" s="738" t="str">
        <f>IF(INDEX(AS3:AS61,MATCH(COUNTY_SELECT,COUNTY_NAME,0))=Selected_County[[#Headers],[Alaskan Native or American Indian]],"",INDEX(AS3:AS61,MATCH(COUNTY_SELECT,COUNTY_NAME,0)))</f>
        <v/>
      </c>
      <c r="AT71" s="738" t="str">
        <f>IF(INDEX(AT3:AT61,MATCH(COUNTY_SELECT,COUNTY_NAME,0))=Selected_County[[#Headers],[Filipino]],"",INDEX(AT3:AT61,MATCH(COUNTY_SELECT,COUNTY_NAME,0)))</f>
        <v/>
      </c>
      <c r="AU71" s="738" t="str">
        <f>IF(INDEX(AU3:AU61,MATCH(COUNTY_SELECT,COUNTY_NAME,0))=Selected_County[[#Headers],[No Valid Data Reported]],"",INDEX(AU3:AU61,MATCH(COUNTY_SELECT,COUNTY_NAME,0)))</f>
        <v/>
      </c>
      <c r="AV71" s="738" t="str">
        <f>IF(INDEX(AV3:AV61,MATCH(COUNTY_SELECT,COUNTY_NAME,0))=Selected_County[[#Headers],[Amerasian]],"",INDEX(AV3:AV61,MATCH(COUNTY_SELECT,COUNTY_NAME,0)))</f>
        <v/>
      </c>
      <c r="AW71" s="738" t="str">
        <f>IF(INDEX(AW3:AW61,MATCH(COUNTY_SELECT,COUNTY_NAME,0))=Selected_County[[#Headers],[Chinese]],"",INDEX(AW3:AW61,MATCH(COUNTY_SELECT,COUNTY_NAME,0)))</f>
        <v/>
      </c>
      <c r="AX71" s="738" t="str">
        <f>IF(INDEX(AX3:AX61,MATCH(COUNTY_SELECT,COUNTY_NAME,0))=Selected_County[[#Headers],[Cambodian]],"",INDEX(AX3:AX61,MATCH(COUNTY_SELECT,COUNTY_NAME,0)))</f>
        <v/>
      </c>
      <c r="AY71" s="738" t="str">
        <f>IF(INDEX(AY3:AY61,MATCH(COUNTY_SELECT,COUNTY_NAME,0))=Selected_County[[#Headers],[Japanese]],"",INDEX(AY3:AY61,MATCH(COUNTY_SELECT,COUNTY_NAME,0)))</f>
        <v/>
      </c>
      <c r="AZ71" s="738" t="str">
        <f>IF(INDEX(AZ3:AZ61,MATCH(COUNTY_SELECT,COUNTY_NAME,0))=Selected_County[[#Headers],[Korean]],"",INDEX(AZ3:AZ61,MATCH(COUNTY_SELECT,COUNTY_NAME,0)))</f>
        <v/>
      </c>
      <c r="BA71" s="738" t="str">
        <f>IF(INDEX(BA3:BA61,MATCH(COUNTY_SELECT,COUNTY_NAME,0))=Selected_County[[#Headers],[Samoan]],"",INDEX(BA3:BA61,MATCH(COUNTY_SELECT,COUNTY_NAME,0)))</f>
        <v/>
      </c>
      <c r="BB71" s="738" t="str">
        <f>IF(INDEX(BB3:BB61,MATCH(COUNTY_SELECT,COUNTY_NAME,0))=Selected_County[[#Headers],[Asian Indian]],"",INDEX(BB3:BB61,MATCH(COUNTY_SELECT,COUNTY_NAME,0)))</f>
        <v/>
      </c>
      <c r="BC71" s="738" t="str">
        <f>IF(INDEX(BC3:BC61,MATCH(COUNTY_SELECT,COUNTY_NAME,0))=Selected_County[[#Headers],[Hawaiian]],"",INDEX(BC3:BC61,MATCH(COUNTY_SELECT,COUNTY_NAME,0)))</f>
        <v/>
      </c>
      <c r="BD71" s="738" t="str">
        <f>IF(INDEX(BD3:BD61,MATCH(COUNTY_SELECT,COUNTY_NAME,0))=Selected_County[[#Headers],[Guamanian]],"",INDEX(BD3:BD61,MATCH(COUNTY_SELECT,COUNTY_NAME,0)))</f>
        <v/>
      </c>
      <c r="BE71" s="738" t="str">
        <f>IF(INDEX(BE3:BE61,MATCH(COUNTY_SELECT,COUNTY_NAME,0))=Selected_County[[#Headers],[Laotian]],"",INDEX(BE3:BE61,MATCH(COUNTY_SELECT,COUNTY_NAME,0)))</f>
        <v/>
      </c>
      <c r="BF71" s="738" t="str">
        <f>IF(INDEX(BF3:BF61,MATCH(COUNTY_SELECT,COUNTY_NAME,0))=Selected_County[[#Headers],[Vietnamese]],"",INDEX(BF3:BF61,MATCH(COUNTY_SELECT,COUNTY_NAME,0)))</f>
        <v/>
      </c>
      <c r="BG71" s="738" t="str">
        <f>IF(INDEX(BG3:BG61,MATCH(COUNTY_SELECT,COUNTY_NAME,0))=Selected_County[[#Headers],[Other]],"",INDEX(BG3:BG61,MATCH(COUNTY_SELECT,COUNTY_NAME,0)))</f>
        <v/>
      </c>
      <c r="BH71" s="738" t="str">
        <f>IF(INDEX(BH3:BH61,MATCH(COUNTY_SELECT,COUNTY_NAME,0))=Selected_County[[#Headers],[Recipient Spoken Language - American Sign Language]],"",INDEX(BH3:BH61,MATCH(COUNTY_SELECT,COUNTY_NAME,0)))</f>
        <v/>
      </c>
      <c r="BI71" s="738" t="str">
        <f>IF(INDEX(BI3:BI61,MATCH(COUNTY_SELECT,COUNTY_NAME,0))=Selected_County[[#Headers],[Recipient Spoken Language - Spanish]],"",INDEX(BI3:BI61,MATCH(COUNTY_SELECT,COUNTY_NAME,0)))</f>
        <v/>
      </c>
      <c r="BJ71" s="738" t="str">
        <f>IF(INDEX(BJ3:BJ61,MATCH(COUNTY_SELECT,COUNTY_NAME,0))=Selected_County[[#Headers],[Recipient Spoken Language - Cantonese]],"",INDEX(BJ3:BJ61,MATCH(COUNTY_SELECT,COUNTY_NAME,0)))</f>
        <v/>
      </c>
      <c r="BK71" s="738" t="str">
        <f>IF(INDEX(BK3:BK61,MATCH(COUNTY_SELECT,COUNTY_NAME,0))=Selected_County[[#Headers],[Recipient Spoken Language - Japanese]],"",INDEX(BK3:BK61,MATCH(COUNTY_SELECT,COUNTY_NAME,0)))</f>
        <v/>
      </c>
      <c r="BL71" s="738" t="str">
        <f>IF(INDEX(BL3:BL61,MATCH(COUNTY_SELECT,COUNTY_NAME,0))=Selected_County[[#Headers],[Recipient Spoken Language - Korean]],"",INDEX(BL3:BL61,MATCH(COUNTY_SELECT,COUNTY_NAME,0)))</f>
        <v/>
      </c>
      <c r="BM71" s="738" t="str">
        <f>IF(INDEX(BM3:BM61,MATCH(COUNTY_SELECT,COUNTY_NAME,0))=Selected_County[[#Headers],[Recipient Spoken Language - Tagalog]],"",INDEX(BM3:BM61,MATCH(COUNTY_SELECT,COUNTY_NAME,0)))</f>
        <v/>
      </c>
      <c r="BN71" s="738" t="str">
        <f>IF(INDEX(BN3:BN61,MATCH(COUNTY_SELECT,COUNTY_NAME,0))=Selected_County[[#Headers],[Recipient Spoken Language - Other Non-English]],"",INDEX(BN3:BN61,MATCH(COUNTY_SELECT,COUNTY_NAME,0)))</f>
        <v/>
      </c>
      <c r="BO71" s="738" t="str">
        <f>IF(INDEX(BO3:BO61,MATCH(COUNTY_SELECT,COUNTY_NAME,0))=Selected_County[[#Headers],[Recipient Spoken Language - English]],"",INDEX(BO3:BO61,MATCH(COUNTY_SELECT,COUNTY_NAME,0)))</f>
        <v/>
      </c>
      <c r="BP71" s="738" t="str">
        <f>IF(INDEX(BP3:BP61,MATCH(COUNTY_SELECT,COUNTY_NAME,0))=Selected_County[[#Headers],[Recipient Spoken Language - No Valid Data Reported]],"",INDEX(BP3:BP61,MATCH(COUNTY_SELECT,COUNTY_NAME,0)))</f>
        <v/>
      </c>
      <c r="BQ71" s="738" t="str">
        <f>IF(INDEX(BQ3:BQ61,MATCH(COUNTY_SELECT,COUNTY_NAME,0))=Selected_County[[#Headers],[Recipient Spoken Language - Other Sign Language]],"",INDEX(BQ3:BQ61,MATCH(COUNTY_SELECT,COUNTY_NAME,0)))</f>
        <v/>
      </c>
      <c r="BR71" s="738" t="str">
        <f>IF(INDEX(BR3:BR61,MATCH(COUNTY_SELECT,COUNTY_NAME,0))=Selected_County[[#Headers],[Recipient Spoken Language - Mandarin]],"",INDEX(BR3:BR61,MATCH(COUNTY_SELECT,COUNTY_NAME,0)))</f>
        <v/>
      </c>
      <c r="BS71" s="738" t="str">
        <f>IF(INDEX(BS3:BS61,MATCH(COUNTY_SELECT,COUNTY_NAME,0))=Selected_County[[#Headers],[Recipient Spoken Language - Other Chinese Languages]],"",INDEX(BS3:BS61,MATCH(COUNTY_SELECT,COUNTY_NAME,0)))</f>
        <v/>
      </c>
      <c r="BT71" s="738" t="str">
        <f>IF(INDEX(BT3:BT61,MATCH(COUNTY_SELECT,COUNTY_NAME,0))=Selected_County[[#Headers],[Recipient Spoken Language - Cambodian]],"",INDEX(BT3:BT61,MATCH(COUNTY_SELECT,COUNTY_NAME,0)))</f>
        <v/>
      </c>
      <c r="BU71" s="738" t="str">
        <f>IF(INDEX(BU3:BU61,MATCH(COUNTY_SELECT,COUNTY_NAME,0))=Selected_County[[#Headers],[Recipient Spoken Language - Armenian]],"",INDEX(BU3:BU61,MATCH(COUNTY_SELECT,COUNTY_NAME,0)))</f>
        <v/>
      </c>
      <c r="BV71" s="738" t="str">
        <f>IF(INDEX(BV3:BV61,MATCH(COUNTY_SELECT,COUNTY_NAME,0))=Selected_County[[#Headers],[Recipient Spoken Language - Ilocano]],"",INDEX(BV3:BV61,MATCH(COUNTY_SELECT,COUNTY_NAME,0)))</f>
        <v/>
      </c>
      <c r="BW71" s="738" t="str">
        <f>IF(INDEX(BW3:BW61,MATCH(COUNTY_SELECT,COUNTY_NAME,0))=Selected_County[[#Headers],[Recipient Spoken Language - Mien]],"",INDEX(BW3:BW61,MATCH(COUNTY_SELECT,COUNTY_NAME,0)))</f>
        <v/>
      </c>
      <c r="BX71" s="738" t="str">
        <f>IF(INDEX(BX3:BX61,MATCH(COUNTY_SELECT,COUNTY_NAME,0))=Selected_County[[#Headers],[Recipient Spoken Language - Hmong]],"",INDEX(BX3:BX61,MATCH(COUNTY_SELECT,COUNTY_NAME,0)))</f>
        <v/>
      </c>
      <c r="BY71" s="738" t="str">
        <f>IF(INDEX(BY3:BY61,MATCH(COUNTY_SELECT,COUNTY_NAME,0))=Selected_County[[#Headers],[Recipient Spoken Language - Lao]],"",INDEX(BY3:BY61,MATCH(COUNTY_SELECT,COUNTY_NAME,0)))</f>
        <v/>
      </c>
      <c r="BZ71" s="738" t="str">
        <f>IF(INDEX(BZ3:BZ61,MATCH(COUNTY_SELECT,COUNTY_NAME,0))=Selected_County[[#Headers],[Recipient Spoken Language - Turkish]],"",INDEX(BZ3:BZ61,MATCH(COUNTY_SELECT,COUNTY_NAME,0)))</f>
        <v/>
      </c>
      <c r="CA71" s="738" t="str">
        <f>IF(INDEX(CA3:CA61,MATCH(COUNTY_SELECT,COUNTY_NAME,0))=Selected_County[[#Headers],[Recipient Spoken Language - Hebrew]],"",INDEX(CA3:CA61,MATCH(COUNTY_SELECT,COUNTY_NAME,0)))</f>
        <v/>
      </c>
      <c r="CB71" s="738" t="str">
        <f>IF(INDEX(CB3:CB61,MATCH(COUNTY_SELECT,COUNTY_NAME,0))=Selected_County[[#Headers],[Recipient Spoken Language - French]],"",INDEX(CB3:CB61,MATCH(COUNTY_SELECT,COUNTY_NAME,0)))</f>
        <v/>
      </c>
      <c r="CC71" s="738" t="str">
        <f>IF(INDEX(CC3:CC61,MATCH(COUNTY_SELECT,COUNTY_NAME,0))=Selected_County[[#Headers],[Recipient Spoken Language - Polish]],"",INDEX(CC3:CC61,MATCH(COUNTY_SELECT,COUNTY_NAME,0)))</f>
        <v/>
      </c>
      <c r="CD71" s="738" t="str">
        <f>IF(INDEX(CD3:CD61,MATCH(COUNTY_SELECT,COUNTY_NAME,0))=Selected_County[[#Headers],[Recipient Spoken Language - Russian]],"",INDEX(CD3:CD61,MATCH(COUNTY_SELECT,COUNTY_NAME,0)))</f>
        <v/>
      </c>
      <c r="CE71" s="738" t="str">
        <f>IF(INDEX(CE3:CE61,MATCH(COUNTY_SELECT,COUNTY_NAME,0))=Selected_County[[#Headers],[Recipient Spoken Language - Portuguese]],"",INDEX(CE3:CE61,MATCH(COUNTY_SELECT,COUNTY_NAME,0)))</f>
        <v/>
      </c>
      <c r="CF71" s="738" t="str">
        <f>IF(INDEX(CF3:CF61,MATCH(COUNTY_SELECT,COUNTY_NAME,0))=Selected_County[[#Headers],[Recipient Spoken Language - Italian]],"",INDEX(CF3:CF61,MATCH(COUNTY_SELECT,COUNTY_NAME,0)))</f>
        <v/>
      </c>
      <c r="CG71" s="738" t="str">
        <f>IF(INDEX(CG3:CG61,MATCH(COUNTY_SELECT,COUNTY_NAME,0))=Selected_County[[#Headers],[Recipient Spoken Language - Arabic]],"",INDEX(CG3:CG61,MATCH(COUNTY_SELECT,COUNTY_NAME,0)))</f>
        <v/>
      </c>
      <c r="CH71" s="738" t="str">
        <f>IF(INDEX(CH3:CH61,MATCH(COUNTY_SELECT,COUNTY_NAME,0))=Selected_County[[#Headers],[Recipient Spoken Language - Samoan]],"",INDEX(CH3:CH61,MATCH(COUNTY_SELECT,COUNTY_NAME,0)))</f>
        <v/>
      </c>
      <c r="CI71" s="738" t="str">
        <f>IF(INDEX(CI3:CI61,MATCH(COUNTY_SELECT,COUNTY_NAME,0))=Selected_County[[#Headers],[Recipient Spoken Language - Thai]],"",INDEX(CI3:CI61,MATCH(COUNTY_SELECT,COUNTY_NAME,0)))</f>
        <v/>
      </c>
      <c r="CJ71" s="738" t="str">
        <f>IF(INDEX(CJ3:CJ61,MATCH(COUNTY_SELECT,COUNTY_NAME,0))=Selected_County[[#Headers],[Recipient Spoken Language - Farsi]],"",INDEX(CJ3:CJ61,MATCH(COUNTY_SELECT,COUNTY_NAME,0)))</f>
        <v/>
      </c>
      <c r="CK71" s="738" t="str">
        <f>IF(INDEX(CK3:CK61,MATCH(COUNTY_SELECT,COUNTY_NAME,0))=Selected_County[[#Headers],[Recipient Spoken Language - Vietnamese]],"",INDEX(CK3:CK61,MATCH(COUNTY_SELECT,COUNTY_NAME,0)))</f>
        <v/>
      </c>
      <c r="CL71" s="738" t="str">
        <f>IF(INDEX(CL3:CL61,MATCH(COUNTY_SELECT,COUNTY_NAME,0))=Selected_County[[#Headers],[Recipient Spoken Language - Hindi]],"",INDEX(CL3:CL61,MATCH(COUNTY_SELECT,COUNTY_NAME,0)))</f>
        <v/>
      </c>
      <c r="CM71" s="738" t="str">
        <f>IF(INDEX(CM3:CM61,MATCH(COUNTY_SELECT,COUNTY_NAME,0))=Selected_County[[#Headers],[Recipient Spoken Language - Punjabi]],"",INDEX(CM3:CM61,MATCH(COUNTY_SELECT,COUNTY_NAME,0)))</f>
        <v/>
      </c>
      <c r="CN71" s="738" t="str">
        <f>IF(INDEX(CN3:CN61,MATCH(COUNTY_SELECT,COUNTY_NAME,0))=Selected_County[[#Headers],[Recipient Spoken Language - Ukrainian]],"",INDEX(CN3:CN61,MATCH(COUNTY_SELECT,COUNTY_NAME,0)))</f>
        <v/>
      </c>
      <c r="CO71" s="738" t="str">
        <f>IF(INDEX(CO3:CO61,MATCH(COUNTY_SELECT,COUNTY_NAME,0))=Selected_County[[#Headers],[Provider Spoken - American Sign Language]],"",INDEX(CO3:CO61,MATCH(COUNTY_SELECT,COUNTY_NAME,0)))</f>
        <v/>
      </c>
      <c r="CP71" s="738" t="str">
        <f>IF(INDEX(CP3:CP61,MATCH(COUNTY_SELECT,COUNTY_NAME,0))=Selected_County[[#Headers],[Provider Spoken - Spanish]],"",INDEX(CP3:CP61,MATCH(COUNTY_SELECT,COUNTY_NAME,0)))</f>
        <v/>
      </c>
      <c r="CQ71" s="738" t="str">
        <f>IF(INDEX(CQ3:CQ61,MATCH(COUNTY_SELECT,COUNTY_NAME,0))=Selected_County[[#Headers],[Provider Spoken - Cantonese]],"",INDEX(CQ3:CQ61,MATCH(COUNTY_SELECT,COUNTY_NAME,0)))</f>
        <v/>
      </c>
      <c r="CR71" s="738" t="str">
        <f>IF(INDEX(CR3:CR61,MATCH(COUNTY_SELECT,COUNTY_NAME,0))=Selected_County[[#Headers],[Provider Spoken - Japanese]],"",INDEX(CR3:CR61,MATCH(COUNTY_SELECT,COUNTY_NAME,0)))</f>
        <v/>
      </c>
      <c r="CS71" s="738" t="str">
        <f>IF(INDEX(CS3:CS61,MATCH(COUNTY_SELECT,COUNTY_NAME,0))=Selected_County[[#Headers],[Provider Spoken - Korean]],"",INDEX(CS3:CS61,MATCH(COUNTY_SELECT,COUNTY_NAME,0)))</f>
        <v/>
      </c>
      <c r="CT71" s="738" t="str">
        <f>IF(INDEX(CT3:CT61,MATCH(COUNTY_SELECT,COUNTY_NAME,0))=Selected_County[[#Headers],[Provider Spoken - Tagalog]],"",INDEX(CT3:CT61,MATCH(COUNTY_SELECT,COUNTY_NAME,0)))</f>
        <v/>
      </c>
      <c r="CU71" s="738" t="str">
        <f>IF(INDEX(CU3:CU61,MATCH(COUNTY_SELECT,COUNTY_NAME,0))=Selected_County[[#Headers],[Provider Spoken - Other Non-English]],"",INDEX(CU3:CU61,MATCH(COUNTY_SELECT,COUNTY_NAME,0)))</f>
        <v/>
      </c>
      <c r="CV71" s="738" t="str">
        <f>IF(INDEX(CV3:CV61,MATCH(COUNTY_SELECT,COUNTY_NAME,0))=Selected_County[[#Headers],[Provider Spoken - English]],"",INDEX(CV3:CV61,MATCH(COUNTY_SELECT,COUNTY_NAME,0)))</f>
        <v/>
      </c>
      <c r="CW71" s="738" t="str">
        <f>IF(INDEX(CW3:CW61,MATCH(COUNTY_SELECT,COUNTY_NAME,0))=Selected_County[[#Headers],[Provider Spoken - No Valid Data Reported]],"",INDEX(CW3:CW61,MATCH(COUNTY_SELECT,COUNTY_NAME,0)))</f>
        <v/>
      </c>
      <c r="CX71" s="738" t="str">
        <f>IF(INDEX(CX3:CX61,MATCH(COUNTY_SELECT,COUNTY_NAME,0))=Selected_County[[#Headers],[Provider Spoken - Other Sign Language]],"",INDEX(CX3:CX61,MATCH(COUNTY_SELECT,COUNTY_NAME,0)))</f>
        <v/>
      </c>
      <c r="CY71" s="738" t="str">
        <f>IF(INDEX(CY3:CY61,MATCH(COUNTY_SELECT,COUNTY_NAME,0))=Selected_County[[#Headers],[Provider Spoken - Mandarin]],"",INDEX(CY3:CY61,MATCH(COUNTY_SELECT,COUNTY_NAME,0)))</f>
        <v/>
      </c>
      <c r="CZ71" s="738" t="str">
        <f>IF(INDEX(CZ3:CZ61,MATCH(COUNTY_SELECT,COUNTY_NAME,0))=Selected_County[[#Headers],[Provider Spoken - Other Chinese Languages]],"",INDEX(CZ3:CZ61,MATCH(COUNTY_SELECT,COUNTY_NAME,0)))</f>
        <v/>
      </c>
      <c r="DA71" s="738" t="str">
        <f>IF(INDEX(DA3:DA61,MATCH(COUNTY_SELECT,COUNTY_NAME,0))=Selected_County[[#Headers],[Provider Spoken - Cambodian]],"",INDEX(DA3:DA61,MATCH(COUNTY_SELECT,COUNTY_NAME,0)))</f>
        <v/>
      </c>
      <c r="DB71" s="738" t="str">
        <f>IF(INDEX(DB3:DB61,MATCH(COUNTY_SELECT,COUNTY_NAME,0))=Selected_County[[#Headers],[Provider Spoken - Armenian]],"",INDEX(DB3:DB61,MATCH(COUNTY_SELECT,COUNTY_NAME,0)))</f>
        <v/>
      </c>
      <c r="DC71" s="738" t="str">
        <f>IF(INDEX(DC3:DC61,MATCH(COUNTY_SELECT,COUNTY_NAME,0))=Selected_County[[#Headers],[Provider Spoken - Ilocano]],"",INDEX(DC3:DC61,MATCH(COUNTY_SELECT,COUNTY_NAME,0)))</f>
        <v/>
      </c>
      <c r="DD71" s="738" t="str">
        <f>IF(INDEX(DD3:DD61,MATCH(COUNTY_SELECT,COUNTY_NAME,0))=Selected_County[[#Headers],[Provider Spoken - Mien]],"",INDEX(DD3:DD61,MATCH(COUNTY_SELECT,COUNTY_NAME,0)))</f>
        <v/>
      </c>
      <c r="DE71" s="738" t="str">
        <f>IF(INDEX(DE3:DE61,MATCH(COUNTY_SELECT,COUNTY_NAME,0))=Selected_County[[#Headers],[Provider Spoken - Hmong]],"",INDEX(DE3:DE61,MATCH(COUNTY_SELECT,COUNTY_NAME,0)))</f>
        <v/>
      </c>
      <c r="DF71" s="738" t="str">
        <f>IF(INDEX(DF3:DF61,MATCH(COUNTY_SELECT,COUNTY_NAME,0))=Selected_County[[#Headers],[Provider Spoken - Lao]],"",INDEX(DF3:DF61,MATCH(COUNTY_SELECT,COUNTY_NAME,0)))</f>
        <v/>
      </c>
      <c r="DG71" s="738" t="str">
        <f>IF(INDEX(DG3:DG61,MATCH(COUNTY_SELECT,COUNTY_NAME,0))=Selected_County[[#Headers],[Provider Spoken - Turkish]],"",INDEX(DG3:DG61,MATCH(COUNTY_SELECT,COUNTY_NAME,0)))</f>
        <v/>
      </c>
      <c r="DH71" s="738" t="str">
        <f>IF(INDEX(DH3:DH61,MATCH(COUNTY_SELECT,COUNTY_NAME,0))=Selected_County[[#Headers],[Provider Spoken - Hebrew]],"",INDEX(DH3:DH61,MATCH(COUNTY_SELECT,COUNTY_NAME,0)))</f>
        <v/>
      </c>
      <c r="DI71" s="738" t="str">
        <f>IF(INDEX(DI3:DI61,MATCH(COUNTY_SELECT,COUNTY_NAME,0))=Selected_County[[#Headers],[Provider Spoken - French]],"",INDEX(DI3:DI61,MATCH(COUNTY_SELECT,COUNTY_NAME,0)))</f>
        <v/>
      </c>
      <c r="DJ71" s="738" t="str">
        <f>IF(INDEX(DJ3:DJ61,MATCH(COUNTY_SELECT,COUNTY_NAME,0))=Selected_County[[#Headers],[Provider Spoken - Polish]],"",INDEX(DJ3:DJ61,MATCH(COUNTY_SELECT,COUNTY_NAME,0)))</f>
        <v/>
      </c>
      <c r="DK71" s="738" t="str">
        <f>IF(INDEX(DK3:DK61,MATCH(COUNTY_SELECT,COUNTY_NAME,0))=Selected_County[[#Headers],[Provider Spoken - Russian]],"",INDEX(DK3:DK61,MATCH(COUNTY_SELECT,COUNTY_NAME,0)))</f>
        <v/>
      </c>
      <c r="DL71" s="738" t="str">
        <f>IF(INDEX(DL3:DL61,MATCH(COUNTY_SELECT,COUNTY_NAME,0))=Selected_County[[#Headers],[Provider Spoken - Portuguese]],"",INDEX(DL3:DL61,MATCH(COUNTY_SELECT,COUNTY_NAME,0)))</f>
        <v/>
      </c>
      <c r="DM71" s="738" t="str">
        <f>IF(INDEX(DM3:DM61,MATCH(COUNTY_SELECT,COUNTY_NAME,0))=Selected_County[[#Headers],[Provider Spoken - Italian]],"",INDEX(DM3:DM61,MATCH(COUNTY_SELECT,COUNTY_NAME,0)))</f>
        <v/>
      </c>
      <c r="DN71" s="738" t="str">
        <f>IF(INDEX(DN3:DN61,MATCH(COUNTY_SELECT,COUNTY_NAME,0))=Selected_County[[#Headers],[Provider Spoken - Arabic]],"",INDEX(DN3:DN61,MATCH(COUNTY_SELECT,COUNTY_NAME,0)))</f>
        <v/>
      </c>
      <c r="DO71" s="738" t="str">
        <f>IF(INDEX(DO3:DO61,MATCH(COUNTY_SELECT,COUNTY_NAME,0))=Selected_County[[#Headers],[Provider Spoken - Samoan]],"",INDEX(DO3:DO61,MATCH(COUNTY_SELECT,COUNTY_NAME,0)))</f>
        <v/>
      </c>
      <c r="DP71" s="738" t="str">
        <f>IF(INDEX(DP3:DP61,MATCH(COUNTY_SELECT,COUNTY_NAME,0))=Selected_County[[#Headers],[Provider Spoken - Thai]],"",INDEX(DP3:DP61,MATCH(COUNTY_SELECT,COUNTY_NAME,0)))</f>
        <v/>
      </c>
      <c r="DQ71" s="738" t="str">
        <f>IF(INDEX(DQ3:DQ61,MATCH(COUNTY_SELECT,COUNTY_NAME,0))=Selected_County[[#Headers],[Provider Spoken - Farsi]],"",INDEX(DQ3:DQ61,MATCH(COUNTY_SELECT,COUNTY_NAME,0)))</f>
        <v/>
      </c>
      <c r="DR71" s="738" t="str">
        <f>IF(INDEX(DR3:DR61,MATCH(COUNTY_SELECT,COUNTY_NAME,0))=Selected_County[[#Headers],[Provider Spoken - Vietnamese]],"",INDEX(DR3:DR61,MATCH(COUNTY_SELECT,COUNTY_NAME,0)))</f>
        <v/>
      </c>
      <c r="DS71" s="738" t="str">
        <f>IF(INDEX(DS3:DS61,MATCH(COUNTY_SELECT,COUNTY_NAME,0))=Selected_County[[#Headers],[Provider Spoken - Hindi ]],"",INDEX(DS3:DS61,MATCH(COUNTY_SELECT,COUNTY_NAME,0)))</f>
        <v/>
      </c>
      <c r="DT71" s="738" t="str">
        <f>IF(INDEX(DT3:DT61,MATCH(COUNTY_SELECT,COUNTY_NAME,0))=Selected_County[[#Headers],[Provider Spoken - Punjabi ]],"",INDEX(DT3:DT61,MATCH(COUNTY_SELECT,COUNTY_NAME,0)))</f>
        <v/>
      </c>
      <c r="DU71" s="738" t="str">
        <f>IF(INDEX(DU3:DU61,MATCH(COUNTY_SELECT,COUNTY_NAME,0))=Selected_County[[#Headers],[Provider Spoken - Ukrainian ]],"",INDEX(DU3:DU61,MATCH(COUNTY_SELECT,COUNTY_NAME,0)))</f>
        <v/>
      </c>
      <c r="DV71" s="698" t="str">
        <f>IF(INDEX(DV3:DV61,MATCH(COUNTY_SELECT,COUNTY_NAME,0))=Selected_County[[#Headers],[0-17 Age Group (Minors) Recipients]],"",INDEX(DV3:DV61,MATCH(COUNTY_SELECT,COUNTY_NAME,0)))</f>
        <v/>
      </c>
      <c r="DW71" s="699" t="str">
        <f>IF(INDEX(DW3:DW61,MATCH(COUNTY_SELECT,COUNTY_NAME,0))=Selected_County[[#Headers],[0-17 Age Group (Minors) Hours]],"",INDEX(DW3:DW61,MATCH(COUNTY_SELECT,COUNTY_NAME,0)))</f>
        <v/>
      </c>
      <c r="DX71" s="698" t="str">
        <f>IF(INDEX(DX3:DX61,MATCH(COUNTY_SELECT,COUNTY_NAME,0))=Selected_County[[#Headers],[18-44 Age Group Recipients]],"",INDEX(DX3:DX61,MATCH(COUNTY_SELECT,COUNTY_NAME,0)))</f>
        <v/>
      </c>
      <c r="DY71" s="699" t="str">
        <f>IF(INDEX(DY3:DY61,MATCH(COUNTY_SELECT,COUNTY_NAME,0))=Selected_County[[#Headers],[18-44 Age Group Hours]],"",INDEX(DY3:DY61,MATCH(COUNTY_SELECT,COUNTY_NAME,0)))</f>
        <v/>
      </c>
      <c r="DZ71" s="698" t="str">
        <f>IF(INDEX(DZ3:DZ61,MATCH(COUNTY_SELECT,COUNTY_NAME,0))=Selected_County[[#Headers],[45 to 64 Age Group Recipients]],"",INDEX(DZ3:DZ61,MATCH(COUNTY_SELECT,COUNTY_NAME,0)))</f>
        <v/>
      </c>
      <c r="EA71" s="699" t="str">
        <f>IF(INDEX(EA3:EA61,MATCH(COUNTY_SELECT,COUNTY_NAME,0))=Selected_County[[#Headers],[45 to 64 Age Group Hours]],"",INDEX(EA3:EA61,MATCH(COUNTY_SELECT,COUNTY_NAME,0)))</f>
        <v/>
      </c>
      <c r="EB71" s="698" t="str">
        <f>IF(INDEX(EB3:EB61,MATCH(COUNTY_SELECT,COUNTY_NAME,0))=Selected_County[[#Headers],[65 to 74 Age Group Recipients]],"",INDEX(EB3:EB61,MATCH(COUNTY_SELECT,COUNTY_NAME,0)))</f>
        <v/>
      </c>
      <c r="EC71" s="699" t="str">
        <f>IF(INDEX(EC3:EC61,MATCH(COUNTY_SELECT,COUNTY_NAME,0))=Selected_County[[#Headers],[65 to 74 Age Group Hours]],"",INDEX(EC3:EC61,MATCH(COUNTY_SELECT,COUNTY_NAME,0)))</f>
        <v/>
      </c>
      <c r="ED71" s="698" t="str">
        <f>IF(INDEX(ED3:ED61,MATCH(COUNTY_SELECT,COUNTY_NAME,0))=Selected_County[[#Headers],[75 to 84 Age Group Recipients]],"",INDEX(ED3:ED61,MATCH(COUNTY_SELECT,COUNTY_NAME,0)))</f>
        <v/>
      </c>
      <c r="EE71" s="699" t="str">
        <f>IF(INDEX(EE3:EE61,MATCH(COUNTY_SELECT,COUNTY_NAME,0))=Selected_County[[#Headers],[75 to 84 Age Group Hours]],"",INDEX(EE3:EE61,MATCH(COUNTY_SELECT,COUNTY_NAME,0)))</f>
        <v/>
      </c>
      <c r="EF71" s="698" t="str">
        <f>IF(INDEX(EF3:EF61,MATCH(COUNTY_SELECT,COUNTY_NAME,0))=Selected_County[[#Headers],[85+ Age Group Recipients]],"",INDEX(EF3:EF61,MATCH(COUNTY_SELECT,COUNTY_NAME,0)))</f>
        <v/>
      </c>
      <c r="EG71" s="699" t="str">
        <f>IF(INDEX(EG3:EG61,MATCH(COUNTY_SELECT,COUNTY_NAME,0))=Selected_County[[#Headers],[85+ Age Group Hours]],"",INDEX(EG3:EG61,MATCH(COUNTY_SELECT,COUNTY_NAME,0)))</f>
        <v/>
      </c>
      <c r="EH71" s="698" t="str">
        <f>IF(INDEX(EH3:EH61,MATCH(COUNTY_SELECT,COUNTY_NAME,0))=Selected_County[[#Headers],[Domestic Services]],"",INDEX(EH3:EH61,MATCH(COUNTY_SELECT,COUNTY_NAME,0)))</f>
        <v/>
      </c>
      <c r="EI71" s="699" t="str">
        <f>IF(INDEX(EI3:EI61,MATCH(COUNTY_SELECT,COUNTY_NAME,0))=Selected_County[[#Headers],[Domestic Services Hours]],"",INDEX(EI3:EI61,MATCH(COUNTY_SELECT,COUNTY_NAME,0)))</f>
        <v/>
      </c>
      <c r="EJ71" s="698" t="str">
        <f>IF(INDEX(EJ3:EJ61,MATCH(COUNTY_SELECT,COUNTY_NAME,0))=Selected_County[[#Headers],[Meal Prep]],"",INDEX(EJ3:EJ61,MATCH(COUNTY_SELECT,COUNTY_NAME,0)))</f>
        <v/>
      </c>
      <c r="EK71" s="699" t="str">
        <f>IF(INDEX(EK3:EK61,MATCH(COUNTY_SELECT,COUNTY_NAME,0))=Selected_County[[#Headers],[Meal Prep Hours]],"",INDEX(EK3:EK61,MATCH(COUNTY_SELECT,COUNTY_NAME,0)))</f>
        <v/>
      </c>
      <c r="EL71" s="698" t="str">
        <f>IF(INDEX(EL3:EL61,MATCH(COUNTY_SELECT,COUNTY_NAME,0))=Selected_County[[#Headers],[Meal Clean]],"",INDEX(EL3:EL61,MATCH(COUNTY_SELECT,COUNTY_NAME,0)))</f>
        <v/>
      </c>
      <c r="EM71" s="699" t="str">
        <f>IF(INDEX(EM3:EM61,MATCH(COUNTY_SELECT,COUNTY_NAME,0))=Selected_County[[#Headers],[Meal Clean Hours]],"",INDEX(EM3:EM61,MATCH(COUNTY_SELECT,COUNTY_NAME,0)))</f>
        <v/>
      </c>
      <c r="EN71" s="698" t="str">
        <f>IF(INDEX(EN3:EN61,MATCH(COUNTY_SELECT,COUNTY_NAME,0))=Selected_County[[#Headers],[Laundry]],"",INDEX(EN3:EN61,MATCH(COUNTY_SELECT,COUNTY_NAME,0)))</f>
        <v/>
      </c>
      <c r="EO71" s="699" t="str">
        <f>IF(INDEX(EO3:EO61,MATCH(COUNTY_SELECT,COUNTY_NAME,0))=Selected_County[[#Headers],[Laundry Hours]],"",INDEX(EO3:EO61,MATCH(COUNTY_SELECT,COUNTY_NAME,0)))</f>
        <v/>
      </c>
      <c r="EP71" s="698" t="str">
        <f>IF(INDEX(EP3:EP61,MATCH(COUNTY_SELECT,COUNTY_NAME,0))=Selected_County[[#Headers],[Shop Food]],"",INDEX(EP3:EP61,MATCH(COUNTY_SELECT,COUNTY_NAME,0)))</f>
        <v/>
      </c>
      <c r="EQ71" s="699" t="str">
        <f>IF(INDEX(EQ3:EQ61,MATCH(COUNTY_SELECT,COUNTY_NAME,0))=Selected_County[[#Headers],[Shop Food Hours]],"",INDEX(EQ3:EQ61,MATCH(COUNTY_SELECT,COUNTY_NAME,0)))</f>
        <v/>
      </c>
      <c r="ER71" s="698" t="str">
        <f>IF(INDEX(ER3:ER61,MATCH(COUNTY_SELECT,COUNTY_NAME,0))=Selected_County[[#Headers],[Other Errands]],"",INDEX(ER3:ER61,MATCH(COUNTY_SELECT,COUNTY_NAME,0)))</f>
        <v/>
      </c>
      <c r="ES71" s="699" t="str">
        <f>IF(INDEX(ES3:ES61,MATCH(COUNTY_SELECT,COUNTY_NAME,0))=Selected_County[[#Headers],[Other Errands Hours]],"",INDEX(ES3:ES61,MATCH(COUNTY_SELECT,COUNTY_NAME,0)))</f>
        <v/>
      </c>
      <c r="ET71" s="698" t="str">
        <f>IF(INDEX(ET3:ET61,MATCH(COUNTY_SELECT,COUNTY_NAME,0))=Selected_County[[#Headers],[Restaurant Meal]],"",INDEX(ET3:ET61,MATCH(COUNTY_SELECT,COUNTY_NAME,0)))</f>
        <v/>
      </c>
      <c r="EU71" s="698" t="str">
        <f>IF(INDEX(EU3:EU61,MATCH(COUNTY_SELECT,COUNTY_NAME,0))=Selected_County[[#Headers],[Bowl Bladder]],"",INDEX(EU3:EU61,MATCH(COUNTY_SELECT,COUNTY_NAME,0)))</f>
        <v/>
      </c>
      <c r="EV71" s="699" t="str">
        <f>IF(INDEX(EV3:EV61,MATCH(COUNTY_SELECT,COUNTY_NAME,0))=Selected_County[[#Headers],[Bowl Bladder Hours]],"",INDEX(EV3:EV61,MATCH(COUNTY_SELECT,COUNTY_NAME,0)))</f>
        <v/>
      </c>
      <c r="EW71" s="698" t="str">
        <f>IF(INDEX(EW3:EW61,MATCH(COUNTY_SELECT,COUNTY_NAME,0))=Selected_County[[#Headers],[Respiration]],"",INDEX(EW3:EW61,MATCH(COUNTY_SELECT,COUNTY_NAME,0)))</f>
        <v/>
      </c>
      <c r="EX71" s="699" t="str">
        <f>IF(INDEX(EX3:EX61,MATCH(COUNTY_SELECT,COUNTY_NAME,0))=Selected_County[[#Headers],[Respiration Hours]],"",INDEX(EX3:EX61,MATCH(COUNTY_SELECT,COUNTY_NAME,0)))</f>
        <v/>
      </c>
      <c r="EY71" s="698" t="str">
        <f>IF(INDEX(EY3:EY61,MATCH(COUNTY_SELECT,COUNTY_NAME,0))=Selected_County[[#Headers],[Feeding]],"",INDEX(EY3:EY61,MATCH(COUNTY_SELECT,COUNTY_NAME,0)))</f>
        <v/>
      </c>
      <c r="EZ71" s="699" t="str">
        <f>IF(INDEX(EZ3:EZ61,MATCH(COUNTY_SELECT,COUNTY_NAME,0))=Selected_County[[#Headers],[Feeding Hours]],"",INDEX(EZ3:EZ61,MATCH(COUNTY_SELECT,COUNTY_NAME,0)))</f>
        <v/>
      </c>
      <c r="FA71" s="698" t="str">
        <f>IF(INDEX(FA3:FA61,MATCH(COUNTY_SELECT,COUNTY_NAME,0))=Selected_County[[#Headers],[Routing Bed Bath]],"",INDEX(FA3:FA61,MATCH(COUNTY_SELECT,COUNTY_NAME,0)))</f>
        <v/>
      </c>
      <c r="FB71" s="699" t="str">
        <f>IF(INDEX(FB3:FB61,MATCH(COUNTY_SELECT,COUNTY_NAME,0))=Selected_County[[#Headers],[Routing Bed Bath Hours]],"",INDEX(FB3:FB61,MATCH(COUNTY_SELECT,COUNTY_NAME,0)))</f>
        <v/>
      </c>
      <c r="FC71" s="698" t="str">
        <f>IF(INDEX(FC3:FC61,MATCH(COUNTY_SELECT,COUNTY_NAME,0))=Selected_County[[#Headers],[Bath Oral Hyg]],"",INDEX(FC3:FC61,MATCH(COUNTY_SELECT,COUNTY_NAME,0)))</f>
        <v/>
      </c>
      <c r="FD71" s="699" t="str">
        <f>IF(INDEX(FD3:FD61,MATCH(COUNTY_SELECT,COUNTY_NAME,0))=Selected_County[[#Headers],[Bath Oral Hyg Hours]],"",INDEX(FD3:FD61,MATCH(COUNTY_SELECT,COUNTY_NAME,0)))</f>
        <v/>
      </c>
      <c r="FE71" s="698" t="str">
        <f>IF(INDEX(FE3:FE61,MATCH(COUNTY_SELECT,COUNTY_NAME,0))=Selected_County[[#Headers],[Dressing]],"",INDEX(FE3:FE61,MATCH(COUNTY_SELECT,COUNTY_NAME,0)))</f>
        <v/>
      </c>
      <c r="FF71" s="699" t="str">
        <f>IF(INDEX(FF3:FF61,MATCH(COUNTY_SELECT,COUNTY_NAME,0))=Selected_County[[#Headers],[Dressing Hours]],"",INDEX(FF3:FF61,MATCH(COUNTY_SELECT,COUNTY_NAME,0)))</f>
        <v/>
      </c>
      <c r="FG71" s="698" t="str">
        <f>IF(INDEX(FG3:FG61,MATCH(COUNTY_SELECT,COUNTY_NAME,0))=Selected_County[[#Headers],[Rub Skin]],"",INDEX(FG3:FG61,MATCH(COUNTY_SELECT,COUNTY_NAME,0)))</f>
        <v/>
      </c>
      <c r="FH71" s="699" t="str">
        <f>IF(INDEX(FH3:FH61,MATCH(COUNTY_SELECT,COUNTY_NAME,0))=Selected_County[[#Headers],[Rub Skin Hours]],"",INDEX(FH3:FH61,MATCH(COUNTY_SELECT,COUNTY_NAME,0)))</f>
        <v/>
      </c>
      <c r="FI71" s="698" t="str">
        <f>IF(INDEX(FI3:FI61,MATCH(COUNTY_SELECT,COUNTY_NAME,0))=Selected_County[[#Headers],[Transfer]],"",INDEX(FI3:FI61,MATCH(COUNTY_SELECT,COUNTY_NAME,0)))</f>
        <v/>
      </c>
      <c r="FJ71" s="699" t="str">
        <f>IF(INDEX(FJ3:FJ61,MATCH(COUNTY_SELECT,COUNTY_NAME,0))=Selected_County[[#Headers],[Transfer Hours]],"",INDEX(FJ3:FJ61,MATCH(COUNTY_SELECT,COUNTY_NAME,0)))</f>
        <v/>
      </c>
      <c r="FK71" s="698" t="str">
        <f>IF(INDEX(FK3:FK61,MATCH(COUNTY_SELECT,COUNTY_NAME,0))=Selected_County[[#Headers],[Care Prosthetic]],"",INDEX(FK3:FK61,MATCH(COUNTY_SELECT,COUNTY_NAME,0)))</f>
        <v/>
      </c>
      <c r="FL71" s="699" t="str">
        <f>IF(INDEX(FL3:FL61,MATCH(COUNTY_SELECT,COUNTY_NAME,0))=Selected_County[[#Headers],[Care Prosthetic Hours]],"",INDEX(FL3:FL61,MATCH(COUNTY_SELECT,COUNTY_NAME,0)))</f>
        <v/>
      </c>
      <c r="FM71" s="698" t="str">
        <f>IF(INDEX(FM3:FM61,MATCH(COUNTY_SELECT,COUNTY_NAME,0))=Selected_County[[#Headers],[Menstrual Care]],"",INDEX(FM3:FM61,MATCH(COUNTY_SELECT,COUNTY_NAME,0)))</f>
        <v/>
      </c>
      <c r="FN71" s="699" t="str">
        <f>IF(INDEX(FN3:FN61,MATCH(COUNTY_SELECT,COUNTY_NAME,0))=Selected_County[[#Headers],[Menstrual Care Hours]],"",INDEX(FN3:FN61,MATCH(COUNTY_SELECT,COUNTY_NAME,0)))</f>
        <v/>
      </c>
      <c r="FO71" s="698" t="str">
        <f>IF(INDEX(FO3:FO61,MATCH(COUNTY_SELECT,COUNTY_NAME,0))=Selected_County[[#Headers],[Ambulation]],"",INDEX(FO3:FO61,MATCH(COUNTY_SELECT,COUNTY_NAME,0)))</f>
        <v/>
      </c>
      <c r="FP71" s="699" t="str">
        <f>IF(INDEX(FP3:FP61,MATCH(COUNTY_SELECT,COUNTY_NAME,0))=Selected_County[[#Headers],[Ambulation Hours]],"",INDEX(FP3:FP61,MATCH(COUNTY_SELECT,COUNTY_NAME,0)))</f>
        <v/>
      </c>
      <c r="FQ71" s="698" t="str">
        <f>IF(INDEX(FQ3:FQ61,MATCH(COUNTY_SELECT,COUNTY_NAME,0))=Selected_County[[#Headers],[Med Accomp]],"",INDEX(FQ3:FQ61,MATCH(COUNTY_SELECT,COUNTY_NAME,0)))</f>
        <v/>
      </c>
      <c r="FR71" s="699" t="str">
        <f>IF(INDEX(FR3:FR61,MATCH(COUNTY_SELECT,COUNTY_NAME,0))=Selected_County[[#Headers],[Medical Accomp Hours]],"",INDEX(FR3:FR61,MATCH(COUNTY_SELECT,COUNTY_NAME,0)))</f>
        <v/>
      </c>
      <c r="FS71" s="698" t="str">
        <f>IF(INDEX(FS3:FS61,MATCH(COUNTY_SELECT,COUNTY_NAME,0))=Selected_County[[#Headers],[Accomp Alt Res]],"",INDEX(FS3:FS61,MATCH(COUNTY_SELECT,COUNTY_NAME,0)))</f>
        <v/>
      </c>
      <c r="FT71" s="699" t="str">
        <f>IF(INDEX(FT3:FT61,MATCH(COUNTY_SELECT,COUNTY_NAME,0))=Selected_County[[#Headers],[Accomp Alt Res Hours]],"",INDEX(FT3:FT61,MATCH(COUNTY_SELECT,COUNTY_NAME,0)))</f>
        <v/>
      </c>
      <c r="FU71" s="698" t="str">
        <f>IF(INDEX(FU3:FU61,MATCH(COUNTY_SELECT,COUNTY_NAME,0))=Selected_County[[#Headers],[Heavy Clean]],"",INDEX(FU3:FU61,MATCH(COUNTY_SELECT,COUNTY_NAME,0)))</f>
        <v/>
      </c>
      <c r="FV71" s="699" t="str">
        <f>IF(INDEX(FV3:FV61,MATCH(COUNTY_SELECT,COUNTY_NAME,0))=Selected_County[[#Headers],[Heavy Clean Hours]],"",INDEX(FV3:FV61,MATCH(COUNTY_SELECT,COUNTY_NAME,0)))</f>
        <v/>
      </c>
      <c r="FW71" s="698" t="str">
        <f>IF(INDEX(FW3:FW61,MATCH(COUNTY_SELECT,COUNTY_NAME,0))=Selected_County[[#Headers],[Yard Hazard]],"",INDEX(FW3:FW61,MATCH(COUNTY_SELECT,COUNTY_NAME,0)))</f>
        <v/>
      </c>
      <c r="FX71" s="699" t="str">
        <f>IF(INDEX(FX3:FX61,MATCH(COUNTY_SELECT,COUNTY_NAME,0))=Selected_County[[#Headers],[Yard Hazard Hours]],"",INDEX(FX3:FX61,MATCH(COUNTY_SELECT,COUNTY_NAME,0)))</f>
        <v/>
      </c>
      <c r="FY71" s="698" t="str">
        <f>IF(INDEX(FY3:FY61,MATCH(COUNTY_SELECT,COUNTY_NAME,0))=Selected_County[[#Headers],[Snow Ice Remove]],"",INDEX(FY3:FY61,MATCH(COUNTY_SELECT,COUNTY_NAME,0)))</f>
        <v/>
      </c>
      <c r="FZ71" s="699" t="str">
        <f>IF(INDEX(FZ3:FZ61,MATCH(COUNTY_SELECT,COUNTY_NAME,0))=Selected_County[[#Headers],[Snow Ice Remove Hours]],"",INDEX(FZ3:FZ61,MATCH(COUNTY_SELECT,COUNTY_NAME,0)))</f>
        <v/>
      </c>
      <c r="GA71" s="698" t="str">
        <f>IF(INDEX(GA3:GA61,MATCH(COUNTY_SELECT,COUNTY_NAME,0))=Selected_County[[#Headers],[Teach Demo]],"",INDEX(GA3:GA61,MATCH(COUNTY_SELECT,COUNTY_NAME,0)))</f>
        <v/>
      </c>
      <c r="GB71" s="699" t="str">
        <f>IF(INDEX(GB3:GB61,MATCH(COUNTY_SELECT,COUNTY_NAME,0))=Selected_County[[#Headers],[Teach Demo Hours]],"",INDEX(GB3:GB61,MATCH(COUNTY_SELECT,COUNTY_NAME,0)))</f>
        <v/>
      </c>
      <c r="GC71" s="696" t="str">
        <f>IF(INDEX(GC3:GC61,MATCH(COUNTY_SELECT,COUNTY_NAME,0))=Selected_County[[#Headers],[Data Not Reported as of 1/1/2020]],"",INDEX(GC3:GC61,MATCH(COUNTY_SELECT,COUNTY_NAME,0)))</f>
        <v/>
      </c>
      <c r="GD71" s="698" t="str">
        <f>IF(INDEX(GD3:GD61,MATCH(COUNTY_SELECT,COUNTY_NAME,0))=Selected_County[[#Headers],[Telephone Timesheet System (TTS)]],"",INDEX(GD3:GD61,MATCH(COUNTY_SELECT,COUNTY_NAME,0)))</f>
        <v/>
      </c>
      <c r="GE71" s="698" t="str">
        <f>IF(INDEX(GE3:GE61,MATCH(COUNTY_SELECT,COUNTY_NAME,0))=Selected_County[[#Headers],[Large Font Timesheet]],"",INDEX(GE3:GE61,MATCH(COUNTY_SELECT,COUNTY_NAME,0)))</f>
        <v/>
      </c>
      <c r="GF71" s="698" t="str">
        <f>IF(INDEX(GF3:GF61,MATCH(COUNTY_SELECT,COUNTY_NAME,0))=Selected_County[[#Headers],[No Accommodation Needed]],"",INDEX(GF3:GF61,MATCH(COUNTY_SELECT,COUNTY_NAME,0)))</f>
        <v/>
      </c>
      <c r="GG71" s="698" t="str">
        <f>IF(INDEX(GG3:GG61,MATCH(COUNTY_SELECT,COUNTY_NAME,0))=Selected_County[[#Headers],[Audio CD]],"",INDEX(GG3:GG61,MATCH(COUNTY_SELECT,COUNTY_NAME,0)))</f>
        <v/>
      </c>
      <c r="GH71" s="698" t="str">
        <f>IF(INDEX(GH3:GH61,MATCH(COUNTY_SELECT,COUNTY_NAME,0))=Selected_County[[#Headers],[Braille Documents]],"",INDEX(GH3:GH61,MATCH(COUNTY_SELECT,COUNTY_NAME,0)))</f>
        <v/>
      </c>
      <c r="GI71" s="698" t="str">
        <f>IF(INDEX(GI3:GI61,MATCH(COUNTY_SELECT,COUNTY_NAME,0))=Selected_County[[#Headers],[County Support ]],"",INDEX(GI3:GI61,MATCH(COUNTY_SELECT,COUNTY_NAME,0)))</f>
        <v/>
      </c>
      <c r="GJ71" s="698" t="str">
        <f>IF(INDEX(GJ3:GJ61,MATCH(COUNTY_SELECT,COUNTY_NAME,0))=Selected_County[[#Headers],[Data CD]],"",INDEX(GJ3:GJ61,MATCH(COUNTY_SELECT,COUNTY_NAME,0)))</f>
        <v/>
      </c>
      <c r="GK71" s="698" t="str">
        <f>IF(INDEX(GK3:GK61,MATCH(COUNTY_SELECT,COUNTY_NAME,0))=Selected_County[[#Headers],[Large Font NOA]],"",INDEX(GK3:GK61,MATCH(COUNTY_SELECT,COUNTY_NAME,0)))</f>
        <v/>
      </c>
      <c r="GL71" s="698" t="str">
        <f>IF(INDEX(GL3:GL61,MATCH(COUNTY_SELECT,COUNTY_NAME,0))=Selected_County[[#Headers],[No Accommodation is Needed ]],"",INDEX(GL3:GL61,MATCH(COUNTY_SELECT,COUNTY_NAME,0)))</f>
        <v/>
      </c>
      <c r="GM71" s="698" t="str">
        <f>IF(INDEX(GM3:GM61,MATCH(COUNTY_SELECT,COUNTY_NAME,0))=Selected_County[[#Headers],[Cases Self-Identifying as BVI in CMIPS]],"",INDEX(GM3:GM61,MATCH(COUNTY_SELECT,COUNTY_NAME,0)))</f>
        <v/>
      </c>
      <c r="GN71" s="698" t="str">
        <f>IF(INDEX(GN3:GN61,MATCH(COUNTY_SELECT,COUNTY_NAME,0))=Selected_County[[#Headers],[Reassessments - Outstanding]],"",INDEX(GN3:GN61,MATCH(COUNTY_SELECT,COUNTY_NAME,0)))</f>
        <v/>
      </c>
      <c r="GO71" s="698" t="str">
        <f>IF(INDEX(GO3:GO61,MATCH(COUNTY_SELECT,COUNTY_NAME,0))=Selected_County[[#Headers],[New Applications  (Month)]],"",INDEX(GO3:GO61,MATCH(COUNTY_SELECT,COUNTY_NAME,0)))</f>
        <v/>
      </c>
      <c r="GP71" s="698" t="str">
        <f>IF(INDEX(GP3:GP61,MATCH(COUNTY_SELECT,COUNTY_NAME,0))=Selected_County[[#Headers],[Application Denials Days 0-45]],"",INDEX(GP3:GP61,MATCH(COUNTY_SELECT,COUNTY_NAME,0)))</f>
        <v/>
      </c>
      <c r="GQ71" s="698" t="str">
        <f>IF(INDEX(GQ3:GQ61,MATCH(COUNTY_SELECT,COUNTY_NAME,0))=Selected_County[[#Headers],[Application Denials Days 46-91]],"",INDEX(GQ3:GQ61,MATCH(COUNTY_SELECT,COUNTY_NAME,0)))</f>
        <v/>
      </c>
      <c r="GR71" s="698" t="str">
        <f>IF(INDEX(GR3:GR61,MATCH(COUNTY_SELECT,COUNTY_NAME,0))=Selected_County[[#Headers],[Application Denials Days 90+]],"",INDEX(GR3:GR61,MATCH(COUNTY_SELECT,COUNTY_NAME,0)))</f>
        <v/>
      </c>
      <c r="GS71" s="698" t="str">
        <f>IF(INDEX(GS3:GS61,MATCH(COUNTY_SELECT,COUNTY_NAME,0))=Selected_County[[#Headers],[Application Denials Monthly Denials]],"",INDEX(GS3:GS61,MATCH(COUNTY_SELECT,COUNTY_NAME,0)))</f>
        <v/>
      </c>
      <c r="GT71" s="698" t="str">
        <f>IF(INDEX(GT3:GT61,MATCH(COUNTY_SELECT,COUNTY_NAME,0))=Selected_County[[#Headers],[EFT (Direct Deposit)]],"",INDEX(GT3:GT61,MATCH(COUNTY_SELECT,COUNTY_NAME,0)))</f>
        <v/>
      </c>
      <c r="GU71" s="698" t="str">
        <f>IF(INDEX(GU3:GU61,MATCH(COUNTY_SELECT,COUNTY_NAME,0))=Selected_County[[#Headers],[Violations - With Single Recipient ]],"",INDEX(GU3:GU61,MATCH(COUNTY_SELECT,COUNTY_NAME,0)))</f>
        <v/>
      </c>
      <c r="GV71" s="698" t="str">
        <f>IF(INDEX(GV3:GV61,MATCH(COUNTY_SELECT,COUNTY_NAME,0))=Selected_County[[#Headers],[Violations - Travel]],"",INDEX(GV3:GV61,MATCH(COUNTY_SELECT,COUNTY_NAME,0)))</f>
        <v/>
      </c>
      <c r="GW71" s="698" t="str">
        <f>IF(INDEX(GW3:GW61,MATCH(COUNTY_SELECT,COUNTY_NAME,0))=Selected_County[[#Headers],[Violations - With Multiple Recipients]],"",INDEX(GW3:GW61,MATCH(COUNTY_SELECT,COUNTY_NAME,0)))</f>
        <v/>
      </c>
      <c r="GX71" s="698" t="str">
        <f>IF(INDEX(GX3:GX61,MATCH(COUNTY_SELECT,COUNTY_NAME,0))=Selected_County[[#Headers],[Total Violations]],"",INDEX(GX3:GX61,MATCH(COUNTY_SELECT,COUNTY_NAME,0)))</f>
        <v/>
      </c>
      <c r="GY71" s="698" t="str">
        <f>IF(INDEX(GY3:GY61,MATCH(COUNTY_SELECT,COUNTY_NAME,0))=Selected_County[[#Headers],[Parent Provider (Exemptions 1)]],"",INDEX(GY3:GY61,MATCH(COUNTY_SELECT,COUNTY_NAME,0)))</f>
        <v/>
      </c>
      <c r="GZ71" s="698" t="str">
        <f>IF(INDEX(GZ3:GZ61,MATCH(COUNTY_SELECT,COUNTY_NAME,0))=Selected_County[[#Headers],[Extraordinary Circumstance (Exemptions 2)]],"",INDEX(GZ3:GZ61,MATCH(COUNTY_SELECT,COUNTY_NAME,0)))</f>
        <v/>
      </c>
      <c r="HA71" s="700" t="str">
        <f>IF(INDEX(HA3:HA61,MATCH(COUNTY_SELECT,COUNTY_NAME,0))=Selected_County[[#Headers],[Total Exemptions]],"",INDEX(HA3:HA61,MATCH(COUNTY_SELECT,COUNTY_NAME,0)))</f>
        <v/>
      </c>
      <c r="HB71" s="700" t="str">
        <f>IF(INDEX(HB3:HB61,MATCH(COUNTY_SELECT,COUNTY_NAME,0))=Selected_County[[#Headers],[No longer in own home]],"",INDEX(HB3:HB61,MATCH(COUNTY_SELECT,COUNTY_NAME,0)))</f>
        <v/>
      </c>
      <c r="HC71" s="700" t="str">
        <f>IF(INDEX(HC3:HC61,MATCH(COUNTY_SELECT,COUNTY_NAME,0))=Selected_County[[#Headers],[Recipient Request]],"",INDEX(HC3:HC61,MATCH(COUNTY_SELECT,COUNTY_NAME,0)))</f>
        <v/>
      </c>
      <c r="HD71" s="700" t="str">
        <f>IF(INDEX(HD3:HD61,MATCH(COUNTY_SELECT,COUNTY_NAME,0))=Selected_County[[#Headers],[Did not pay Share of Cost]],"",INDEX(HD3:HD61,MATCH(COUNTY_SELECT,COUNTY_NAME,0)))</f>
        <v/>
      </c>
      <c r="HE71" s="700" t="str">
        <f>IF(INDEX(HE3:HE61,MATCH(COUNTY_SELECT,COUNTY_NAME,0))=Selected_County[[#Headers],[Out of State more than 60 days]],"",INDEX(HE3:HE61,MATCH(COUNTY_SELECT,COUNTY_NAME,0)))</f>
        <v/>
      </c>
      <c r="HF71" s="700" t="str">
        <f>IF(INDEX(HF3:HF61,MATCH(COUNTY_SELECT,COUNTY_NAME,0))=Selected_County[[#Headers],[Out of country]],"",INDEX(HF3:HF61,MATCH(COUNTY_SELECT,COUNTY_NAME,0)))</f>
        <v/>
      </c>
      <c r="HG71" s="700" t="str">
        <f>IF(INDEX(HG3:HG61,MATCH(COUNTY_SELECT,COUNTY_NAME,0))=Selected_County[[#Headers],[Moved out of State]],"",INDEX(HG3:HG61,MATCH(COUNTY_SELECT,COUNTY_NAME,0)))</f>
        <v/>
      </c>
      <c r="HH71" s="700" t="str">
        <f>IF(INDEX(HH3:HH61,MATCH(COUNTY_SELECT,COUNTY_NAME,0))=Selected_County[[#Headers],[Failure to cooperate]],"",INDEX(HH3:HH61,MATCH(COUNTY_SELECT,COUNTY_NAME,0)))</f>
        <v/>
      </c>
      <c r="HI71" s="700" t="str">
        <f>IF(INDEX(HI3:HI61,MATCH(COUNTY_SELECT,COUNTY_NAME,0))=Selected_County[[#Headers],[IHSS-R SOC exceeds need]],"",INDEX(HI3:HI61,MATCH(COUNTY_SELECT,COUNTY_NAME,0)))</f>
        <v/>
      </c>
      <c r="HJ71" s="700" t="str">
        <f>IF(INDEX(HJ3:HJ61,MATCH(COUNTY_SELECT,COUNTY_NAME,0))=Selected_County[[#Headers],[No Assessed Need]],"",INDEX(HJ3:HJ61,MATCH(COUNTY_SELECT,COUNTY_NAME,0)))</f>
        <v/>
      </c>
      <c r="HK71" s="700" t="str">
        <f>IF(INDEX(HK3:HK61,MATCH(COUNTY_SELECT,COUNTY_NAME,0))=Selected_County[[#Headers],[Need met through Alternate Resources]],"",INDEX(HK3:HK61,MATCH(COUNTY_SELECT,COUNTY_NAME,0)))</f>
        <v/>
      </c>
      <c r="HL71" s="700" t="str">
        <f>IF(INDEX(HL3:HL61,MATCH(COUNTY_SELECT,COUNTY_NAME,0))=Selected_County[[#Headers],[Non-Compliance with Medi-Cal Eligibility]],"",INDEX(HL3:HL61,MATCH(COUNTY_SELECT,COUNTY_NAME,0)))</f>
        <v/>
      </c>
      <c r="HM71" s="700" t="str">
        <f>IF(INDEX(HM3:HM61,MATCH(COUNTY_SELECT,COUNTY_NAME,0))=Selected_County[[#Headers],[Residence - Hospital]],"",INDEX(HM3:HM61,MATCH(COUNTY_SELECT,COUNTY_NAME,0)))</f>
        <v/>
      </c>
      <c r="HN71" s="700" t="str">
        <f>IF(INDEX(HN3:HN61,MATCH(COUNTY_SELECT,COUNTY_NAME,0))=Selected_County[[#Headers],[Residence - Intermediate Care Facility]],"",INDEX(HN3:HN61,MATCH(COUNTY_SELECT,COUNTY_NAME,0)))</f>
        <v/>
      </c>
      <c r="HO71" s="700" t="str">
        <f>IF(INDEX(HO3:HO61,MATCH(COUNTY_SELECT,COUNTY_NAME,0))=Selected_County[[#Headers],[Residence - Skilled Nursing Facility]],"",INDEX(HO3:HO61,MATCH(COUNTY_SELECT,COUNTY_NAME,0)))</f>
        <v/>
      </c>
      <c r="HP71" s="700" t="str">
        <f>IF(INDEX(HP3:HP61,MATCH(COUNTY_SELECT,COUNTY_NAME,0))=Selected_County[[#Headers],[Residence - Community Care Facility]],"",INDEX(HP3:HP61,MATCH(COUNTY_SELECT,COUNTY_NAME,0)))</f>
        <v/>
      </c>
      <c r="HQ71" s="700" t="str">
        <f>IF(INDEX(HQ3:HQ61,MATCH(COUNTY_SELECT,COUNTY_NAME,0))=Selected_County[[#Headers],[Whereabouts unknown]],"",INDEX(HQ3:HQ61,MATCH(COUNTY_SELECT,COUNTY_NAME,0)))</f>
        <v/>
      </c>
      <c r="HR71" s="700" t="str">
        <f>IF(INDEX(HR3:HR61,MATCH(COUNTY_SELECT,COUNTY_NAME,0))=Selected_County[[#Headers],[Recipient Death]],"",INDEX(HR3:HR61,MATCH(COUNTY_SELECT,COUNTY_NAME,0)))</f>
        <v/>
      </c>
      <c r="HS71" s="700" t="str">
        <f>IF(INDEX(HS3:HS61,MATCH(COUNTY_SELECT,COUNTY_NAME,0))=Selected_County[[#Headers],[Erroneous]],"",INDEX(HS3:HS61,MATCH(COUNTY_SELECT,COUNTY_NAME,0)))</f>
        <v/>
      </c>
      <c r="HT71" s="700" t="str">
        <f>IF(INDEX(HT3:HT61,MATCH(COUNTY_SELECT,COUNTY_NAME,0))=Selected_County[[#Headers],[IHSS-R Excess Resource]],"",INDEX(HT3:HT61,MATCH(COUNTY_SELECT,COUNTY_NAME,0)))</f>
        <v/>
      </c>
      <c r="HU71" s="700" t="str">
        <f>IF(INDEX(HU3:HU61,MATCH(COUNTY_SELECT,COUNTY_NAME,0))=Selected_County[[#Headers],[Invalid SSN]],"",INDEX(HU3:HU61,MATCH(COUNTY_SELECT,COUNTY_NAME,0)))</f>
        <v/>
      </c>
      <c r="HV71" s="700" t="str">
        <f>IF(INDEX(HV3:HV61,MATCH(COUNTY_SELECT,COUNTY_NAME,0))=Selected_County[[#Headers],[Terminations - Duplicate SSN]],"",INDEX(HV3:HV61,MATCH(COUNTY_SELECT,COUNTY_NAME,0)))</f>
        <v/>
      </c>
      <c r="HW71" s="700" t="str">
        <f>IF(INDEX(HW3:HW61,MATCH(COUNTY_SELECT,COUNTY_NAME,0))=Selected_County[[#Headers],[Health Care Certification - Not Received]],"",INDEX(HW3:HW61,MATCH(COUNTY_SELECT,COUNTY_NAME,0)))</f>
        <v/>
      </c>
      <c r="HX71" s="700" t="str">
        <f>IF(INDEX(HX3:HX61,MATCH(COUNTY_SELECT,COUNTY_NAME,0))=Selected_County[[#Headers],[Health Care Certification - No Need]],"",INDEX(HX3:HX61,MATCH(COUNTY_SELECT,COUNTY_NAME,0)))</f>
        <v/>
      </c>
      <c r="HY71" s="700" t="str">
        <f>IF(INDEX(HY3:HY61,MATCH(COUNTY_SELECT,COUNTY_NAME,0))=Selected_County[[#Headers],[Medi- Cal Restored]],"",INDEX(HY3:HY61,MATCH(COUNTY_SELECT,COUNTY_NAME,0)))</f>
        <v/>
      </c>
      <c r="HZ71" s="700" t="str">
        <f>IF(INDEX(HZ3:HZ61,MATCH(COUNTY_SELECT,COUNTY_NAME,0))=Selected_County[[#Headers],[White Apps Equity]],"",INDEX(HZ3:HZ61,MATCH(COUNTY_SELECT,COUNTY_NAME,0)))</f>
        <v/>
      </c>
      <c r="IA71" s="700" t="str">
        <f>IF(INDEX(IA3:IA61,MATCH(COUNTY_SELECT,COUNTY_NAME,0))=Selected_County[[#Headers],[Hispanic Apps Equity]],"",INDEX(IA3:IA61,MATCH(COUNTY_SELECT,COUNTY_NAME,0)))</f>
        <v/>
      </c>
      <c r="IB71" s="700" t="str">
        <f>IF(INDEX(IB3:IB61,MATCH(COUNTY_SELECT,COUNTY_NAME,0))=Selected_County[[#Headers],[Black Apps Equity]],"",INDEX(IB3:IB61,MATCH(COUNTY_SELECT,COUNTY_NAME,0)))</f>
        <v/>
      </c>
      <c r="IC71" s="700" t="str">
        <f>IF(INDEX(IC3:IC61,MATCH(COUNTY_SELECT,COUNTY_NAME,0))=Selected_County[[#Headers],[Asian Pacific Apps Equity]],"",INDEX(IC3:IC61,MATCH(COUNTY_SELECT,COUNTY_NAME,0)))</f>
        <v/>
      </c>
      <c r="ID71" s="700" t="str">
        <f>IF(INDEX(ID3:ID61,MATCH(COUNTY_SELECT,COUNTY_NAME,0))=Selected_County[[#Headers],[Alaskan Native Apps Equity]],"",INDEX(ID3:ID61,MATCH(COUNTY_SELECT,COUNTY_NAME,0)))</f>
        <v/>
      </c>
      <c r="IE71" s="700" t="str">
        <f>IF(INDEX(IE3:IE61,MATCH(COUNTY_SELECT,COUNTY_NAME,0))=Selected_County[[#Headers],[Filipino Apps Equity]],"",INDEX(IE3:IE61,MATCH(COUNTY_SELECT,COUNTY_NAME,0)))</f>
        <v/>
      </c>
      <c r="IF71" s="700" t="str">
        <f>IF(INDEX(IF3:IF61,MATCH(COUNTY_SELECT,COUNTY_NAME,0))=Selected_County[[#Headers],[No Valid Data Apps Equity]],"",INDEX(IF3:IF61,MATCH(COUNTY_SELECT,COUNTY_NAME,0)))</f>
        <v/>
      </c>
      <c r="IG71" s="700" t="str">
        <f>IF(INDEX(IG3:IG61,MATCH(COUNTY_SELECT,COUNTY_NAME,0))=Selected_County[[#Headers],[Amerasion Apps Equity]],"",INDEX(IG3:IG61,MATCH(COUNTY_SELECT,COUNTY_NAME,0)))</f>
        <v/>
      </c>
      <c r="IH71" s="700" t="str">
        <f>IF(INDEX(IH3:IH61,MATCH(COUNTY_SELECT,COUNTY_NAME,0))=Selected_County[[#Headers],[Chinese Apps Equity]],"",INDEX(IH3:IH61,MATCH(COUNTY_SELECT,COUNTY_NAME,0)))</f>
        <v/>
      </c>
      <c r="II71" s="700" t="str">
        <f>IF(INDEX(II3:II61,MATCH(COUNTY_SELECT,COUNTY_NAME,0))=Selected_County[[#Headers],[Cambodian Apps Equity]],"",INDEX(II3:II61,MATCH(COUNTY_SELECT,COUNTY_NAME,0)))</f>
        <v/>
      </c>
      <c r="IJ71" s="700" t="str">
        <f>IF(INDEX(IJ3:IJ61,MATCH(COUNTY_SELECT,COUNTY_NAME,0))=Selected_County[[#Headers],[Japanese Apps Equity]],"",INDEX(IJ3:IJ61,MATCH(COUNTY_SELECT,COUNTY_NAME,0)))</f>
        <v/>
      </c>
      <c r="IK71" s="700" t="str">
        <f>IF(INDEX(IK3:IK61,MATCH(COUNTY_SELECT,COUNTY_NAME,0))=Selected_County[[#Headers],[Korean Apps Equity]],"",INDEX(IK3:IK61,MATCH(COUNTY_SELECT,COUNTY_NAME,0)))</f>
        <v/>
      </c>
      <c r="IL71" s="700" t="str">
        <f>IF(INDEX(IL3:IL61,MATCH(COUNTY_SELECT,COUNTY_NAME,0))=Selected_County[[#Headers],[Samoan Apps Equity]],"",INDEX(IL3:IL61,MATCH(COUNTY_SELECT,COUNTY_NAME,0)))</f>
        <v/>
      </c>
      <c r="IM71" s="700" t="str">
        <f>IF(INDEX(IM3:IM61,MATCH(COUNTY_SELECT,COUNTY_NAME,0))=Selected_County[[#Headers],[Asian Indian Apps Equity]],"",INDEX(IM3:IM61,MATCH(COUNTY_SELECT,COUNTY_NAME,0)))</f>
        <v/>
      </c>
      <c r="IN71" s="700" t="str">
        <f>IF(INDEX(IN3:IN61,MATCH(COUNTY_SELECT,COUNTY_NAME,0))=Selected_County[[#Headers],[Hawaiian Apps Equity]],"",INDEX(IN3:IN61,MATCH(COUNTY_SELECT,COUNTY_NAME,0)))</f>
        <v/>
      </c>
      <c r="IO71" s="700" t="str">
        <f>IF(INDEX(IO3:IO61,MATCH(COUNTY_SELECT,COUNTY_NAME,0))=Selected_County[[#Headers],[Guamanian Apps Equity]],"",INDEX(IO3:IO61,MATCH(COUNTY_SELECT,COUNTY_NAME,0)))</f>
        <v/>
      </c>
      <c r="IP71" s="700" t="str">
        <f>IF(INDEX(IP3:IP61,MATCH(COUNTY_SELECT,COUNTY_NAME,0))=Selected_County[[#Headers],[Laotian Apps Equity]],"",INDEX(IP3:IP61,MATCH(COUNTY_SELECT,COUNTY_NAME,0)))</f>
        <v/>
      </c>
      <c r="IQ71" s="700" t="str">
        <f>IF(INDEX(IQ3:IQ61,MATCH(COUNTY_SELECT,COUNTY_NAME,0))=Selected_County[[#Headers],[Vietnamese Apps Equity]],"",INDEX(IQ3:IQ61,MATCH(COUNTY_SELECT,COUNTY_NAME,0)))</f>
        <v/>
      </c>
      <c r="IR71" s="700" t="str">
        <f>IF(INDEX(IR3:IR61,MATCH(COUNTY_SELECT,COUNTY_NAME,0))=Selected_County[[#Headers],[Other Apps Equity]],"",INDEX(IR3:IR61,MATCH(COUNTY_SELECT,COUNTY_NAME,0)))</f>
        <v/>
      </c>
      <c r="IS71" s="700" t="str">
        <f>IF(INDEX(IS3:IS61,MATCH(COUNTY_SELECT,COUNTY_NAME,0))=Selected_County[[#Headers],[White Denials Equity]],"",INDEX(IS3:IS61,MATCH(COUNTY_SELECT,COUNTY_NAME,0)))</f>
        <v/>
      </c>
      <c r="IT71" s="700" t="str">
        <f>IF(INDEX(IT3:IT61,MATCH(COUNTY_SELECT,COUNTY_NAME,0))=Selected_County[[#Headers],[Hispanic Denials Equity]],"",INDEX(IT3:IT61,MATCH(COUNTY_SELECT,COUNTY_NAME,0)))</f>
        <v/>
      </c>
      <c r="IU71" s="700" t="str">
        <f>IF(INDEX(IU3:IU61,MATCH(COUNTY_SELECT,COUNTY_NAME,0))=Selected_County[[#Headers],[Black Denials Equity]],"",INDEX(IU3:IU61,MATCH(COUNTY_SELECT,COUNTY_NAME,0)))</f>
        <v/>
      </c>
      <c r="IV71" s="700" t="str">
        <f>IF(INDEX(IV3:IV61,MATCH(COUNTY_SELECT,COUNTY_NAME,0))=Selected_County[[#Headers],[Asian Pacific Denials Equity]],"",INDEX(IV3:IV61,MATCH(COUNTY_SELECT,COUNTY_NAME,0)))</f>
        <v/>
      </c>
      <c r="IW71" s="700" t="str">
        <f>IF(INDEX(IW3:IW61,MATCH(COUNTY_SELECT,COUNTY_NAME,0))=Selected_County[[#Headers],[Alaskan Native Denials Equity]],"",INDEX(IW3:IW61,MATCH(COUNTY_SELECT,COUNTY_NAME,0)))</f>
        <v/>
      </c>
      <c r="IX71" s="700" t="str">
        <f>IF(INDEX(IX3:IX61,MATCH(COUNTY_SELECT,COUNTY_NAME,0))=Selected_County[[#Headers],[Filipino Denials Equity]],"",INDEX(IX3:IX61,MATCH(COUNTY_SELECT,COUNTY_NAME,0)))</f>
        <v/>
      </c>
      <c r="IY71" s="700" t="str">
        <f>IF(INDEX(IY3:IY61,MATCH(COUNTY_SELECT,COUNTY_NAME,0))=Selected_County[[#Headers],[No Valid Data Denials Equity]],"",INDEX(IY3:IY61,MATCH(COUNTY_SELECT,COUNTY_NAME,0)))</f>
        <v/>
      </c>
      <c r="IZ71" s="700" t="str">
        <f>IF(INDEX(IZ3:IZ61,MATCH(COUNTY_SELECT,COUNTY_NAME,0))=Selected_County[[#Headers],[Amerasion Denials Equity]],"",INDEX(IZ3:IZ61,MATCH(COUNTY_SELECT,COUNTY_NAME,0)))</f>
        <v/>
      </c>
      <c r="JA71" s="700" t="str">
        <f>IF(INDEX(JA3:JA61,MATCH(COUNTY_SELECT,COUNTY_NAME,0))=Selected_County[[#Headers],[Chinese Denials Equity]],"",INDEX(JA3:JA61,MATCH(COUNTY_SELECT,COUNTY_NAME,0)))</f>
        <v/>
      </c>
      <c r="JB71" s="700" t="str">
        <f>IF(INDEX(JB3:JB61,MATCH(COUNTY_SELECT,COUNTY_NAME,0))=Selected_County[[#Headers],[Cambodian Denials Equity]],"",INDEX(JB3:JB61,MATCH(COUNTY_SELECT,COUNTY_NAME,0)))</f>
        <v/>
      </c>
      <c r="JC71" s="700" t="str">
        <f>IF(INDEX(JC3:JC61,MATCH(COUNTY_SELECT,COUNTY_NAME,0))=Selected_County[[#Headers],[Japanese Denials Equity]],"",INDEX(JC3:JC61,MATCH(COUNTY_SELECT,COUNTY_NAME,0)))</f>
        <v/>
      </c>
      <c r="JD71" s="700" t="str">
        <f>IF(INDEX(JD3:JD61,MATCH(COUNTY_SELECT,COUNTY_NAME,0))=Selected_County[[#Headers],[Korean Denials Equity]],"",INDEX(JD3:JD61,MATCH(COUNTY_SELECT,COUNTY_NAME,0)))</f>
        <v/>
      </c>
      <c r="JE71" s="700" t="str">
        <f>IF(INDEX(JE3:JE61,MATCH(COUNTY_SELECT,COUNTY_NAME,0))=Selected_County[[#Headers],[Samoan Denials Equity]],"",INDEX(JE3:JE61,MATCH(COUNTY_SELECT,COUNTY_NAME,0)))</f>
        <v/>
      </c>
      <c r="JF71" s="700" t="str">
        <f>IF(INDEX(JF3:JF61,MATCH(COUNTY_SELECT,COUNTY_NAME,0))=Selected_County[[#Headers],[Asian Indian Denials Equity]],"",INDEX(JF3:JF61,MATCH(COUNTY_SELECT,COUNTY_NAME,0)))</f>
        <v/>
      </c>
      <c r="JG71" s="700" t="str">
        <f>IF(INDEX(JG3:JG61,MATCH(COUNTY_SELECT,COUNTY_NAME,0))=Selected_County[[#Headers],[Hawaiian Denials Equity]],"",INDEX(JG3:JG61,MATCH(COUNTY_SELECT,COUNTY_NAME,0)))</f>
        <v/>
      </c>
      <c r="JH71" s="700" t="str">
        <f>IF(INDEX(JH3:JH61,MATCH(COUNTY_SELECT,COUNTY_NAME,0))=Selected_County[[#Headers],[Guamanian Denials Equity]],"",INDEX(JH3:JH61,MATCH(COUNTY_SELECT,COUNTY_NAME,0)))</f>
        <v/>
      </c>
      <c r="JI71" s="700" t="str">
        <f>IF(INDEX(JI3:JI61,MATCH(COUNTY_SELECT,COUNTY_NAME,0))=Selected_County[[#Headers],[Laotian Denials Equity]],"",INDEX(JI3:JI61,MATCH(COUNTY_SELECT,COUNTY_NAME,0)))</f>
        <v/>
      </c>
      <c r="JJ71" s="700" t="str">
        <f>IF(INDEX(JJ3:JJ61,MATCH(COUNTY_SELECT,COUNTY_NAME,0))=Selected_County[[#Headers],[Vietnamese Denials Equity]],"",INDEX(JJ3:JJ61,MATCH(COUNTY_SELECT,COUNTY_NAME,0)))</f>
        <v/>
      </c>
      <c r="JK71" s="700" t="str">
        <f>IF(INDEX(JK3:JK61,MATCH(COUNTY_SELECT,COUNTY_NAME,0))=Selected_County[[#Headers],[Other Denials Equity]],"",INDEX(JK3:JK61,MATCH(COUNTY_SELECT,COUNTY_NAME,0)))</f>
        <v/>
      </c>
      <c r="JL71" s="700" t="str">
        <f>IF(INDEX(JL3:JL61,MATCH(COUNTY_SELECT,COUNTY_NAME,0))=Selected_County[[#Headers],[White Auth Hours Equity]],"",INDEX(JL3:JL61,MATCH(COUNTY_SELECT,COUNTY_NAME,0)))</f>
        <v/>
      </c>
      <c r="JM71" s="700" t="str">
        <f>IF(INDEX(JM3:JM61,MATCH(COUNTY_SELECT,COUNTY_NAME,0))=Selected_County[[#Headers],[Hispanic Auth Hours Equity]],"",INDEX(JM3:JM61,MATCH(COUNTY_SELECT,COUNTY_NAME,0)))</f>
        <v/>
      </c>
      <c r="JN71" s="700" t="str">
        <f>IF(INDEX(JN3:JN61,MATCH(COUNTY_SELECT,COUNTY_NAME,0))=Selected_County[[#Headers],[Black Auth Hours Equity]],"",INDEX(JN3:JN61,MATCH(COUNTY_SELECT,COUNTY_NAME,0)))</f>
        <v/>
      </c>
      <c r="JO71" s="700" t="str">
        <f>IF(INDEX(JO3:JO61,MATCH(COUNTY_SELECT,COUNTY_NAME,0))=Selected_County[[#Headers],[Asian Pacific Auth Hours Equity]],"",INDEX(JO3:JO61,MATCH(COUNTY_SELECT,COUNTY_NAME,0)))</f>
        <v/>
      </c>
      <c r="JP71" s="700" t="str">
        <f>IF(INDEX(JP3:JP61,MATCH(COUNTY_SELECT,COUNTY_NAME,0))=Selected_County[[#Headers],[Alaskan Native Auth Hours Equity]],"",INDEX(JP3:JP61,MATCH(COUNTY_SELECT,COUNTY_NAME,0)))</f>
        <v/>
      </c>
      <c r="JQ71" s="700" t="str">
        <f>IF(INDEX(JQ3:JQ61,MATCH(COUNTY_SELECT,COUNTY_NAME,0))=Selected_County[[#Headers],[Filipino Auth Hours Equity]],"",INDEX(JQ3:JQ61,MATCH(COUNTY_SELECT,COUNTY_NAME,0)))</f>
        <v/>
      </c>
      <c r="JR71" s="700" t="str">
        <f>IF(INDEX(JR3:JR61,MATCH(COUNTY_SELECT,COUNTY_NAME,0))=Selected_County[[#Headers],[No Valid Data Auth Hours Equity]],"",INDEX(JR3:JR61,MATCH(COUNTY_SELECT,COUNTY_NAME,0)))</f>
        <v/>
      </c>
      <c r="JS71" s="700" t="str">
        <f>IF(INDEX(JS3:JS61,MATCH(COUNTY_SELECT,COUNTY_NAME,0))=Selected_County[[#Headers],[Amerasion Auth Hours Equity]],"",INDEX(JS3:JS61,MATCH(COUNTY_SELECT,COUNTY_NAME,0)))</f>
        <v/>
      </c>
      <c r="JT71" s="700" t="str">
        <f>IF(INDEX(JT3:JT61,MATCH(COUNTY_SELECT,COUNTY_NAME,0))=Selected_County[[#Headers],[Chinese Auth Hours Equity]],"",INDEX(JT3:JT61,MATCH(COUNTY_SELECT,COUNTY_NAME,0)))</f>
        <v/>
      </c>
      <c r="JU71" s="700" t="str">
        <f>IF(INDEX(JU3:JU61,MATCH(COUNTY_SELECT,COUNTY_NAME,0))=Selected_County[[#Headers],[Cambodian Auth Hours Equity]],"",INDEX(JU3:JU61,MATCH(COUNTY_SELECT,COUNTY_NAME,0)))</f>
        <v/>
      </c>
      <c r="JV71" s="700" t="str">
        <f>IF(INDEX(JV3:JV61,MATCH(COUNTY_SELECT,COUNTY_NAME,0))=Selected_County[[#Headers],[Japanese Auth Hours Equity]],"",INDEX(JV3:JV61,MATCH(COUNTY_SELECT,COUNTY_NAME,0)))</f>
        <v/>
      </c>
      <c r="JW71" s="700" t="str">
        <f>IF(INDEX(JW3:JW61,MATCH(COUNTY_SELECT,COUNTY_NAME,0))=Selected_County[[#Headers],[Korean Auth Hours Equity]],"",INDEX(JW3:JW61,MATCH(COUNTY_SELECT,COUNTY_NAME,0)))</f>
        <v/>
      </c>
      <c r="JX71" s="700" t="str">
        <f>IF(INDEX(JX3:JX61,MATCH(COUNTY_SELECT,COUNTY_NAME,0))=Selected_County[[#Headers],[Samoan Auth Hours Equity]],"",INDEX(JX3:JX61,MATCH(COUNTY_SELECT,COUNTY_NAME,0)))</f>
        <v/>
      </c>
      <c r="JY71" s="700" t="str">
        <f>IF(INDEX(JY3:JY61,MATCH(COUNTY_SELECT,COUNTY_NAME,0))=Selected_County[[#Headers],[Asian Indian Auth Hours Equity]],"",INDEX(JY3:JY61,MATCH(COUNTY_SELECT,COUNTY_NAME,0)))</f>
        <v/>
      </c>
      <c r="JZ71" s="700" t="str">
        <f>IF(INDEX(JZ3:JZ61,MATCH(COUNTY_SELECT,COUNTY_NAME,0))=Selected_County[[#Headers],[Hawaiian Auth Hours Equity]],"",INDEX(JZ3:JZ61,MATCH(COUNTY_SELECT,COUNTY_NAME,0)))</f>
        <v/>
      </c>
      <c r="KA71" s="700" t="str">
        <f>IF(INDEX(KA3:KA61,MATCH(COUNTY_SELECT,COUNTY_NAME,0))=Selected_County[[#Headers],[Guamanian Auth Hours Equity]],"",INDEX(KA3:KA61,MATCH(COUNTY_SELECT,COUNTY_NAME,0)))</f>
        <v/>
      </c>
      <c r="KB71" s="700" t="str">
        <f>IF(INDEX(KB3:KB61,MATCH(COUNTY_SELECT,COUNTY_NAME,0))=Selected_County[[#Headers],[Laotian Auth Hours Equity]],"",INDEX(KB3:KB61,MATCH(COUNTY_SELECT,COUNTY_NAME,0)))</f>
        <v/>
      </c>
      <c r="KC71" s="700" t="str">
        <f>IF(INDEX(KC3:KC61,MATCH(COUNTY_SELECT,COUNTY_NAME,0))=Selected_County[[#Headers],[Vietnamese Auth Hours Equity]],"",INDEX(KC3:KC61,MATCH(COUNTY_SELECT,COUNTY_NAME,0)))</f>
        <v/>
      </c>
      <c r="KD71" s="700" t="str">
        <f>IF(INDEX(KD3:KD61,MATCH(COUNTY_SELECT,COUNTY_NAME,0))=Selected_County[[#Headers],[Other Auth Hours Equity]],"",INDEX(KD3:KD61,MATCH(COUNTY_SELECT,COUNTY_NAME,0)))</f>
        <v/>
      </c>
      <c r="KE71" s="700" t="str">
        <f>IF(INDEX(KE3:KE61,MATCH(COUNTY_SELECT,COUNTY_NAME,0))=Selected_County[[#Headers],[White PS Equity]],"",INDEX(KE3:KE61,MATCH(COUNTY_SELECT,COUNTY_NAME,0)))</f>
        <v/>
      </c>
      <c r="KF71" s="700" t="str">
        <f>IF(INDEX(KF3:KF61,MATCH(COUNTY_SELECT,COUNTY_NAME,0))=Selected_County[[#Headers],[Hispanic PS Equity]],"",INDEX(KF3:KF61,MATCH(COUNTY_SELECT,COUNTY_NAME,0)))</f>
        <v/>
      </c>
      <c r="KG71" s="700" t="str">
        <f>IF(INDEX(KG3:KG61,MATCH(COUNTY_SELECT,COUNTY_NAME,0))=Selected_County[[#Headers],[Black PS Equity]],"",INDEX(KG3:KG61,MATCH(COUNTY_SELECT,COUNTY_NAME,0)))</f>
        <v/>
      </c>
      <c r="KH71" s="700" t="str">
        <f>IF(INDEX(KH3:KH61,MATCH(COUNTY_SELECT,COUNTY_NAME,0))=Selected_County[[#Headers],[Asian Pacific PS Equity]],"",INDEX(KH3:KH61,MATCH(COUNTY_SELECT,COUNTY_NAME,0)))</f>
        <v/>
      </c>
      <c r="KI71" s="700" t="str">
        <f>IF(INDEX(KI3:KI61,MATCH(COUNTY_SELECT,COUNTY_NAME,0))=Selected_County[[#Headers],[Alaskan Native PS Equity]],"",INDEX(KI3:KI61,MATCH(COUNTY_SELECT,COUNTY_NAME,0)))</f>
        <v/>
      </c>
      <c r="KJ71" s="700" t="str">
        <f>IF(INDEX(KJ3:KJ61,MATCH(COUNTY_SELECT,COUNTY_NAME,0))=Selected_County[[#Headers],[Filipino PS Equity]],"",INDEX(KJ3:KJ61,MATCH(COUNTY_SELECT,COUNTY_NAME,0)))</f>
        <v/>
      </c>
      <c r="KK71" s="700" t="str">
        <f>IF(INDEX(KK3:KK61,MATCH(COUNTY_SELECT,COUNTY_NAME,0))=Selected_County[[#Headers],[No Valid Data PS Equity]],"",INDEX(KK3:KK61,MATCH(COUNTY_SELECT,COUNTY_NAME,0)))</f>
        <v/>
      </c>
      <c r="KL71" s="700" t="str">
        <f>IF(INDEX(KL3:KL61,MATCH(COUNTY_SELECT,COUNTY_NAME,0))=Selected_County[[#Headers],[Amerasion PS Equity]],"",INDEX(KL3:KL61,MATCH(COUNTY_SELECT,COUNTY_NAME,0)))</f>
        <v/>
      </c>
      <c r="KM71" s="700" t="str">
        <f>IF(INDEX(KM3:KM61,MATCH(COUNTY_SELECT,COUNTY_NAME,0))=Selected_County[[#Headers],[Chinese PS Equity]],"",INDEX(KM3:KM61,MATCH(COUNTY_SELECT,COUNTY_NAME,0)))</f>
        <v/>
      </c>
      <c r="KN71" s="700" t="str">
        <f>IF(INDEX(KN3:KN61,MATCH(COUNTY_SELECT,COUNTY_NAME,0))=Selected_County[[#Headers],[Cambodian PS Equity]],"",INDEX(KN3:KN61,MATCH(COUNTY_SELECT,COUNTY_NAME,0)))</f>
        <v/>
      </c>
      <c r="KO71" s="700" t="str">
        <f>IF(INDEX(KO3:KO61,MATCH(COUNTY_SELECT,COUNTY_NAME,0))=Selected_County[[#Headers],[Japanese PS Equity]],"",INDEX(KO3:KO61,MATCH(COUNTY_SELECT,COUNTY_NAME,0)))</f>
        <v/>
      </c>
      <c r="KP71" s="700" t="str">
        <f>IF(INDEX(KP3:KP61,MATCH(COUNTY_SELECT,COUNTY_NAME,0))=Selected_County[[#Headers],[Korean PS Equity]],"",INDEX(KP3:KP61,MATCH(COUNTY_SELECT,COUNTY_NAME,0)))</f>
        <v/>
      </c>
      <c r="KQ71" s="700" t="str">
        <f>IF(INDEX(KQ3:KQ61,MATCH(COUNTY_SELECT,COUNTY_NAME,0))=Selected_County[[#Headers],[Samoan PS Equity]],"",INDEX(KQ3:KQ61,MATCH(COUNTY_SELECT,COUNTY_NAME,0)))</f>
        <v/>
      </c>
      <c r="KR71" s="700" t="str">
        <f>IF(INDEX(KR3:KR61,MATCH(COUNTY_SELECT,COUNTY_NAME,0))=Selected_County[[#Headers],[Asian Indian PS Equity]],"",INDEX(KR3:KR61,MATCH(COUNTY_SELECT,COUNTY_NAME,0)))</f>
        <v/>
      </c>
      <c r="KS71" s="700" t="str">
        <f>IF(INDEX(KS3:KS61,MATCH(COUNTY_SELECT,COUNTY_NAME,0))=Selected_County[[#Headers],[Hawaiian PS Equity]],"",INDEX(KS3:KS61,MATCH(COUNTY_SELECT,COUNTY_NAME,0)))</f>
        <v/>
      </c>
      <c r="KT71" s="700" t="str">
        <f>IF(INDEX(KT3:KT61,MATCH(COUNTY_SELECT,COUNTY_NAME,0))=Selected_County[[#Headers],[Guamanian PS Equity]],"",INDEX(KT3:KT61,MATCH(COUNTY_SELECT,COUNTY_NAME,0)))</f>
        <v/>
      </c>
      <c r="KU71" s="700" t="str">
        <f>IF(INDEX(KU3:KU61,MATCH(COUNTY_SELECT,COUNTY_NAME,0))=Selected_County[[#Headers],[Laotian PS Equity]],"",INDEX(KU3:KU61,MATCH(COUNTY_SELECT,COUNTY_NAME,0)))</f>
        <v/>
      </c>
      <c r="KV71" s="700" t="str">
        <f>IF(INDEX(KV3:KV61,MATCH(COUNTY_SELECT,COUNTY_NAME,0))=Selected_County[[#Headers],[Vietnamese PS Equity]],"",INDEX(KV3:KV61,MATCH(COUNTY_SELECT,COUNTY_NAME,0)))</f>
        <v/>
      </c>
      <c r="KW71" s="700" t="str">
        <f>IF(INDEX(KW3:KW61,MATCH(COUNTY_SELECT,COUNTY_NAME,0))=Selected_County[[#Headers],[Other PS Equity]],"",INDEX(KW3:KW61,MATCH(COUNTY_SELECT,COUNTY_NAME,0)))</f>
        <v/>
      </c>
      <c r="KX71" s="700" t="str">
        <f>IF(INDEX(KX3:KX61,MATCH(COUNTY_SELECT,COUNTY_NAME,0))=Selected_County[[#Headers],[White PM Equity]],"",INDEX(KX3:KX61,MATCH(COUNTY_SELECT,COUNTY_NAME,0)))</f>
        <v/>
      </c>
      <c r="KY71" s="700" t="str">
        <f>IF(INDEX(KY3:KY61,MATCH(COUNTY_SELECT,COUNTY_NAME,0))=Selected_County[[#Headers],[Hispanic PM Equity]],"",INDEX(KY3:KY61,MATCH(COUNTY_SELECT,COUNTY_NAME,0)))</f>
        <v/>
      </c>
      <c r="KZ71" s="700" t="str">
        <f>IF(INDEX(KZ3:KZ61,MATCH(COUNTY_SELECT,COUNTY_NAME,0))=Selected_County[[#Headers],[Black PM Equity]],"",INDEX(KZ3:KZ61,MATCH(COUNTY_SELECT,COUNTY_NAME,0)))</f>
        <v/>
      </c>
      <c r="LA71" s="700" t="str">
        <f>IF(INDEX(LA3:LA61,MATCH(COUNTY_SELECT,COUNTY_NAME,0))=Selected_County[[#Headers],[Asian Pacific PM Equity]],"",INDEX(LA3:LA61,MATCH(COUNTY_SELECT,COUNTY_NAME,0)))</f>
        <v/>
      </c>
      <c r="LB71" s="700" t="str">
        <f>IF(INDEX(LB3:LB61,MATCH(COUNTY_SELECT,COUNTY_NAME,0))=Selected_County[[#Headers],[Alaskan Native PM Equity]],"",INDEX(LB3:LB61,MATCH(COUNTY_SELECT,COUNTY_NAME,0)))</f>
        <v/>
      </c>
      <c r="LC71" s="700" t="str">
        <f>IF(INDEX(LC3:LC61,MATCH(COUNTY_SELECT,COUNTY_NAME,0))=Selected_County[[#Headers],[Filipino PM Equity]],"",INDEX(LC3:LC61,MATCH(COUNTY_SELECT,COUNTY_NAME,0)))</f>
        <v/>
      </c>
      <c r="LD71" s="700" t="str">
        <f>IF(INDEX(LD3:LD61,MATCH(COUNTY_SELECT,COUNTY_NAME,0))=Selected_County[[#Headers],[No Valid Data PM Equity]],"",INDEX(LD3:LD61,MATCH(COUNTY_SELECT,COUNTY_NAME,0)))</f>
        <v/>
      </c>
      <c r="LE71" s="700" t="str">
        <f>IF(INDEX(LE3:LE61,MATCH(COUNTY_SELECT,COUNTY_NAME,0))=Selected_County[[#Headers],[Amerasion PM Equity]],"",INDEX(LE3:LE61,MATCH(COUNTY_SELECT,COUNTY_NAME,0)))</f>
        <v/>
      </c>
      <c r="LF71" s="700" t="str">
        <f>IF(INDEX(LF3:LF61,MATCH(COUNTY_SELECT,COUNTY_NAME,0))=Selected_County[[#Headers],[Chinese PM Equity]],"",INDEX(LF3:LF61,MATCH(COUNTY_SELECT,COUNTY_NAME,0)))</f>
        <v/>
      </c>
      <c r="LG71" s="700" t="str">
        <f>IF(INDEX(LG3:LG61,MATCH(COUNTY_SELECT,COUNTY_NAME,0))=Selected_County[[#Headers],[Cambodian PM Equity]],"",INDEX(LG3:LG61,MATCH(COUNTY_SELECT,COUNTY_NAME,0)))</f>
        <v/>
      </c>
      <c r="LH71" s="700" t="str">
        <f>IF(INDEX(LH3:LH61,MATCH(COUNTY_SELECT,COUNTY_NAME,0))=Selected_County[[#Headers],[Japanese PM Equity]],"",INDEX(LH3:LH61,MATCH(COUNTY_SELECT,COUNTY_NAME,0)))</f>
        <v/>
      </c>
      <c r="LI71" s="700" t="str">
        <f>IF(INDEX(LI3:LI61,MATCH(COUNTY_SELECT,COUNTY_NAME,0))=Selected_County[[#Headers],[Korean PM Equity]],"",INDEX(LI3:LI61,MATCH(COUNTY_SELECT,COUNTY_NAME,0)))</f>
        <v/>
      </c>
      <c r="LJ71" s="700" t="str">
        <f>IF(INDEX(LJ3:LJ61,MATCH(COUNTY_SELECT,COUNTY_NAME,0))=Selected_County[[#Headers],[Samoan PM Equity]],"",INDEX(LJ3:LJ61,MATCH(COUNTY_SELECT,COUNTY_NAME,0)))</f>
        <v/>
      </c>
      <c r="LK71" s="700" t="str">
        <f>IF(INDEX(LK3:LK61,MATCH(COUNTY_SELECT,COUNTY_NAME,0))=Selected_County[[#Headers],[Asian Indian PM Equity]],"",INDEX(LK3:LK61,MATCH(COUNTY_SELECT,COUNTY_NAME,0)))</f>
        <v/>
      </c>
      <c r="LL71" s="700" t="str">
        <f>IF(INDEX(LL3:LL61,MATCH(COUNTY_SELECT,COUNTY_NAME,0))=Selected_County[[#Headers],[Hawaiian PM Equity]],"",INDEX(LL3:LL61,MATCH(COUNTY_SELECT,COUNTY_NAME,0)))</f>
        <v/>
      </c>
      <c r="LM71" s="700" t="str">
        <f>IF(INDEX(LM3:LM61,MATCH(COUNTY_SELECT,COUNTY_NAME,0))=Selected_County[[#Headers],[Guamanian PM Equity]],"",INDEX(LM3:LM61,MATCH(COUNTY_SELECT,COUNTY_NAME,0)))</f>
        <v/>
      </c>
      <c r="LN71" s="700" t="str">
        <f>IF(INDEX(LN3:LN61,MATCH(COUNTY_SELECT,COUNTY_NAME,0))=Selected_County[[#Headers],[Laotian PM Equity]],"",INDEX(LN3:LN61,MATCH(COUNTY_SELECT,COUNTY_NAME,0)))</f>
        <v/>
      </c>
      <c r="LO71" s="700" t="str">
        <f>IF(INDEX(LO3:LO61,MATCH(COUNTY_SELECT,COUNTY_NAME,0))=Selected_County[[#Headers],[Vietnamese PM Equity]],"",INDEX(LO3:LO61,MATCH(COUNTY_SELECT,COUNTY_NAME,0)))</f>
        <v/>
      </c>
      <c r="LP71" s="700" t="str">
        <f>IF(INDEX(LP3:LP61,MATCH(COUNTY_SELECT,COUNTY_NAME,0))=Selected_County[[#Headers],[Other PM Equity]],"",INDEX(LP3:LP61,MATCH(COUNTY_SELECT,COUNTY_NAME,0)))</f>
        <v/>
      </c>
      <c r="LQ71" s="700" t="str">
        <f>IF(INDEX(LQ3:LQ61,MATCH(COUNTY_SELECT,COUNTY_NAME,0))=Selected_County[[#Headers],[White NSI Equity]],"",INDEX(LQ3:LQ61,MATCH(COUNTY_SELECT,COUNTY_NAME,0)))</f>
        <v/>
      </c>
      <c r="LR71" s="700" t="str">
        <f>IF(INDEX(LR3:LR61,MATCH(COUNTY_SELECT,COUNTY_NAME,0))=Selected_County[[#Headers],[Hispanic NSI Equity]],"",INDEX(LR3:LR61,MATCH(COUNTY_SELECT,COUNTY_NAME,0)))</f>
        <v/>
      </c>
      <c r="LS71" s="700" t="str">
        <f>IF(INDEX(LS3:LS61,MATCH(COUNTY_SELECT,COUNTY_NAME,0))=Selected_County[[#Headers],[Black NSI Equity]],"",INDEX(LS3:LS61,MATCH(COUNTY_SELECT,COUNTY_NAME,0)))</f>
        <v/>
      </c>
      <c r="LT71" s="700" t="str">
        <f>IF(INDEX(LT3:LT61,MATCH(COUNTY_SELECT,COUNTY_NAME,0))=Selected_County[[#Headers],[Asian Pacific NSI Equity]],"",INDEX(LT3:LT61,MATCH(COUNTY_SELECT,COUNTY_NAME,0)))</f>
        <v/>
      </c>
      <c r="LU71" s="700" t="str">
        <f>IF(INDEX(LU3:LU61,MATCH(COUNTY_SELECT,COUNTY_NAME,0))=Selected_County[[#Headers],[Alaskan Native NSI Equity]],"",INDEX(LU3:LU61,MATCH(COUNTY_SELECT,COUNTY_NAME,0)))</f>
        <v/>
      </c>
      <c r="LV71" s="700" t="str">
        <f>IF(INDEX(LV3:LV61,MATCH(COUNTY_SELECT,COUNTY_NAME,0))=Selected_County[[#Headers],[Filipino NSI Equity]],"",INDEX(LV3:LV61,MATCH(COUNTY_SELECT,COUNTY_NAME,0)))</f>
        <v/>
      </c>
      <c r="LW71" s="700" t="str">
        <f>IF(INDEX(LW3:LW61,MATCH(COUNTY_SELECT,COUNTY_NAME,0))=Selected_County[[#Headers],[No Valid Data NSI Equity]],"",INDEX(LW3:LW61,MATCH(COUNTY_SELECT,COUNTY_NAME,0)))</f>
        <v/>
      </c>
      <c r="LX71" s="700" t="str">
        <f>IF(INDEX(LX3:LX61,MATCH(COUNTY_SELECT,COUNTY_NAME,0))=Selected_County[[#Headers],[Amerasion NSI Equity]],"",INDEX(LX3:LX61,MATCH(COUNTY_SELECT,COUNTY_NAME,0)))</f>
        <v/>
      </c>
      <c r="LY71" s="700" t="str">
        <f>IF(INDEX(LY3:LY61,MATCH(COUNTY_SELECT,COUNTY_NAME,0))=Selected_County[[#Headers],[Chinese NSI Equity]],"",INDEX(LY3:LY61,MATCH(COUNTY_SELECT,COUNTY_NAME,0)))</f>
        <v/>
      </c>
      <c r="LZ71" s="700" t="str">
        <f>IF(INDEX(LZ3:LZ61,MATCH(COUNTY_SELECT,COUNTY_NAME,0))=Selected_County[[#Headers],[Cambodian NSI Equity]],"",INDEX(LZ3:LZ61,MATCH(COUNTY_SELECT,COUNTY_NAME,0)))</f>
        <v/>
      </c>
      <c r="MA71" s="700" t="str">
        <f>IF(INDEX(MA3:MA61,MATCH(COUNTY_SELECT,COUNTY_NAME,0))=Selected_County[[#Headers],[Japanese NSI Equity]],"",INDEX(MA3:MA61,MATCH(COUNTY_SELECT,COUNTY_NAME,0)))</f>
        <v/>
      </c>
      <c r="MB71" s="700" t="str">
        <f>IF(INDEX(MB3:MB61,MATCH(COUNTY_SELECT,COUNTY_NAME,0))=Selected_County[[#Headers],[Korean NSI Equity]],"",INDEX(MB3:MB61,MATCH(COUNTY_SELECT,COUNTY_NAME,0)))</f>
        <v/>
      </c>
      <c r="MC71" s="700" t="str">
        <f>IF(INDEX(MC3:MC61,MATCH(COUNTY_SELECT,COUNTY_NAME,0))=Selected_County[[#Headers],[Samoan NSI Equity]],"",INDEX(MC3:MC61,MATCH(COUNTY_SELECT,COUNTY_NAME,0)))</f>
        <v/>
      </c>
      <c r="MD71" s="700" t="str">
        <f>IF(INDEX(MD3:MD61,MATCH(COUNTY_SELECT,COUNTY_NAME,0))=Selected_County[[#Headers],[Asian Indian NSI Equity]],"",INDEX(MD3:MD61,MATCH(COUNTY_SELECT,COUNTY_NAME,0)))</f>
        <v/>
      </c>
      <c r="ME71" s="700" t="str">
        <f>IF(INDEX(ME3:ME61,MATCH(COUNTY_SELECT,COUNTY_NAME,0))=Selected_County[[#Headers],[Hawaiian NSI Equity]],"",INDEX(ME3:ME61,MATCH(COUNTY_SELECT,COUNTY_NAME,0)))</f>
        <v/>
      </c>
      <c r="MF71" s="700" t="str">
        <f>IF(INDEX(MF3:MF61,MATCH(COUNTY_SELECT,COUNTY_NAME,0))=Selected_County[[#Headers],[Guamanian NSI Equity]],"",INDEX(MF3:MF61,MATCH(COUNTY_SELECT,COUNTY_NAME,0)))</f>
        <v/>
      </c>
      <c r="MG71" s="700" t="str">
        <f>IF(INDEX(MG3:MG61,MATCH(COUNTY_SELECT,COUNTY_NAME,0))=Selected_County[[#Headers],[Laotian NSI Equity]],"",INDEX(MG3:MG61,MATCH(COUNTY_SELECT,COUNTY_NAME,0)))</f>
        <v/>
      </c>
      <c r="MH71" s="700" t="str">
        <f>IF(INDEX(MH3:MH61,MATCH(COUNTY_SELECT,COUNTY_NAME,0))=Selected_County[[#Headers],[Vietnamese NSI Equity]],"",INDEX(MH3:MH61,MATCH(COUNTY_SELECT,COUNTY_NAME,0)))</f>
        <v/>
      </c>
      <c r="MI71" s="700" t="str">
        <f>IF(INDEX(MI3:MI61,MATCH(COUNTY_SELECT,COUNTY_NAME,0))=Selected_County[[#Headers],[Other NSI Equity]],"",INDEX(MI3:MI61,MATCH(COUNTY_SELECT,COUNTY_NAME,0)))</f>
        <v/>
      </c>
      <c r="MJ71" s="700" t="str">
        <f>IF(INDEX(MJ3:MJ61,MATCH(COUNTY_SELECT,COUNTY_NAME,0))=Selected_County[[#Headers],[White SI Equity]],"",INDEX(MJ3:MJ61,MATCH(COUNTY_SELECT,COUNTY_NAME,0)))</f>
        <v/>
      </c>
      <c r="MK71" s="700" t="str">
        <f>IF(INDEX(MK3:MK61,MATCH(COUNTY_SELECT,COUNTY_NAME,0))=Selected_County[[#Headers],[Hispanic SI Equity]],"",INDEX(MK3:MK61,MATCH(COUNTY_SELECT,COUNTY_NAME,0)))</f>
        <v/>
      </c>
      <c r="ML71" s="700" t="str">
        <f>IF(INDEX(ML3:ML61,MATCH(COUNTY_SELECT,COUNTY_NAME,0))=Selected_County[[#Headers],[Black SI Equity]],"",INDEX(ML3:ML61,MATCH(COUNTY_SELECT,COUNTY_NAME,0)))</f>
        <v/>
      </c>
      <c r="MM71" s="700" t="str">
        <f>IF(INDEX(MM3:MM61,MATCH(COUNTY_SELECT,COUNTY_NAME,0))=Selected_County[[#Headers],[Asian Pacific SI Equity]],"",INDEX(MM3:MM61,MATCH(COUNTY_SELECT,COUNTY_NAME,0)))</f>
        <v/>
      </c>
      <c r="MN71" s="700" t="str">
        <f>IF(INDEX(MN3:MN61,MATCH(COUNTY_SELECT,COUNTY_NAME,0))=Selected_County[[#Headers],[Alaskan Native SI Equity]],"",INDEX(MN3:MN61,MATCH(COUNTY_SELECT,COUNTY_NAME,0)))</f>
        <v/>
      </c>
      <c r="MO71" s="700" t="str">
        <f>IF(INDEX(MO3:MO61,MATCH(COUNTY_SELECT,COUNTY_NAME,0))=Selected_County[[#Headers],[Filipino SI Equity]],"",INDEX(MO3:MO61,MATCH(COUNTY_SELECT,COUNTY_NAME,0)))</f>
        <v/>
      </c>
      <c r="MP71" s="700" t="str">
        <f>IF(INDEX(MP3:MP61,MATCH(COUNTY_SELECT,COUNTY_NAME,0))=Selected_County[[#Headers],[No Valid Data SI Equity]],"",INDEX(MP3:MP61,MATCH(COUNTY_SELECT,COUNTY_NAME,0)))</f>
        <v/>
      </c>
      <c r="MQ71" s="700" t="str">
        <f>IF(INDEX(MQ3:MQ61,MATCH(COUNTY_SELECT,COUNTY_NAME,0))=Selected_County[[#Headers],[Amerasion SI Equity]],"",INDEX(MQ3:MQ61,MATCH(COUNTY_SELECT,COUNTY_NAME,0)))</f>
        <v/>
      </c>
      <c r="MR71" s="700" t="str">
        <f>IF(INDEX(MR3:MR61,MATCH(COUNTY_SELECT,COUNTY_NAME,0))=Selected_County[[#Headers],[Chinese SI Equity]],"",INDEX(MR3:MR61,MATCH(COUNTY_SELECT,COUNTY_NAME,0)))</f>
        <v/>
      </c>
      <c r="MS71" s="700" t="str">
        <f>IF(INDEX(MS3:MS61,MATCH(COUNTY_SELECT,COUNTY_NAME,0))=Selected_County[[#Headers],[Cambodian SI Equity]],"",INDEX(MS3:MS61,MATCH(COUNTY_SELECT,COUNTY_NAME,0)))</f>
        <v/>
      </c>
      <c r="MT71" s="700" t="str">
        <f>IF(INDEX(MT3:MT61,MATCH(COUNTY_SELECT,COUNTY_NAME,0))=Selected_County[[#Headers],[Japanese SI Equity]],"",INDEX(MT3:MT61,MATCH(COUNTY_SELECT,COUNTY_NAME,0)))</f>
        <v/>
      </c>
      <c r="MU71" s="700" t="str">
        <f>IF(INDEX(MU3:MU61,MATCH(COUNTY_SELECT,COUNTY_NAME,0))=Selected_County[[#Headers],[Korean SI Equity]],"",INDEX(MU3:MU61,MATCH(COUNTY_SELECT,COUNTY_NAME,0)))</f>
        <v/>
      </c>
      <c r="MV71" s="700" t="str">
        <f>IF(INDEX(MV3:MV61,MATCH(COUNTY_SELECT,COUNTY_NAME,0))=Selected_County[[#Headers],[Samoan SI Equity]],"",INDEX(MV3:MV61,MATCH(COUNTY_SELECT,COUNTY_NAME,0)))</f>
        <v/>
      </c>
      <c r="MW71" s="700" t="str">
        <f>IF(INDEX(MW3:MW61,MATCH(COUNTY_SELECT,COUNTY_NAME,0))=Selected_County[[#Headers],[Asian Indian SI Equity]],"",INDEX(MW3:MW61,MATCH(COUNTY_SELECT,COUNTY_NAME,0)))</f>
        <v/>
      </c>
      <c r="MX71" s="700" t="str">
        <f>IF(INDEX(MX3:MX61,MATCH(COUNTY_SELECT,COUNTY_NAME,0))=Selected_County[[#Headers],[Hawaiian SI Equity]],"",INDEX(MX3:MX61,MATCH(COUNTY_SELECT,COUNTY_NAME,0)))</f>
        <v/>
      </c>
      <c r="MY71" s="700" t="str">
        <f>IF(INDEX(MY3:MY61,MATCH(COUNTY_SELECT,COUNTY_NAME,0))=Selected_County[[#Headers],[Guamanian SI Equity]],"",INDEX(MY3:MY61,MATCH(COUNTY_SELECT,COUNTY_NAME,0)))</f>
        <v/>
      </c>
      <c r="MZ71" s="700" t="str">
        <f>IF(INDEX(MZ3:MZ61,MATCH(COUNTY_SELECT,COUNTY_NAME,0))=Selected_County[[#Headers],[Laotian SI Equity]],"",INDEX(MZ3:MZ61,MATCH(COUNTY_SELECT,COUNTY_NAME,0)))</f>
        <v/>
      </c>
      <c r="NA71" s="700" t="str">
        <f>IF(INDEX(NA3:NA61,MATCH(COUNTY_SELECT,COUNTY_NAME,0))=Selected_County[[#Headers],[Vietnamese SI Equity]],"",INDEX(NA3:NA61,MATCH(COUNTY_SELECT,COUNTY_NAME,0)))</f>
        <v/>
      </c>
      <c r="NB71" s="700" t="str">
        <f>IF(INDEX(NB3:NB61,MATCH(COUNTY_SELECT,COUNTY_NAME,0))=Selected_County[[#Headers],[Other SI Equity]],"",INDEX(NB3:NB61,MATCH(COUNTY_SELECT,COUNTY_NAME,0)))</f>
        <v/>
      </c>
      <c r="NC71" s="585" t="str">
        <f>IF(INDEX(NC3:NC61,MATCH(COUNTY_SELECT,COUNTY_NAME,0))=Selected_County[[#Headers],[Female ]],"",INDEX(NC3:NC61,MATCH(COUNTY_SELECT,COUNTY_NAME,0)))</f>
        <v/>
      </c>
      <c r="ND71" s="574" t="str">
        <f>IF(INDEX(ND3:ND61,MATCH(COUNTY_SELECT,COUNTY_NAME,0))=Selected_County[[#Headers],[Male ]],"",INDEX(ND3:ND61,MATCH(COUNTY_SELECT,COUNTY_NAME,0)))</f>
        <v/>
      </c>
      <c r="NE71" s="574" t="str">
        <f>IF(INDEX(NE3:NE61,MATCH(COUNTY_SELECT,COUNTY_NAME,0))=Selected_County[[#Headers],[White ]],"",INDEX(NE3:NE61,MATCH(COUNTY_SELECT,COUNTY_NAME,0)))</f>
        <v/>
      </c>
      <c r="NF71" s="574" t="str">
        <f>IF(INDEX(NF3:NF61,MATCH(COUNTY_SELECT,COUNTY_NAME,0))=Selected_County[[#Headers],[Hispanic ]],"",INDEX(NF3:NF61,MATCH(COUNTY_SELECT,COUNTY_NAME,0)))</f>
        <v/>
      </c>
      <c r="NG71" s="574" t="str">
        <f>IF(INDEX(NG3:NG61,MATCH(COUNTY_SELECT,COUNTY_NAME,0))=Selected_County[[#Headers],[Black ]],"",INDEX(NG3:NG61,MATCH(COUNTY_SELECT,COUNTY_NAME,0)))</f>
        <v/>
      </c>
      <c r="NH71" s="574" t="str">
        <f>IF(INDEX(NH3:NH61,MATCH(COUNTY_SELECT,COUNTY_NAME,0))=Selected_County[[#Headers],[Asian or Pacific Islander ]],"",INDEX(NH3:NH61,MATCH(COUNTY_SELECT,COUNTY_NAME,0)))</f>
        <v/>
      </c>
      <c r="NI71" s="574" t="str">
        <f>IF(INDEX(NI3:NI61,MATCH(COUNTY_SELECT,COUNTY_NAME,0))=Selected_County[[#Headers],[Alaskan Native or American Indian ]],"",INDEX(NI3:NI61,MATCH(COUNTY_SELECT,COUNTY_NAME,0)))</f>
        <v/>
      </c>
      <c r="NJ71" s="574" t="str">
        <f>IF(INDEX(NJ3:NJ61,MATCH(COUNTY_SELECT,COUNTY_NAME,0))=Selected_County[[#Headers],[Filipino ]],"",INDEX(NJ3:NJ61,MATCH(COUNTY_SELECT,COUNTY_NAME,0)))</f>
        <v/>
      </c>
      <c r="NK71" s="574" t="str">
        <f>IF(INDEX(NK3:NK61,MATCH(COUNTY_SELECT,COUNTY_NAME,0))=Selected_County[[#Headers],[No Valid Data Reported ]],"",INDEX(NK3:NK61,MATCH(COUNTY_SELECT,COUNTY_NAME,0)))</f>
        <v/>
      </c>
      <c r="NL71" s="574" t="str">
        <f>IF(INDEX(NL3:NL61,MATCH(COUNTY_SELECT,COUNTY_NAME,0))=Selected_County[[#Headers],[Amerasian ]],"",INDEX(NL3:NL61,MATCH(COUNTY_SELECT,COUNTY_NAME,0)))</f>
        <v/>
      </c>
      <c r="NM71" s="574" t="str">
        <f>IF(INDEX(NM3:NM61,MATCH(COUNTY_SELECT,COUNTY_NAME,0))=Selected_County[[#Headers],[Chinese ]],"",INDEX(NM3:NM61,MATCH(COUNTY_SELECT,COUNTY_NAME,0)))</f>
        <v/>
      </c>
      <c r="NN71" s="574" t="str">
        <f>IF(INDEX(NN3:NN61,MATCH(COUNTY_SELECT,COUNTY_NAME,0))=Selected_County[[#Headers],[Cambodian ]],"",INDEX(NN3:NN61,MATCH(COUNTY_SELECT,COUNTY_NAME,0)))</f>
        <v/>
      </c>
      <c r="NO71" s="574" t="str">
        <f>IF(INDEX(NO3:NO61,MATCH(COUNTY_SELECT,COUNTY_NAME,0))=Selected_County[[#Headers],[Japanese ]],"",INDEX(NO3:NO61,MATCH(COUNTY_SELECT,COUNTY_NAME,0)))</f>
        <v/>
      </c>
      <c r="NP71" s="574" t="str">
        <f>IF(INDEX(NP3:NP61,MATCH(COUNTY_SELECT,COUNTY_NAME,0))=Selected_County[[#Headers],[Korean ]],"",INDEX(NP3:NP61,MATCH(COUNTY_SELECT,COUNTY_NAME,0)))</f>
        <v/>
      </c>
      <c r="NQ71" s="574" t="str">
        <f>IF(INDEX(NQ3:NQ61,MATCH(COUNTY_SELECT,COUNTY_NAME,0))=Selected_County[[#Headers],[Samoan ]],"",INDEX(NQ3:NQ61,MATCH(COUNTY_SELECT,COUNTY_NAME,0)))</f>
        <v/>
      </c>
      <c r="NR71" s="574" t="str">
        <f>IF(INDEX(NR3:NR61,MATCH(COUNTY_SELECT,COUNTY_NAME,0))=Selected_County[[#Headers],[Asian Indian ]],"",INDEX(NR3:NR61,MATCH(COUNTY_SELECT,COUNTY_NAME,0)))</f>
        <v/>
      </c>
      <c r="NS71" s="574" t="str">
        <f>IF(INDEX(NS3:NS61,MATCH(COUNTY_SELECT,COUNTY_NAME,0))=Selected_County[[#Headers],[Hawaiian ]],"",INDEX(NS3:NS61,MATCH(COUNTY_SELECT,COUNTY_NAME,0)))</f>
        <v/>
      </c>
      <c r="NT71" s="574" t="str">
        <f>IF(INDEX(NT3:NT61,MATCH(COUNTY_SELECT,COUNTY_NAME,0))=Selected_County[[#Headers],[Guamanian ]],"",INDEX(NT3:NT61,MATCH(COUNTY_SELECT,COUNTY_NAME,0)))</f>
        <v/>
      </c>
      <c r="NU71" s="574" t="str">
        <f>IF(INDEX(NU3:NU61,MATCH(COUNTY_SELECT,COUNTY_NAME,0))=Selected_County[[#Headers],[Laotian ]],"",INDEX(NU3:NU61,MATCH(COUNTY_SELECT,COUNTY_NAME,0)))</f>
        <v/>
      </c>
      <c r="NV71" s="574" t="str">
        <f>IF(INDEX(NV3:NV61,MATCH(COUNTY_SELECT,COUNTY_NAME,0))=Selected_County[[#Headers],[Vietnamese ]],"",INDEX(NV3:NV61,MATCH(COUNTY_SELECT,COUNTY_NAME,0)))</f>
        <v/>
      </c>
      <c r="NW71" s="574" t="str">
        <f>IF(INDEX(NW3:NW61,MATCH(COUNTY_SELECT,COUNTY_NAME,0))=Selected_County[[#Headers],[Other ]],"",INDEX(NW3:NW61,MATCH(COUNTY_SELECT,COUNTY_NAME,0)))</f>
        <v/>
      </c>
      <c r="NX71" s="574" t="str">
        <f>IF(INDEX(NX3:NX61,MATCH(COUNTY_SELECT,COUNTY_NAME,0))=Selected_County[[#Headers],[Spoken Language - American Sign Language ]],"",INDEX(NX3:NX61,MATCH(COUNTY_SELECT,COUNTY_NAME,0)))</f>
        <v/>
      </c>
      <c r="NY71" s="574" t="str">
        <f>IF(INDEX(NY3:NY61,MATCH(COUNTY_SELECT,COUNTY_NAME,0))=Selected_County[[#Headers],[Spoken Language - Spanish ]],"",INDEX(NY3:NY61,MATCH(COUNTY_SELECT,COUNTY_NAME,0)))</f>
        <v/>
      </c>
      <c r="NZ71" s="574" t="str">
        <f>IF(INDEX(NZ3:NZ61,MATCH(COUNTY_SELECT,COUNTY_NAME,0))=Selected_County[[#Headers],[Spoken Language - Cantonese ]],"",INDEX(NZ3:NZ61,MATCH(COUNTY_SELECT,COUNTY_NAME,0)))</f>
        <v/>
      </c>
      <c r="OA71" s="574" t="str">
        <f>IF(INDEX(OA3:OA61,MATCH(COUNTY_SELECT,COUNTY_NAME,0))=Selected_County[[#Headers],[Spoken Language - Japanese ]],"",INDEX(OA3:OA61,MATCH(COUNTY_SELECT,COUNTY_NAME,0)))</f>
        <v/>
      </c>
      <c r="OB71" s="574" t="str">
        <f>IF(INDEX(OB3:OB61,MATCH(COUNTY_SELECT,COUNTY_NAME,0))=Selected_County[[#Headers],[Spoken Language - Korean ]],"",INDEX(OB3:OB61,MATCH(COUNTY_SELECT,COUNTY_NAME,0)))</f>
        <v/>
      </c>
      <c r="OC71" s="574" t="str">
        <f>IF(INDEX(OC3:OC61,MATCH(COUNTY_SELECT,COUNTY_NAME,0))=Selected_County[[#Headers],[Spoken Language - Tagalog ]],"",INDEX(OC3:OC61,MATCH(COUNTY_SELECT,COUNTY_NAME,0)))</f>
        <v/>
      </c>
      <c r="OD71" s="574" t="str">
        <f>IF(INDEX(OD3:OD61,MATCH(COUNTY_SELECT,COUNTY_NAME,0))=Selected_County[[#Headers],[Spoken Language - Other Non-English ]],"",INDEX(OD3:OD61,MATCH(COUNTY_SELECT,COUNTY_NAME,0)))</f>
        <v/>
      </c>
      <c r="OE71" s="574" t="str">
        <f>IF(INDEX(OE3:OE61,MATCH(COUNTY_SELECT,COUNTY_NAME,0))=Selected_County[[#Headers],[Spoken Language - English ]],"",INDEX(OE3:OE61,MATCH(COUNTY_SELECT,COUNTY_NAME,0)))</f>
        <v/>
      </c>
      <c r="OF71" s="574" t="str">
        <f>IF(INDEX(OF3:OF61,MATCH(COUNTY_SELECT,COUNTY_NAME,0))=Selected_County[[#Headers],[Spoken Language - No Valid Data Reported ]],"",INDEX(OF3:OF61,MATCH(COUNTY_SELECT,COUNTY_NAME,0)))</f>
        <v/>
      </c>
      <c r="OG71" s="574" t="str">
        <f>IF(INDEX(OG3:OG61,MATCH(COUNTY_SELECT,COUNTY_NAME,0))=Selected_County[[#Headers],[Spoken Language - Other Sign Language ]],"",INDEX(OG3:OG61,MATCH(COUNTY_SELECT,COUNTY_NAME,0)))</f>
        <v/>
      </c>
      <c r="OH71" s="574" t="str">
        <f>IF(INDEX(OH3:OH61,MATCH(COUNTY_SELECT,COUNTY_NAME,0))=Selected_County[[#Headers],[Spoken Language - Mandarin ]],"",INDEX(OH3:OH61,MATCH(COUNTY_SELECT,COUNTY_NAME,0)))</f>
        <v/>
      </c>
      <c r="OI71" s="574" t="str">
        <f>IF(INDEX(OI3:OI61,MATCH(COUNTY_SELECT,COUNTY_NAME,0))=Selected_County[[#Headers],[Spoken Language - Other Chinese Languages ]],"",INDEX(OI3:OI61,MATCH(COUNTY_SELECT,COUNTY_NAME,0)))</f>
        <v/>
      </c>
      <c r="OJ71" s="574" t="str">
        <f>IF(INDEX(OJ3:OJ61,MATCH(COUNTY_SELECT,COUNTY_NAME,0))=Selected_County[[#Headers],[Spoken Language - Cambodian ]],"",INDEX(OJ3:OJ61,MATCH(COUNTY_SELECT,COUNTY_NAME,0)))</f>
        <v/>
      </c>
      <c r="OK71" s="574" t="str">
        <f>IF(INDEX(OK3:OK61,MATCH(COUNTY_SELECT,COUNTY_NAME,0))=Selected_County[[#Headers],[Spoken Language - Armenian ]],"",INDEX(OK3:OK61,MATCH(COUNTY_SELECT,COUNTY_NAME,0)))</f>
        <v/>
      </c>
      <c r="OL71" s="574" t="str">
        <f>IF(INDEX(OL3:OL61,MATCH(COUNTY_SELECT,COUNTY_NAME,0))=Selected_County[[#Headers],[Spoken Language - Ilocano ]],"",INDEX(OL3:OL61,MATCH(COUNTY_SELECT,COUNTY_NAME,0)))</f>
        <v/>
      </c>
      <c r="OM71" s="574" t="str">
        <f>IF(INDEX(OM3:OM61,MATCH(COUNTY_SELECT,COUNTY_NAME,0))=Selected_County[[#Headers],[Spoken Language - Mien ]],"",INDEX(OM3:OM61,MATCH(COUNTY_SELECT,COUNTY_NAME,0)))</f>
        <v/>
      </c>
      <c r="ON71" s="574" t="str">
        <f>IF(INDEX(ON3:ON61,MATCH(COUNTY_SELECT,COUNTY_NAME,0))=Selected_County[[#Headers],[Spoken Language - Hmong ]],"",INDEX(ON3:ON61,MATCH(COUNTY_SELECT,COUNTY_NAME,0)))</f>
        <v/>
      </c>
      <c r="OO71" s="574" t="str">
        <f>IF(INDEX(OO3:OO61,MATCH(COUNTY_SELECT,COUNTY_NAME,0))=Selected_County[[#Headers],[Spoken Language - Lao ]],"",INDEX(OO3:OO61,MATCH(COUNTY_SELECT,COUNTY_NAME,0)))</f>
        <v/>
      </c>
      <c r="OP71" s="574" t="str">
        <f>IF(INDEX(OP3:OP61,MATCH(COUNTY_SELECT,COUNTY_NAME,0))=Selected_County[[#Headers],[Spoken Language - Turkish ]],"",INDEX(OP3:OP61,MATCH(COUNTY_SELECT,COUNTY_NAME,0)))</f>
        <v/>
      </c>
      <c r="OQ71" s="574" t="str">
        <f>IF(INDEX(OQ3:OQ61,MATCH(COUNTY_SELECT,COUNTY_NAME,0))=Selected_County[[#Headers],[Spoken Language - Hebrew ]],"",INDEX(OQ3:OQ61,MATCH(COUNTY_SELECT,COUNTY_NAME,0)))</f>
        <v/>
      </c>
      <c r="OR71" s="574" t="str">
        <f>IF(INDEX(OR3:OR61,MATCH(COUNTY_SELECT,COUNTY_NAME,0))=Selected_County[[#Headers],[Spoken Language - French ]],"",INDEX(OR3:OR61,MATCH(COUNTY_SELECT,COUNTY_NAME,0)))</f>
        <v/>
      </c>
      <c r="OS71" s="574" t="str">
        <f>IF(INDEX(OS3:OS61,MATCH(COUNTY_SELECT,COUNTY_NAME,0))=Selected_County[[#Headers],[Spoken Language - Polish ]],"",INDEX(OS3:OS61,MATCH(COUNTY_SELECT,COUNTY_NAME,0)))</f>
        <v/>
      </c>
      <c r="OT71" s="574" t="str">
        <f>IF(INDEX(OT3:OT61,MATCH(COUNTY_SELECT,COUNTY_NAME,0))=Selected_County[[#Headers],[Spoken Language - Russian ]],"",INDEX(OT3:OT61,MATCH(COUNTY_SELECT,COUNTY_NAME,0)))</f>
        <v/>
      </c>
      <c r="OU71" s="574" t="str">
        <f>IF(INDEX(OU3:OU61,MATCH(COUNTY_SELECT,COUNTY_NAME,0))=Selected_County[[#Headers],[Spoken Language - Portuguese ]],"",INDEX(OU3:OU61,MATCH(COUNTY_SELECT,COUNTY_NAME,0)))</f>
        <v/>
      </c>
      <c r="OV71" s="574" t="str">
        <f>IF(INDEX(OV3:OV61,MATCH(COUNTY_SELECT,COUNTY_NAME,0))=Selected_County[[#Headers],[Spoken Language - Italian ]],"",INDEX(OV3:OV61,MATCH(COUNTY_SELECT,COUNTY_NAME,0)))</f>
        <v/>
      </c>
      <c r="OW71" s="574" t="str">
        <f>IF(INDEX(OW3:OW61,MATCH(COUNTY_SELECT,COUNTY_NAME,0))=Selected_County[[#Headers],[Spoken Language - Arabic ]],"",INDEX(OW3:OW61,MATCH(COUNTY_SELECT,COUNTY_NAME,0)))</f>
        <v/>
      </c>
      <c r="OX71" s="574" t="str">
        <f>IF(INDEX(OX3:OX61,MATCH(COUNTY_SELECT,COUNTY_NAME,0))=Selected_County[[#Headers],[Spoken Language - Samoan ]],"",INDEX(OX3:OX61,MATCH(COUNTY_SELECT,COUNTY_NAME,0)))</f>
        <v/>
      </c>
      <c r="OY71" s="574" t="str">
        <f>IF(INDEX(OY3:OY61,MATCH(COUNTY_SELECT,COUNTY_NAME,0))=Selected_County[[#Headers],[Spoken Language - Thai ]],"",INDEX(OY3:OY61,MATCH(COUNTY_SELECT,COUNTY_NAME,0)))</f>
        <v/>
      </c>
      <c r="OZ71" s="574" t="str">
        <f>IF(INDEX(OZ3:OZ61,MATCH(COUNTY_SELECT,COUNTY_NAME,0))=Selected_County[[#Headers],[Spoken Language - Farsi ]],"",INDEX(OZ3:OZ61,MATCH(COUNTY_SELECT,COUNTY_NAME,0)))</f>
        <v/>
      </c>
      <c r="PA71" s="574" t="str">
        <f>IF(INDEX(PA3:PA61,MATCH(COUNTY_SELECT,COUNTY_NAME,0))=Selected_County[[#Headers],[Spoken Language - Vietnamese ]],"",INDEX(PA3:PA61,MATCH(COUNTY_SELECT,COUNTY_NAME,0)))</f>
        <v/>
      </c>
      <c r="PB71" s="574" t="str">
        <f>IF(INDEX(PB3:PB61,MATCH(COUNTY_SELECT,COUNTY_NAME,0))=Selected_County[[#Headers],[Spoken Language - Hindi]],"",INDEX(PB3:PB61,MATCH(COUNTY_SELECT,COUNTY_NAME,0)))</f>
        <v/>
      </c>
      <c r="PC71" s="574" t="str">
        <f>IF(INDEX(PC3:PC61,MATCH(COUNTY_SELECT,COUNTY_NAME,0))=Selected_County[[#Headers],[Spoken Language - Punjabi]],"",INDEX(PC3:PC61,MATCH(COUNTY_SELECT,COUNTY_NAME,0)))</f>
        <v/>
      </c>
      <c r="PD71" s="574" t="str">
        <f>IF(INDEX(PD3:PD61,MATCH(COUNTY_SELECT,COUNTY_NAME,0))=Selected_County[[#Headers],[Spoken Language - Ukrainian]],"",INDEX(PD3:PD61,MATCH(COUNTY_SELECT,COUNTY_NAME,0)))</f>
        <v/>
      </c>
      <c r="PE71" s="574" t="str">
        <f>IF(INDEX(PE3:PE61,MATCH(COUNTY_SELECT,COUNTY_NAME,0))=Selected_County[[#Headers],[Provider Spoken - American Sign Language ]],"",INDEX(PE3:PE61,MATCH(COUNTY_SELECT,COUNTY_NAME,0)))</f>
        <v/>
      </c>
      <c r="PF71" s="574" t="str">
        <f>IF(INDEX(PF3:PF61,MATCH(COUNTY_SELECT,COUNTY_NAME,0))=Selected_County[[#Headers],[Provider Spoken - Spanish ]],"",INDEX(PF3:PF61,MATCH(COUNTY_SELECT,COUNTY_NAME,0)))</f>
        <v/>
      </c>
      <c r="PG71" s="574" t="str">
        <f>IF(INDEX(PG3:PG61,MATCH(COUNTY_SELECT,COUNTY_NAME,0))=Selected_County[[#Headers],[Provider Spoken - Cantonese ]],"",INDEX(PG3:PG61,MATCH(COUNTY_SELECT,COUNTY_NAME,0)))</f>
        <v/>
      </c>
      <c r="PH71" s="574" t="str">
        <f>IF(INDEX(PH3:PH61,MATCH(COUNTY_SELECT,COUNTY_NAME,0))=Selected_County[[#Headers],[Provider Spoken - Japanese ]],"",INDEX(PH3:PH61,MATCH(COUNTY_SELECT,COUNTY_NAME,0)))</f>
        <v/>
      </c>
      <c r="PI71" s="574" t="str">
        <f>IF(INDEX(PI3:PI61,MATCH(COUNTY_SELECT,COUNTY_NAME,0))=Selected_County[[#Headers],[Provider Spoken - Korean ]],"",INDEX(PI3:PI61,MATCH(COUNTY_SELECT,COUNTY_NAME,0)))</f>
        <v/>
      </c>
      <c r="PJ71" s="574" t="str">
        <f>IF(INDEX(PJ3:PJ61,MATCH(COUNTY_SELECT,COUNTY_NAME,0))=Selected_County[[#Headers],[Provider Spoken - Tagalog ]],"",INDEX(PJ3:PJ61,MATCH(COUNTY_SELECT,COUNTY_NAME,0)))</f>
        <v/>
      </c>
      <c r="PK71" s="574" t="str">
        <f>IF(INDEX(PK3:PK61,MATCH(COUNTY_SELECT,COUNTY_NAME,0))=Selected_County[[#Headers],[Provider Spoken - Other Non-English ]],"",INDEX(PK3:PK61,MATCH(COUNTY_SELECT,COUNTY_NAME,0)))</f>
        <v/>
      </c>
      <c r="PL71" s="574" t="str">
        <f>IF(INDEX(PL3:PL61,MATCH(COUNTY_SELECT,COUNTY_NAME,0))=Selected_County[[#Headers],[Provider Spoken - English ]],"",INDEX(PL3:PL61,MATCH(COUNTY_SELECT,COUNTY_NAME,0)))</f>
        <v/>
      </c>
      <c r="PM71" s="574" t="str">
        <f>IF(INDEX(PM3:PM61,MATCH(COUNTY_SELECT,COUNTY_NAME,0))=Selected_County[[#Headers],[Provider Spoken - No Valid Data Reported ]],"",INDEX(PM3:PM61,MATCH(COUNTY_SELECT,COUNTY_NAME,0)))</f>
        <v/>
      </c>
      <c r="PN71" s="574" t="str">
        <f>IF(INDEX(PN3:PN61,MATCH(COUNTY_SELECT,COUNTY_NAME,0))=Selected_County[[#Headers],[Provider Spoken - Other Sign Language ]],"",INDEX(PN3:PN61,MATCH(COUNTY_SELECT,COUNTY_NAME,0)))</f>
        <v/>
      </c>
      <c r="PO71" s="574" t="str">
        <f>IF(INDEX(PO3:PO61,MATCH(COUNTY_SELECT,COUNTY_NAME,0))=Selected_County[[#Headers],[Provider Spoken - Mandarin ]],"",INDEX(PO3:PO61,MATCH(COUNTY_SELECT,COUNTY_NAME,0)))</f>
        <v/>
      </c>
      <c r="PP71" s="574" t="str">
        <f>IF(INDEX(PP3:PP61,MATCH(COUNTY_SELECT,COUNTY_NAME,0))=Selected_County[[#Headers],[Provider Spoken - Other Chinese Languages ]],"",INDEX(PP3:PP61,MATCH(COUNTY_SELECT,COUNTY_NAME,0)))</f>
        <v/>
      </c>
      <c r="PQ71" s="574" t="str">
        <f>IF(INDEX(PQ3:PQ61,MATCH(COUNTY_SELECT,COUNTY_NAME,0))=Selected_County[[#Headers],[Provider Spoken - Cambodian ]],"",INDEX(PQ3:PQ61,MATCH(COUNTY_SELECT,COUNTY_NAME,0)))</f>
        <v/>
      </c>
      <c r="PR71" s="574" t="str">
        <f>IF(INDEX(PR3:PR61,MATCH(COUNTY_SELECT,COUNTY_NAME,0))=Selected_County[[#Headers],[Provider Spoken - Armenian ]],"",INDEX(PR3:PR61,MATCH(COUNTY_SELECT,COUNTY_NAME,0)))</f>
        <v/>
      </c>
      <c r="PS71" s="574" t="str">
        <f>IF(INDEX(PS3:PS61,MATCH(COUNTY_SELECT,COUNTY_NAME,0))=Selected_County[[#Headers],[Provider Spoken - Ilocano ]],"",INDEX(PS3:PS61,MATCH(COUNTY_SELECT,COUNTY_NAME,0)))</f>
        <v/>
      </c>
      <c r="PT71" s="574" t="str">
        <f>IF(INDEX(PT3:PT61,MATCH(COUNTY_SELECT,COUNTY_NAME,0))=Selected_County[[#Headers],[Provider Spoken - Mien ]],"",INDEX(PT3:PT61,MATCH(COUNTY_SELECT,COUNTY_NAME,0)))</f>
        <v/>
      </c>
      <c r="PU71" s="574" t="str">
        <f>IF(INDEX(PU3:PU61,MATCH(COUNTY_SELECT,COUNTY_NAME,0))=Selected_County[[#Headers],[Provider Spoken - Hmong ]],"",INDEX(PU3:PU61,MATCH(COUNTY_SELECT,COUNTY_NAME,0)))</f>
        <v/>
      </c>
      <c r="PV71" s="574" t="str">
        <f>IF(INDEX(PV3:PV61,MATCH(COUNTY_SELECT,COUNTY_NAME,0))=Selected_County[[#Headers],[Provider Spoken - Lao ]],"",INDEX(PV3:PV61,MATCH(COUNTY_SELECT,COUNTY_NAME,0)))</f>
        <v/>
      </c>
      <c r="PW71" s="574" t="str">
        <f>IF(INDEX(PW3:PW61,MATCH(COUNTY_SELECT,COUNTY_NAME,0))=Selected_County[[#Headers],[Provider Spoken - Turkish ]],"",INDEX(PW3:PW61,MATCH(COUNTY_SELECT,COUNTY_NAME,0)))</f>
        <v/>
      </c>
      <c r="PX71" s="574" t="str">
        <f>IF(INDEX(PX3:PX61,MATCH(COUNTY_SELECT,COUNTY_NAME,0))=Selected_County[[#Headers],[Provider Spoken - Hebrew ]],"",INDEX(PX3:PX61,MATCH(COUNTY_SELECT,COUNTY_NAME,0)))</f>
        <v/>
      </c>
      <c r="PY71" s="574" t="str">
        <f>IF(INDEX(PY3:PY61,MATCH(COUNTY_SELECT,COUNTY_NAME,0))=Selected_County[[#Headers],[Provider Spoken - French ]],"",INDEX(PY3:PY61,MATCH(COUNTY_SELECT,COUNTY_NAME,0)))</f>
        <v/>
      </c>
      <c r="PZ71" s="574" t="str">
        <f>IF(INDEX(PZ3:PZ61,MATCH(COUNTY_SELECT,COUNTY_NAME,0))=Selected_County[[#Headers],[Provider Spoken - Polish ]],"",INDEX(PZ3:PZ61,MATCH(COUNTY_SELECT,COUNTY_NAME,0)))</f>
        <v/>
      </c>
      <c r="QA71" s="574" t="str">
        <f>IF(INDEX(QA3:QA61,MATCH(COUNTY_SELECT,COUNTY_NAME,0))=Selected_County[[#Headers],[Provider Spoken - Russian ]],"",INDEX(QA3:QA61,MATCH(COUNTY_SELECT,COUNTY_NAME,0)))</f>
        <v/>
      </c>
      <c r="QB71" s="574" t="str">
        <f>IF(INDEX(QB3:QB61,MATCH(COUNTY_SELECT,COUNTY_NAME,0))=Selected_County[[#Headers],[Provider Spoken - Portuguese ]],"",INDEX(QB3:QB61,MATCH(COUNTY_SELECT,COUNTY_NAME,0)))</f>
        <v/>
      </c>
      <c r="QC71" s="574" t="str">
        <f>IF(INDEX(QC3:QC61,MATCH(COUNTY_SELECT,COUNTY_NAME,0))=Selected_County[[#Headers],[Provider Spoken - Italian ]],"",INDEX(QC3:QC61,MATCH(COUNTY_SELECT,COUNTY_NAME,0)))</f>
        <v/>
      </c>
      <c r="QD71" s="574" t="str">
        <f>IF(INDEX(QD3:QD61,MATCH(COUNTY_SELECT,COUNTY_NAME,0))=Selected_County[[#Headers],[Provider Spoken - Arabic ]],"",INDEX(QD3:QD61,MATCH(COUNTY_SELECT,COUNTY_NAME,0)))</f>
        <v/>
      </c>
      <c r="QE71" s="574" t="str">
        <f>IF(INDEX(QE3:QE61,MATCH(COUNTY_SELECT,COUNTY_NAME,0))=Selected_County[[#Headers],[Provider Spoken - Samoan ]],"",INDEX(QE3:QE61,MATCH(COUNTY_SELECT,COUNTY_NAME,0)))</f>
        <v/>
      </c>
      <c r="QF71" s="574" t="str">
        <f>IF(INDEX(QF3:QF61,MATCH(COUNTY_SELECT,COUNTY_NAME,0))=Selected_County[[#Headers],[Provider Spoken - Thai ]],"",INDEX(QF3:QF61,MATCH(COUNTY_SELECT,COUNTY_NAME,0)))</f>
        <v/>
      </c>
      <c r="QG71" s="574" t="str">
        <f>IF(INDEX(QG3:QG61,MATCH(COUNTY_SELECT,COUNTY_NAME,0))=Selected_County[[#Headers],[Provider Spoken - Farsi ]],"",INDEX(QG3:QG61,MATCH(COUNTY_SELECT,COUNTY_NAME,0)))</f>
        <v/>
      </c>
      <c r="QH71" s="574" t="str">
        <f>IF(INDEX(QH3:QH61,MATCH(COUNTY_SELECT,COUNTY_NAME,0))=Selected_County[[#Headers],[Provider Spoken - Vietnamese ]],"",INDEX(QH3:QH61,MATCH(COUNTY_SELECT,COUNTY_NAME,0)))</f>
        <v/>
      </c>
      <c r="QI71" s="574" t="str">
        <f>IF(INDEX(QI3:QI61,MATCH(COUNTY_SELECT,COUNTY_NAME,0))=Selected_County[[#Headers],[Provider Spoken Language - Hindi  ]],"",INDEX(QI3:QI61,MATCH(COUNTY_SELECT,COUNTY_NAME,0)))</f>
        <v/>
      </c>
      <c r="QJ71" s="574" t="str">
        <f>IF(INDEX(QJ3:QJ61,MATCH(COUNTY_SELECT,COUNTY_NAME,0))=Selected_County[[#Headers],[Provider Spoken Language - Punjabi  ]],"",INDEX(QJ3:QJ61,MATCH(COUNTY_SELECT,COUNTY_NAME,0)))</f>
        <v/>
      </c>
      <c r="QK71" s="574" t="str">
        <f>IF(INDEX(QK3:QK61,MATCH(COUNTY_SELECT,COUNTY_NAME,0))=Selected_County[[#Headers],[Provider Spoken Language - Ukrainian  ]],"",INDEX(QK3:QK61,MATCH(COUNTY_SELECT,COUNTY_NAME,0)))</f>
        <v/>
      </c>
      <c r="QL71" s="574" t="str">
        <f>IF(INDEX(QL3:QL61,MATCH(COUNTY_SELECT,COUNTY_NAME,0))=Selected_County[[#Headers],[White Apps Equity ]],"",INDEX(QL3:QL61,MATCH(COUNTY_SELECT,COUNTY_NAME,0)))</f>
        <v/>
      </c>
      <c r="QM71" s="574" t="str">
        <f>IF(INDEX(QM3:QM61,MATCH(COUNTY_SELECT,COUNTY_NAME,0))=Selected_County[[#Headers],[Hispanic Apps Equity ]],"",INDEX(QM3:QM61,MATCH(COUNTY_SELECT,COUNTY_NAME,0)))</f>
        <v/>
      </c>
      <c r="QN71" s="574" t="str">
        <f>IF(INDEX(QN3:QN61,MATCH(COUNTY_SELECT,COUNTY_NAME,0))=Selected_County[[#Headers],[Black Apps Equity ]],"",INDEX(QN3:QN61,MATCH(COUNTY_SELECT,COUNTY_NAME,0)))</f>
        <v/>
      </c>
      <c r="QO71" s="574" t="str">
        <f>IF(INDEX(QO3:QO61,MATCH(COUNTY_SELECT,COUNTY_NAME,0))=Selected_County[[#Headers],[Asian Pacific Apps Equity ]],"",INDEX(QO3:QO61,MATCH(COUNTY_SELECT,COUNTY_NAME,0)))</f>
        <v/>
      </c>
      <c r="QP71" s="574" t="str">
        <f>IF(INDEX(QP3:QP61,MATCH(COUNTY_SELECT,COUNTY_NAME,0))=Selected_County[[#Headers],[Alaskan Native Apps Equity ]],"",INDEX(QP3:QP61,MATCH(COUNTY_SELECT,COUNTY_NAME,0)))</f>
        <v/>
      </c>
      <c r="QQ71" s="574" t="str">
        <f>IF(INDEX(QQ3:QQ61,MATCH(COUNTY_SELECT,COUNTY_NAME,0))=Selected_County[[#Headers],[Filipino Apps Equity ]],"",INDEX(QQ3:QQ61,MATCH(COUNTY_SELECT,COUNTY_NAME,0)))</f>
        <v/>
      </c>
      <c r="QR71" s="574" t="str">
        <f>IF(INDEX(QR3:QR61,MATCH(COUNTY_SELECT,COUNTY_NAME,0))=Selected_County[[#Headers],[No Valid Data Apps Equity ]],"",INDEX(QR3:QR61,MATCH(COUNTY_SELECT,COUNTY_NAME,0)))</f>
        <v/>
      </c>
      <c r="QS71" s="574" t="str">
        <f>IF(INDEX(QS3:QS61,MATCH(COUNTY_SELECT,COUNTY_NAME,0))=Selected_County[[#Headers],[Amerasion Apps Equity ]],"",INDEX(QS3:QS61,MATCH(COUNTY_SELECT,COUNTY_NAME,0)))</f>
        <v/>
      </c>
      <c r="QT71" s="574" t="str">
        <f>IF(INDEX(QT3:QT61,MATCH(COUNTY_SELECT,COUNTY_NAME,0))=Selected_County[[#Headers],[Chinese Apps Equity ]],"",INDEX(QT3:QT61,MATCH(COUNTY_SELECT,COUNTY_NAME,0)))</f>
        <v/>
      </c>
      <c r="QU71" s="574" t="str">
        <f>IF(INDEX(QU3:QU61,MATCH(COUNTY_SELECT,COUNTY_NAME,0))=Selected_County[[#Headers],[Cambodian Apps Equity ]],"",INDEX(QU3:QU61,MATCH(COUNTY_SELECT,COUNTY_NAME,0)))</f>
        <v/>
      </c>
      <c r="QV71" s="574" t="str">
        <f>IF(INDEX(QV3:QV61,MATCH(COUNTY_SELECT,COUNTY_NAME,0))=Selected_County[[#Headers],[Japanese Apps Equity ]],"",INDEX(QV3:QV61,MATCH(COUNTY_SELECT,COUNTY_NAME,0)))</f>
        <v/>
      </c>
      <c r="QW71" s="574" t="str">
        <f>IF(INDEX(QW3:QW61,MATCH(COUNTY_SELECT,COUNTY_NAME,0))=Selected_County[[#Headers],[Korean Apps Equity ]],"",INDEX(QW3:QW61,MATCH(COUNTY_SELECT,COUNTY_NAME,0)))</f>
        <v/>
      </c>
      <c r="QX71" s="574" t="str">
        <f>IF(INDEX(QX3:QX61,MATCH(COUNTY_SELECT,COUNTY_NAME,0))=Selected_County[[#Headers],[Samoan Apps Equity ]],"",INDEX(QX3:QX61,MATCH(COUNTY_SELECT,COUNTY_NAME,0)))</f>
        <v/>
      </c>
      <c r="QY71" s="574" t="str">
        <f>IF(INDEX(QY3:QY61,MATCH(COUNTY_SELECT,COUNTY_NAME,0))=Selected_County[[#Headers],[Asian Indian Apps Equity ]],"",INDEX(QY3:QY61,MATCH(COUNTY_SELECT,COUNTY_NAME,0)))</f>
        <v/>
      </c>
      <c r="QZ71" s="574" t="str">
        <f>IF(INDEX(QZ3:QZ61,MATCH(COUNTY_SELECT,COUNTY_NAME,0))=Selected_County[[#Headers],[Hawaiian Apps Equity ]],"",INDEX(QZ3:QZ61,MATCH(COUNTY_SELECT,COUNTY_NAME,0)))</f>
        <v/>
      </c>
      <c r="RA71" s="574" t="str">
        <f>IF(INDEX(RA3:RA61,MATCH(COUNTY_SELECT,COUNTY_NAME,0))=Selected_County[[#Headers],[Guamanian Apps Equity ]],"",INDEX(RA3:RA61,MATCH(COUNTY_SELECT,COUNTY_NAME,0)))</f>
        <v/>
      </c>
      <c r="RB71" s="574" t="str">
        <f>IF(INDEX(RB3:RB61,MATCH(COUNTY_SELECT,COUNTY_NAME,0))=Selected_County[[#Headers],[Laotian Apps Equity ]],"",INDEX(RB3:RB61,MATCH(COUNTY_SELECT,COUNTY_NAME,0)))</f>
        <v/>
      </c>
      <c r="RC71" s="574" t="str">
        <f>IF(INDEX(RC3:RC61,MATCH(COUNTY_SELECT,COUNTY_NAME,0))=Selected_County[[#Headers],[Vietnamese Apps Equity ]],"",INDEX(RC3:RC61,MATCH(COUNTY_SELECT,COUNTY_NAME,0)))</f>
        <v/>
      </c>
      <c r="RD71" s="574" t="str">
        <f>IF(INDEX(RD3:RD61,MATCH(COUNTY_SELECT,COUNTY_NAME,0))=Selected_County[[#Headers],[Other Apps Equity ]],"",INDEX(RD3:RD61,MATCH(COUNTY_SELECT,COUNTY_NAME,0)))</f>
        <v/>
      </c>
      <c r="RE71" s="574" t="str">
        <f>IF(INDEX(RE3:RE61,MATCH(COUNTY_SELECT,COUNTY_NAME,0))=Selected_County[[#Headers],[White Denials Equity ]],"",INDEX(RE3:RE61,MATCH(COUNTY_SELECT,COUNTY_NAME,0)))</f>
        <v/>
      </c>
      <c r="RF71" s="574" t="str">
        <f>IF(INDEX(RF3:RF61,MATCH(COUNTY_SELECT,COUNTY_NAME,0))=Selected_County[[#Headers],[Hispanic Denials Equity ]],"",INDEX(RF3:RF61,MATCH(COUNTY_SELECT,COUNTY_NAME,0)))</f>
        <v/>
      </c>
      <c r="RG71" s="574" t="str">
        <f>IF(INDEX(RG3:RG61,MATCH(COUNTY_SELECT,COUNTY_NAME,0))=Selected_County[[#Headers],[Black Denials Equity ]],"",INDEX(RG3:RG61,MATCH(COUNTY_SELECT,COUNTY_NAME,0)))</f>
        <v/>
      </c>
      <c r="RH71" s="574" t="str">
        <f>IF(INDEX(RH3:RH61,MATCH(COUNTY_SELECT,COUNTY_NAME,0))=Selected_County[[#Headers],[Asian Pacific Denials Equity ]],"",INDEX(RH3:RH61,MATCH(COUNTY_SELECT,COUNTY_NAME,0)))</f>
        <v/>
      </c>
      <c r="RI71" s="574" t="str">
        <f>IF(INDEX(RI3:RI61,MATCH(COUNTY_SELECT,COUNTY_NAME,0))=Selected_County[[#Headers],[Alaskan Native Denials Equity ]],"",INDEX(RI3:RI61,MATCH(COUNTY_SELECT,COUNTY_NAME,0)))</f>
        <v/>
      </c>
      <c r="RJ71" s="574" t="str">
        <f>IF(INDEX(RJ3:RJ61,MATCH(COUNTY_SELECT,COUNTY_NAME,0))=Selected_County[[#Headers],[Filipino Denials Equity ]],"",INDEX(RJ3:RJ61,MATCH(COUNTY_SELECT,COUNTY_NAME,0)))</f>
        <v/>
      </c>
      <c r="RK71" s="574" t="str">
        <f>IF(INDEX(RK3:RK61,MATCH(COUNTY_SELECT,COUNTY_NAME,0))=Selected_County[[#Headers],[No Valid Data Denials Equity ]],"",INDEX(RK3:RK61,MATCH(COUNTY_SELECT,COUNTY_NAME,0)))</f>
        <v/>
      </c>
      <c r="RL71" s="574" t="str">
        <f>IF(INDEX(RL3:RL61,MATCH(COUNTY_SELECT,COUNTY_NAME,0))=Selected_County[[#Headers],[Amerasion Denials Equity ]],"",INDEX(RL3:RL61,MATCH(COUNTY_SELECT,COUNTY_NAME,0)))</f>
        <v/>
      </c>
      <c r="RM71" s="574" t="str">
        <f>IF(INDEX(RM3:RM61,MATCH(COUNTY_SELECT,COUNTY_NAME,0))=Selected_County[[#Headers],[Chinese Denials Equity ]],"",INDEX(RM3:RM61,MATCH(COUNTY_SELECT,COUNTY_NAME,0)))</f>
        <v/>
      </c>
      <c r="RN71" s="574" t="str">
        <f>IF(INDEX(RN3:RN61,MATCH(COUNTY_SELECT,COUNTY_NAME,0))=Selected_County[[#Headers],[Cambodian Denials Equity ]],"",INDEX(RN3:RN61,MATCH(COUNTY_SELECT,COUNTY_NAME,0)))</f>
        <v/>
      </c>
      <c r="RO71" s="574" t="str">
        <f>IF(INDEX(RO3:RO61,MATCH(COUNTY_SELECT,COUNTY_NAME,0))=Selected_County[[#Headers],[Japanese Denials Equity ]],"",INDEX(RO3:RO61,MATCH(COUNTY_SELECT,COUNTY_NAME,0)))</f>
        <v/>
      </c>
      <c r="RP71" s="574" t="str">
        <f>IF(INDEX(RP3:RP61,MATCH(COUNTY_SELECT,COUNTY_NAME,0))=Selected_County[[#Headers],[Korean Denials Equity ]],"",INDEX(RP3:RP61,MATCH(COUNTY_SELECT,COUNTY_NAME,0)))</f>
        <v/>
      </c>
      <c r="RQ71" s="574" t="str">
        <f>IF(INDEX(RQ3:RQ61,MATCH(COUNTY_SELECT,COUNTY_NAME,0))=Selected_County[[#Headers],[Samoan Denials Equity ]],"",INDEX(RQ3:RQ61,MATCH(COUNTY_SELECT,COUNTY_NAME,0)))</f>
        <v/>
      </c>
      <c r="RR71" s="574" t="str">
        <f>IF(INDEX(RR3:RR61,MATCH(COUNTY_SELECT,COUNTY_NAME,0))=Selected_County[[#Headers],[Asian Indian Denials Equity ]],"",INDEX(RR3:RR61,MATCH(COUNTY_SELECT,COUNTY_NAME,0)))</f>
        <v/>
      </c>
      <c r="RS71" s="574" t="str">
        <f>IF(INDEX(RS3:RS61,MATCH(COUNTY_SELECT,COUNTY_NAME,0))=Selected_County[[#Headers],[Hawaiian Denials Equity ]],"",INDEX(RS3:RS61,MATCH(COUNTY_SELECT,COUNTY_NAME,0)))</f>
        <v/>
      </c>
      <c r="RT71" s="574" t="str">
        <f>IF(INDEX(RT3:RT61,MATCH(COUNTY_SELECT,COUNTY_NAME,0))=Selected_County[[#Headers],[Guamanian Denials Equity ]],"",INDEX(RT3:RT61,MATCH(COUNTY_SELECT,COUNTY_NAME,0)))</f>
        <v/>
      </c>
      <c r="RU71" s="574" t="str">
        <f>IF(INDEX(RU3:RU61,MATCH(COUNTY_SELECT,COUNTY_NAME,0))=Selected_County[[#Headers],[Laotian Denials Equity ]],"",INDEX(RU3:RU61,MATCH(COUNTY_SELECT,COUNTY_NAME,0)))</f>
        <v/>
      </c>
      <c r="RV71" s="574" t="str">
        <f>IF(INDEX(RV3:RV61,MATCH(COUNTY_SELECT,COUNTY_NAME,0))=Selected_County[[#Headers],[Vietnamese Denials Equity ]],"",INDEX(RV3:RV61,MATCH(COUNTY_SELECT,COUNTY_NAME,0)))</f>
        <v/>
      </c>
      <c r="RW71" s="574" t="str">
        <f>IF(INDEX(RW3:RW61,MATCH(COUNTY_SELECT,COUNTY_NAME,0))=Selected_County[[#Headers],[Other Denials Equity ]],"",INDEX(RW3:RW61,MATCH(COUNTY_SELECT,COUNTY_NAME,0)))</f>
        <v/>
      </c>
      <c r="RX71" s="574" t="str">
        <f>IF(INDEX(RX3:RX61,MATCH(COUNTY_SELECT,COUNTY_NAME,0))=Selected_County[[#Headers],[White Auth Hours Equity ]],"",INDEX(RX3:RX61,MATCH(COUNTY_SELECT,COUNTY_NAME,0)))</f>
        <v/>
      </c>
      <c r="RY71" s="574" t="str">
        <f>IF(INDEX(RY3:RY61,MATCH(COUNTY_SELECT,COUNTY_NAME,0))=Selected_County[[#Headers],[Hispanic Auth Hours Equity ]],"",INDEX(RY3:RY61,MATCH(COUNTY_SELECT,COUNTY_NAME,0)))</f>
        <v/>
      </c>
      <c r="RZ71" s="574" t="str">
        <f>IF(INDEX(RZ3:RZ61,MATCH(COUNTY_SELECT,COUNTY_NAME,0))=Selected_County[[#Headers],[Black Auth Hours Equity ]],"",INDEX(RZ3:RZ61,MATCH(COUNTY_SELECT,COUNTY_NAME,0)))</f>
        <v/>
      </c>
      <c r="SA71" s="574" t="str">
        <f>IF(INDEX(SA3:SA61,MATCH(COUNTY_SELECT,COUNTY_NAME,0))=Selected_County[[#Headers],[Asian Pacific Auth Hours Equity ]],"",INDEX(SA3:SA61,MATCH(COUNTY_SELECT,COUNTY_NAME,0)))</f>
        <v/>
      </c>
      <c r="SB71" s="574" t="str">
        <f>IF(INDEX(SB3:SB61,MATCH(COUNTY_SELECT,COUNTY_NAME,0))=Selected_County[[#Headers],[Alaskan Native Auth Hours Equity ]],"",INDEX(SB3:SB61,MATCH(COUNTY_SELECT,COUNTY_NAME,0)))</f>
        <v/>
      </c>
      <c r="SC71" s="574" t="str">
        <f>IF(INDEX(SC3:SC61,MATCH(COUNTY_SELECT,COUNTY_NAME,0))=Selected_County[[#Headers],[Filipino Auth Hours Equity ]],"",INDEX(SC3:SC61,MATCH(COUNTY_SELECT,COUNTY_NAME,0)))</f>
        <v/>
      </c>
      <c r="SD71" s="574" t="str">
        <f>IF(INDEX(SD3:SD61,MATCH(COUNTY_SELECT,COUNTY_NAME,0))=Selected_County[[#Headers],[No Valid Data Auth Hours Equity ]],"",INDEX(SD3:SD61,MATCH(COUNTY_SELECT,COUNTY_NAME,0)))</f>
        <v/>
      </c>
      <c r="SE71" s="574" t="str">
        <f>IF(INDEX(SE3:SE61,MATCH(COUNTY_SELECT,COUNTY_NAME,0))=Selected_County[[#Headers],[Amerasion Auth Hours Equity ]],"",INDEX(SE3:SE61,MATCH(COUNTY_SELECT,COUNTY_NAME,0)))</f>
        <v/>
      </c>
      <c r="SF71" s="574" t="str">
        <f>IF(INDEX(SF3:SF61,MATCH(COUNTY_SELECT,COUNTY_NAME,0))=Selected_County[[#Headers],[Chinese Auth Hours Equity ]],"",INDEX(SF3:SF61,MATCH(COUNTY_SELECT,COUNTY_NAME,0)))</f>
        <v/>
      </c>
      <c r="SG71" s="574" t="str">
        <f>IF(INDEX(SG3:SG61,MATCH(COUNTY_SELECT,COUNTY_NAME,0))=Selected_County[[#Headers],[Cambodian Auth Hours Equity ]],"",INDEX(SG3:SG61,MATCH(COUNTY_SELECT,COUNTY_NAME,0)))</f>
        <v/>
      </c>
      <c r="SH71" s="574" t="str">
        <f>IF(INDEX(SH3:SH61,MATCH(COUNTY_SELECT,COUNTY_NAME,0))=Selected_County[[#Headers],[Japanese Auth Hours Equity ]],"",INDEX(SH3:SH61,MATCH(COUNTY_SELECT,COUNTY_NAME,0)))</f>
        <v/>
      </c>
      <c r="SI71" s="574" t="str">
        <f>IF(INDEX(SI3:SI61,MATCH(COUNTY_SELECT,COUNTY_NAME,0))=Selected_County[[#Headers],[Korean Auth Hours Equity ]],"",INDEX(SI3:SI61,MATCH(COUNTY_SELECT,COUNTY_NAME,0)))</f>
        <v/>
      </c>
      <c r="SJ71" s="574" t="str">
        <f>IF(INDEX(SJ3:SJ61,MATCH(COUNTY_SELECT,COUNTY_NAME,0))=Selected_County[[#Headers],[Samoan Auth Hours Equity ]],"",INDEX(SJ3:SJ61,MATCH(COUNTY_SELECT,COUNTY_NAME,0)))</f>
        <v/>
      </c>
      <c r="SK71" s="574" t="str">
        <f>IF(INDEX(SK3:SK61,MATCH(COUNTY_SELECT,COUNTY_NAME,0))=Selected_County[[#Headers],[Asian Indian Auth Hours Equity ]],"",INDEX(SK3:SK61,MATCH(COUNTY_SELECT,COUNTY_NAME,0)))</f>
        <v/>
      </c>
      <c r="SL71" s="574" t="str">
        <f>IF(INDEX(SL3:SL61,MATCH(COUNTY_SELECT,COUNTY_NAME,0))=Selected_County[[#Headers],[Hawaiian Auth Hours Equity ]],"",INDEX(SL3:SL61,MATCH(COUNTY_SELECT,COUNTY_NAME,0)))</f>
        <v/>
      </c>
      <c r="SM71" s="574" t="str">
        <f>IF(INDEX(SM3:SM61,MATCH(COUNTY_SELECT,COUNTY_NAME,0))=Selected_County[[#Headers],[Guamanian Auth Hours Equity ]],"",INDEX(SM3:SM61,MATCH(COUNTY_SELECT,COUNTY_NAME,0)))</f>
        <v/>
      </c>
      <c r="SN71" s="574" t="str">
        <f>IF(INDEX(SN3:SN61,MATCH(COUNTY_SELECT,COUNTY_NAME,0))=Selected_County[[#Headers],[Laotian Auth Hours Equity ]],"",INDEX(SN3:SN61,MATCH(COUNTY_SELECT,COUNTY_NAME,0)))</f>
        <v/>
      </c>
      <c r="SO71" s="574" t="str">
        <f>IF(INDEX(SO3:SO61,MATCH(COUNTY_SELECT,COUNTY_NAME,0))=Selected_County[[#Headers],[Vietnamese Auth Hours Equity ]],"",INDEX(SO3:SO61,MATCH(COUNTY_SELECT,COUNTY_NAME,0)))</f>
        <v/>
      </c>
      <c r="SP71" s="574" t="str">
        <f>IF(INDEX(SP3:SP61,MATCH(COUNTY_SELECT,COUNTY_NAME,0))=Selected_County[[#Headers],[Other Auth Hours Equity ]],"",INDEX(SP3:SP61,MATCH(COUNTY_SELECT,COUNTY_NAME,0)))</f>
        <v/>
      </c>
      <c r="SQ71" s="574" t="str">
        <f>IF(INDEX(SQ3:SQ61,MATCH(COUNTY_SELECT,COUNTY_NAME,0))=Selected_County[[#Headers],[White PS Equity ]],"",INDEX(SQ3:SQ61,MATCH(COUNTY_SELECT,COUNTY_NAME,0)))</f>
        <v/>
      </c>
      <c r="SR71" s="574" t="str">
        <f>IF(INDEX(SR3:SR61,MATCH(COUNTY_SELECT,COUNTY_NAME,0))=Selected_County[[#Headers],[Hispanic PS Equity ]],"",INDEX(SR3:SR61,MATCH(COUNTY_SELECT,COUNTY_NAME,0)))</f>
        <v/>
      </c>
      <c r="SS71" s="574" t="str">
        <f>IF(INDEX(SS3:SS61,MATCH(COUNTY_SELECT,COUNTY_NAME,0))=Selected_County[[#Headers],[Black PS Equity ]],"",INDEX(SS3:SS61,MATCH(COUNTY_SELECT,COUNTY_NAME,0)))</f>
        <v/>
      </c>
      <c r="ST71" s="574" t="str">
        <f>IF(INDEX(ST3:ST61,MATCH(COUNTY_SELECT,COUNTY_NAME,0))=Selected_County[[#Headers],[Asian Pacific PS Equity ]],"",INDEX(ST3:ST61,MATCH(COUNTY_SELECT,COUNTY_NAME,0)))</f>
        <v/>
      </c>
      <c r="SU71" s="574" t="str">
        <f>IF(INDEX(SU3:SU61,MATCH(COUNTY_SELECT,COUNTY_NAME,0))=Selected_County[[#Headers],[Alaskan Native PS Equity ]],"",INDEX(SU3:SU61,MATCH(COUNTY_SELECT,COUNTY_NAME,0)))</f>
        <v/>
      </c>
      <c r="SV71" s="574" t="str">
        <f>IF(INDEX(SV3:SV61,MATCH(COUNTY_SELECT,COUNTY_NAME,0))=Selected_County[[#Headers],[Filipino PS Equity ]],"",INDEX(SV3:SV61,MATCH(COUNTY_SELECT,COUNTY_NAME,0)))</f>
        <v/>
      </c>
      <c r="SW71" s="574" t="str">
        <f>IF(INDEX(SW3:SW61,MATCH(COUNTY_SELECT,COUNTY_NAME,0))=Selected_County[[#Headers],[No Valid Data PS Equity ]],"",INDEX(SW3:SW61,MATCH(COUNTY_SELECT,COUNTY_NAME,0)))</f>
        <v/>
      </c>
      <c r="SX71" s="574" t="str">
        <f>IF(INDEX(SX3:SX61,MATCH(COUNTY_SELECT,COUNTY_NAME,0))=Selected_County[[#Headers],[Amerasion PS Equity ]],"",INDEX(SX3:SX61,MATCH(COUNTY_SELECT,COUNTY_NAME,0)))</f>
        <v/>
      </c>
      <c r="SY71" s="574" t="str">
        <f>IF(INDEX(SY3:SY61,MATCH(COUNTY_SELECT,COUNTY_NAME,0))=Selected_County[[#Headers],[Chinese PS Equity ]],"",INDEX(SY3:SY61,MATCH(COUNTY_SELECT,COUNTY_NAME,0)))</f>
        <v/>
      </c>
      <c r="SZ71" s="574" t="str">
        <f>IF(INDEX(SZ3:SZ61,MATCH(COUNTY_SELECT,COUNTY_NAME,0))=Selected_County[[#Headers],[Cambodian PS Equity ]],"",INDEX(SZ3:SZ61,MATCH(COUNTY_SELECT,COUNTY_NAME,0)))</f>
        <v/>
      </c>
      <c r="TA71" s="574" t="str">
        <f>IF(INDEX(TA3:TA61,MATCH(COUNTY_SELECT,COUNTY_NAME,0))=Selected_County[[#Headers],[Japanese PS Equity ]],"",INDEX(TA3:TA61,MATCH(COUNTY_SELECT,COUNTY_NAME,0)))</f>
        <v/>
      </c>
      <c r="TB71" s="574" t="str">
        <f>IF(INDEX(TB3:TB61,MATCH(COUNTY_SELECT,COUNTY_NAME,0))=Selected_County[[#Headers],[Korean PS Equity ]],"",INDEX(TB3:TB61,MATCH(COUNTY_SELECT,COUNTY_NAME,0)))</f>
        <v/>
      </c>
      <c r="TC71" s="574" t="str">
        <f>IF(INDEX(TC3:TC61,MATCH(COUNTY_SELECT,COUNTY_NAME,0))=Selected_County[[#Headers],[Samoan PS Equity ]],"",INDEX(TC3:TC61,MATCH(COUNTY_SELECT,COUNTY_NAME,0)))</f>
        <v/>
      </c>
      <c r="TD71" s="574" t="str">
        <f>IF(INDEX(TD3:TD61,MATCH(COUNTY_SELECT,COUNTY_NAME,0))=Selected_County[[#Headers],[Asian Indian PS Equity ]],"",INDEX(TD3:TD61,MATCH(COUNTY_SELECT,COUNTY_NAME,0)))</f>
        <v/>
      </c>
      <c r="TE71" s="574" t="str">
        <f>IF(INDEX(TE3:TE61,MATCH(COUNTY_SELECT,COUNTY_NAME,0))=Selected_County[[#Headers],[Hawaiian PS Equity ]],"",INDEX(TE3:TE61,MATCH(COUNTY_SELECT,COUNTY_NAME,0)))</f>
        <v/>
      </c>
      <c r="TF71" s="574" t="str">
        <f>IF(INDEX(TF3:TF61,MATCH(COUNTY_SELECT,COUNTY_NAME,0))=Selected_County[[#Headers],[Guamanian PS Equity ]],"",INDEX(TF3:TF61,MATCH(COUNTY_SELECT,COUNTY_NAME,0)))</f>
        <v/>
      </c>
      <c r="TG71" s="574" t="str">
        <f>IF(INDEX(TG3:TG61,MATCH(COUNTY_SELECT,COUNTY_NAME,0))=Selected_County[[#Headers],[Laotian PS Equity ]],"",INDEX(TG3:TG61,MATCH(COUNTY_SELECT,COUNTY_NAME,0)))</f>
        <v/>
      </c>
      <c r="TH71" s="574" t="str">
        <f>IF(INDEX(TH3:TH61,MATCH(COUNTY_SELECT,COUNTY_NAME,0))=Selected_County[[#Headers],[Vietnamese PS Equity ]],"",INDEX(TH3:TH61,MATCH(COUNTY_SELECT,COUNTY_NAME,0)))</f>
        <v/>
      </c>
      <c r="TI71" s="574" t="str">
        <f>IF(INDEX(TI3:TI61,MATCH(COUNTY_SELECT,COUNTY_NAME,0))=Selected_County[[#Headers],[Other PS Equity ]],"",INDEX(TI3:TI61,MATCH(COUNTY_SELECT,COUNTY_NAME,0)))</f>
        <v/>
      </c>
      <c r="TJ71" s="574" t="str">
        <f>IF(INDEX(TJ3:TJ61,MATCH(COUNTY_SELECT,COUNTY_NAME,0))=Selected_County[[#Headers],[White PM Equity ]],"",INDEX(TJ3:TJ61,MATCH(COUNTY_SELECT,COUNTY_NAME,0)))</f>
        <v/>
      </c>
      <c r="TK71" s="574" t="str">
        <f>IF(INDEX(TK3:TK61,MATCH(COUNTY_SELECT,COUNTY_NAME,0))=Selected_County[[#Headers],[Hispanic PM Equity ]],"",INDEX(TK3:TK61,MATCH(COUNTY_SELECT,COUNTY_NAME,0)))</f>
        <v/>
      </c>
      <c r="TL71" s="574" t="str">
        <f>IF(INDEX(TL3:TL61,MATCH(COUNTY_SELECT,COUNTY_NAME,0))=Selected_County[[#Headers],[Black PM Equity ]],"",INDEX(TL3:TL61,MATCH(COUNTY_SELECT,COUNTY_NAME,0)))</f>
        <v/>
      </c>
      <c r="TM71" s="574" t="str">
        <f>IF(INDEX(TM3:TM61,MATCH(COUNTY_SELECT,COUNTY_NAME,0))=Selected_County[[#Headers],[Asian Pacific PM Equity ]],"",INDEX(TM3:TM61,MATCH(COUNTY_SELECT,COUNTY_NAME,0)))</f>
        <v/>
      </c>
      <c r="TN71" s="574" t="str">
        <f>IF(INDEX(TN3:TN61,MATCH(COUNTY_SELECT,COUNTY_NAME,0))=Selected_County[[#Headers],[Alaskan Native PM Equity ]],"",INDEX(TN3:TN61,MATCH(COUNTY_SELECT,COUNTY_NAME,0)))</f>
        <v/>
      </c>
      <c r="TO71" s="574" t="str">
        <f>IF(INDEX(TO3:TO61,MATCH(COUNTY_SELECT,COUNTY_NAME,0))=Selected_County[[#Headers],[Filipino PM Equity ]],"",INDEX(TO3:TO61,MATCH(COUNTY_SELECT,COUNTY_NAME,0)))</f>
        <v/>
      </c>
      <c r="TP71" s="574" t="str">
        <f>IF(INDEX(TP3:TP61,MATCH(COUNTY_SELECT,COUNTY_NAME,0))=Selected_County[[#Headers],[No Valid Data PM Equity ]],"",INDEX(TP3:TP61,MATCH(COUNTY_SELECT,COUNTY_NAME,0)))</f>
        <v/>
      </c>
      <c r="TQ71" s="574" t="str">
        <f>IF(INDEX(TQ3:TQ61,MATCH(COUNTY_SELECT,COUNTY_NAME,0))=Selected_County[[#Headers],[Amerasion PM Equity ]],"",INDEX(TQ3:TQ61,MATCH(COUNTY_SELECT,COUNTY_NAME,0)))</f>
        <v/>
      </c>
      <c r="TR71" s="574" t="str">
        <f>IF(INDEX(TR3:TR61,MATCH(COUNTY_SELECT,COUNTY_NAME,0))=Selected_County[[#Headers],[Chinese PM Equity ]],"",INDEX(TR3:TR61,MATCH(COUNTY_SELECT,COUNTY_NAME,0)))</f>
        <v/>
      </c>
      <c r="TS71" s="574" t="str">
        <f>IF(INDEX(TS3:TS61,MATCH(COUNTY_SELECT,COUNTY_NAME,0))=Selected_County[[#Headers],[Cambodian PM Equity ]],"",INDEX(TS3:TS61,MATCH(COUNTY_SELECT,COUNTY_NAME,0)))</f>
        <v/>
      </c>
      <c r="TT71" s="574" t="str">
        <f>IF(INDEX(TT3:TT61,MATCH(COUNTY_SELECT,COUNTY_NAME,0))=Selected_County[[#Headers],[Japanese PM Equity ]],"",INDEX(TT3:TT61,MATCH(COUNTY_SELECT,COUNTY_NAME,0)))</f>
        <v/>
      </c>
      <c r="TU71" s="574" t="str">
        <f>IF(INDEX(TU3:TU61,MATCH(COUNTY_SELECT,COUNTY_NAME,0))=Selected_County[[#Headers],[Korean PM Equity ]],"",INDEX(TU3:TU61,MATCH(COUNTY_SELECT,COUNTY_NAME,0)))</f>
        <v/>
      </c>
      <c r="TV71" s="574" t="str">
        <f>IF(INDEX(TV3:TV61,MATCH(COUNTY_SELECT,COUNTY_NAME,0))=Selected_County[[#Headers],[Samoan PM Equity ]],"",INDEX(TV3:TV61,MATCH(COUNTY_SELECT,COUNTY_NAME,0)))</f>
        <v/>
      </c>
      <c r="TW71" s="574" t="str">
        <f>IF(INDEX(TW3:TW61,MATCH(COUNTY_SELECT,COUNTY_NAME,0))=Selected_County[[#Headers],[Asian Indian PM Equity ]],"",INDEX(TW3:TW61,MATCH(COUNTY_SELECT,COUNTY_NAME,0)))</f>
        <v/>
      </c>
      <c r="TX71" s="574" t="str">
        <f>IF(INDEX(TX3:TX61,MATCH(COUNTY_SELECT,COUNTY_NAME,0))=Selected_County[[#Headers],[Hawaiian PM Equity ]],"",INDEX(TX3:TX61,MATCH(COUNTY_SELECT,COUNTY_NAME,0)))</f>
        <v/>
      </c>
      <c r="TY71" s="574" t="str">
        <f>IF(INDEX(TY3:TY61,MATCH(COUNTY_SELECT,COUNTY_NAME,0))=Selected_County[[#Headers],[Guamanian PM Equity ]],"",INDEX(TY3:TY61,MATCH(COUNTY_SELECT,COUNTY_NAME,0)))</f>
        <v/>
      </c>
      <c r="TZ71" s="574" t="str">
        <f>IF(INDEX(TZ3:TZ61,MATCH(COUNTY_SELECT,COUNTY_NAME,0))=Selected_County[[#Headers],[Laotian PM Equity ]],"",INDEX(TZ3:TZ61,MATCH(COUNTY_SELECT,COUNTY_NAME,0)))</f>
        <v/>
      </c>
      <c r="UA71" s="574" t="str">
        <f>IF(INDEX(UA3:UA61,MATCH(COUNTY_SELECT,COUNTY_NAME,0))=Selected_County[[#Headers],[Vietnamese PM Equity ]],"",INDEX(UA3:UA61,MATCH(COUNTY_SELECT,COUNTY_NAME,0)))</f>
        <v/>
      </c>
      <c r="UB71" s="574" t="str">
        <f>IF(INDEX(UB3:UB61,MATCH(COUNTY_SELECT,COUNTY_NAME,0))=Selected_County[[#Headers],[Other PM Equity ]],"",INDEX(UB3:UB61,MATCH(COUNTY_SELECT,COUNTY_NAME,0)))</f>
        <v/>
      </c>
      <c r="UC71" s="574" t="str">
        <f>IF(INDEX(UC3:UC61,MATCH(COUNTY_SELECT,COUNTY_NAME,0))=Selected_County[[#Headers],[White NSI Equity ]],"",INDEX(UC3:UC61,MATCH(COUNTY_SELECT,COUNTY_NAME,0)))</f>
        <v/>
      </c>
      <c r="UD71" s="574" t="str">
        <f>IF(INDEX(UD3:UD61,MATCH(COUNTY_SELECT,COUNTY_NAME,0))=Selected_County[[#Headers],[Hispanic NSI Equity ]],"",INDEX(UD3:UD61,MATCH(COUNTY_SELECT,COUNTY_NAME,0)))</f>
        <v/>
      </c>
      <c r="UE71" s="574" t="str">
        <f>IF(INDEX(UE3:UE61,MATCH(COUNTY_SELECT,COUNTY_NAME,0))=Selected_County[[#Headers],[Black NSI Equity ]],"",INDEX(UE3:UE61,MATCH(COUNTY_SELECT,COUNTY_NAME,0)))</f>
        <v/>
      </c>
      <c r="UF71" s="574" t="str">
        <f>IF(INDEX(UF3:UF61,MATCH(COUNTY_SELECT,COUNTY_NAME,0))=Selected_County[[#Headers],[Asian Pacific NSI Equity ]],"",INDEX(UF3:UF61,MATCH(COUNTY_SELECT,COUNTY_NAME,0)))</f>
        <v/>
      </c>
      <c r="UG71" s="574" t="str">
        <f>IF(INDEX(UG3:UG61,MATCH(COUNTY_SELECT,COUNTY_NAME,0))=Selected_County[[#Headers],[Alaskan Native NSI Equity ]],"",INDEX(UG3:UG61,MATCH(COUNTY_SELECT,COUNTY_NAME,0)))</f>
        <v/>
      </c>
      <c r="UH71" s="574" t="str">
        <f>IF(INDEX(UH3:UH61,MATCH(COUNTY_SELECT,COUNTY_NAME,0))=Selected_County[[#Headers],[Filipino NSI Equity ]],"",INDEX(UH3:UH61,MATCH(COUNTY_SELECT,COUNTY_NAME,0)))</f>
        <v/>
      </c>
      <c r="UI71" s="574" t="str">
        <f>IF(INDEX(UI3:UI61,MATCH(COUNTY_SELECT,COUNTY_NAME,0))=Selected_County[[#Headers],[No Valid Data NSI Equity ]],"",INDEX(UI3:UI61,MATCH(COUNTY_SELECT,COUNTY_NAME,0)))</f>
        <v/>
      </c>
      <c r="UJ71" s="574" t="str">
        <f>IF(INDEX(UJ3:UJ61,MATCH(COUNTY_SELECT,COUNTY_NAME,0))=Selected_County[[#Headers],[Amerasion NSI Equity ]],"",INDEX(UJ3:UJ61,MATCH(COUNTY_SELECT,COUNTY_NAME,0)))</f>
        <v/>
      </c>
      <c r="UK71" s="574" t="str">
        <f>IF(INDEX(UK3:UK61,MATCH(COUNTY_SELECT,COUNTY_NAME,0))=Selected_County[[#Headers],[Chinese NSI Equity ]],"",INDEX(UK3:UK61,MATCH(COUNTY_SELECT,COUNTY_NAME,0)))</f>
        <v/>
      </c>
      <c r="UL71" s="574" t="str">
        <f>IF(INDEX(UL3:UL61,MATCH(COUNTY_SELECT,COUNTY_NAME,0))=Selected_County[[#Headers],[Cambodian NSI Equity ]],"",INDEX(UL3:UL61,MATCH(COUNTY_SELECT,COUNTY_NAME,0)))</f>
        <v/>
      </c>
      <c r="UM71" s="574" t="str">
        <f>IF(INDEX(UM3:UM61,MATCH(COUNTY_SELECT,COUNTY_NAME,0))=Selected_County[[#Headers],[Japanese NSI Equity ]],"",INDEX(UM3:UM61,MATCH(COUNTY_SELECT,COUNTY_NAME,0)))</f>
        <v/>
      </c>
      <c r="UN71" s="574" t="str">
        <f>IF(INDEX(UN3:UN61,MATCH(COUNTY_SELECT,COUNTY_NAME,0))=Selected_County[[#Headers],[Korean NSI Equity ]],"",INDEX(UN3:UN61,MATCH(COUNTY_SELECT,COUNTY_NAME,0)))</f>
        <v/>
      </c>
      <c r="UO71" s="574" t="str">
        <f>IF(INDEX(UO3:UO61,MATCH(COUNTY_SELECT,COUNTY_NAME,0))=Selected_County[[#Headers],[Samoan NSI Equity ]],"",INDEX(UO3:UO61,MATCH(COUNTY_SELECT,COUNTY_NAME,0)))</f>
        <v/>
      </c>
      <c r="UP71" s="574" t="str">
        <f>IF(INDEX(UP3:UP61,MATCH(COUNTY_SELECT,COUNTY_NAME,0))=Selected_County[[#Headers],[Asian Indian NSI Equity ]],"",INDEX(UP3:UP61,MATCH(COUNTY_SELECT,COUNTY_NAME,0)))</f>
        <v/>
      </c>
      <c r="UQ71" s="574" t="str">
        <f>IF(INDEX(UQ3:UQ61,MATCH(COUNTY_SELECT,COUNTY_NAME,0))=Selected_County[[#Headers],[Hawaiian NSI Equity ]],"",INDEX(UQ3:UQ61,MATCH(COUNTY_SELECT,COUNTY_NAME,0)))</f>
        <v/>
      </c>
      <c r="UR71" s="574" t="str">
        <f>IF(INDEX(UR3:UR61,MATCH(COUNTY_SELECT,COUNTY_NAME,0))=Selected_County[[#Headers],[Guamanian NSI Equity ]],"",INDEX(UR3:UR61,MATCH(COUNTY_SELECT,COUNTY_NAME,0)))</f>
        <v/>
      </c>
      <c r="US71" s="574" t="str">
        <f>IF(INDEX(US3:US61,MATCH(COUNTY_SELECT,COUNTY_NAME,0))=Selected_County[[#Headers],[Laotian NSI Equity ]],"",INDEX(US3:US61,MATCH(COUNTY_SELECT,COUNTY_NAME,0)))</f>
        <v/>
      </c>
      <c r="UT71" s="574" t="str">
        <f>IF(INDEX(UT3:UT61,MATCH(COUNTY_SELECT,COUNTY_NAME,0))=Selected_County[[#Headers],[Vietnamese NSI Equity ]],"",INDEX(UT3:UT61,MATCH(COUNTY_SELECT,COUNTY_NAME,0)))</f>
        <v/>
      </c>
      <c r="UU71" s="574" t="str">
        <f>IF(INDEX(UU3:UU61,MATCH(COUNTY_SELECT,COUNTY_NAME,0))=Selected_County[[#Headers],[Other NSI Equity ]],"",INDEX(UU3:UU61,MATCH(COUNTY_SELECT,COUNTY_NAME,0)))</f>
        <v/>
      </c>
      <c r="UV71" s="574" t="str">
        <f>IF(INDEX(UV3:UV61,MATCH(COUNTY_SELECT,COUNTY_NAME,0))=Selected_County[[#Headers],[White SI Equity ]],"",INDEX(UV3:UV61,MATCH(COUNTY_SELECT,COUNTY_NAME,0)))</f>
        <v/>
      </c>
      <c r="UW71" s="574" t="str">
        <f>IF(INDEX(UW3:UW61,MATCH(COUNTY_SELECT,COUNTY_NAME,0))=Selected_County[[#Headers],[Hispanic SI Equity ]],"",INDEX(UW3:UW61,MATCH(COUNTY_SELECT,COUNTY_NAME,0)))</f>
        <v/>
      </c>
      <c r="UX71" s="574" t="str">
        <f>IF(INDEX(UX3:UX61,MATCH(COUNTY_SELECT,COUNTY_NAME,0))=Selected_County[[#Headers],[Black SI Equity ]],"",INDEX(UX3:UX61,MATCH(COUNTY_SELECT,COUNTY_NAME,0)))</f>
        <v/>
      </c>
      <c r="UY71" s="574" t="str">
        <f>IF(INDEX(UY3:UY61,MATCH(COUNTY_SELECT,COUNTY_NAME,0))=Selected_County[[#Headers],[Asian Pacific SI Equity ]],"",INDEX(UY3:UY61,MATCH(COUNTY_SELECT,COUNTY_NAME,0)))</f>
        <v/>
      </c>
      <c r="UZ71" s="574" t="str">
        <f>IF(INDEX(UZ3:UZ61,MATCH(COUNTY_SELECT,COUNTY_NAME,0))=Selected_County[[#Headers],[Alaskan Native SI Equity ]],"",INDEX(UZ3:UZ61,MATCH(COUNTY_SELECT,COUNTY_NAME,0)))</f>
        <v/>
      </c>
      <c r="VA71" s="574" t="str">
        <f>IF(INDEX(VA3:VA61,MATCH(COUNTY_SELECT,COUNTY_NAME,0))=Selected_County[[#Headers],[Filipino SI Equity ]],"",INDEX(VA3:VA61,MATCH(COUNTY_SELECT,COUNTY_NAME,0)))</f>
        <v/>
      </c>
      <c r="VB71" s="574" t="str">
        <f>IF(INDEX(VB3:VB61,MATCH(COUNTY_SELECT,COUNTY_NAME,0))=Selected_County[[#Headers],[No Valid Data SI Equity ]],"",INDEX(VB3:VB61,MATCH(COUNTY_SELECT,COUNTY_NAME,0)))</f>
        <v/>
      </c>
      <c r="VC71" s="574" t="str">
        <f>IF(INDEX(VC3:VC61,MATCH(COUNTY_SELECT,COUNTY_NAME,0))=Selected_County[[#Headers],[Amerasion SI Equity ]],"",INDEX(VC3:VC61,MATCH(COUNTY_SELECT,COUNTY_NAME,0)))</f>
        <v/>
      </c>
      <c r="VD71" s="574" t="str">
        <f>IF(INDEX(VD3:VD61,MATCH(COUNTY_SELECT,COUNTY_NAME,0))=Selected_County[[#Headers],[Chinese SI Equity ]],"",INDEX(VD3:VD61,MATCH(COUNTY_SELECT,COUNTY_NAME,0)))</f>
        <v/>
      </c>
      <c r="VE71" s="574" t="str">
        <f>IF(INDEX(VE3:VE61,MATCH(COUNTY_SELECT,COUNTY_NAME,0))=Selected_County[[#Headers],[Cambodian SI Equity ]],"",INDEX(VE3:VE61,MATCH(COUNTY_SELECT,COUNTY_NAME,0)))</f>
        <v/>
      </c>
      <c r="VF71" s="574" t="str">
        <f>IF(INDEX(VF3:VF61,MATCH(COUNTY_SELECT,COUNTY_NAME,0))=Selected_County[[#Headers],[Japanese SI Equity ]],"",INDEX(VF3:VF61,MATCH(COUNTY_SELECT,COUNTY_NAME,0)))</f>
        <v/>
      </c>
      <c r="VG71" s="574" t="str">
        <f>IF(INDEX(VG3:VG61,MATCH(COUNTY_SELECT,COUNTY_NAME,0))=Selected_County[[#Headers],[Korean SI Equity ]],"",INDEX(VG3:VG61,MATCH(COUNTY_SELECT,COUNTY_NAME,0)))</f>
        <v/>
      </c>
      <c r="VH71" s="574" t="str">
        <f>IF(INDEX(VH3:VH61,MATCH(COUNTY_SELECT,COUNTY_NAME,0))=Selected_County[[#Headers],[Samoan SI Equity ]],"",INDEX(VH3:VH61,MATCH(COUNTY_SELECT,COUNTY_NAME,0)))</f>
        <v/>
      </c>
      <c r="VI71" s="574" t="str">
        <f>IF(INDEX(VI3:VI61,MATCH(COUNTY_SELECT,COUNTY_NAME,0))=Selected_County[[#Headers],[Asian Indian SI Equity ]],"",INDEX(VI3:VI61,MATCH(COUNTY_SELECT,COUNTY_NAME,0)))</f>
        <v/>
      </c>
      <c r="VJ71" s="574" t="str">
        <f>IF(INDEX(VJ3:VJ61,MATCH(COUNTY_SELECT,COUNTY_NAME,0))=Selected_County[[#Headers],[Hawaiian SI Equity ]],"",INDEX(VJ3:VJ61,MATCH(COUNTY_SELECT,COUNTY_NAME,0)))</f>
        <v/>
      </c>
      <c r="VK71" s="574" t="str">
        <f>IF(INDEX(VK3:VK61,MATCH(COUNTY_SELECT,COUNTY_NAME,0))=Selected_County[[#Headers],[Guamanian SI Equity ]],"",INDEX(VK3:VK61,MATCH(COUNTY_SELECT,COUNTY_NAME,0)))</f>
        <v/>
      </c>
      <c r="VL71" s="574" t="str">
        <f>IF(INDEX(VL3:VL61,MATCH(COUNTY_SELECT,COUNTY_NAME,0))=Selected_County[[#Headers],[Laotian SI Equity ]],"",INDEX(VL3:VL61,MATCH(COUNTY_SELECT,COUNTY_NAME,0)))</f>
        <v/>
      </c>
      <c r="VM71" s="574" t="str">
        <f>IF(INDEX(VM3:VM61,MATCH(COUNTY_SELECT,COUNTY_NAME,0))=Selected_County[[#Headers],[Vietnamese SI Equity ]],"",INDEX(VM3:VM61,MATCH(COUNTY_SELECT,COUNTY_NAME,0)))</f>
        <v/>
      </c>
      <c r="VN71" s="574" t="str">
        <f>IF(INDEX(VN3:VN61,MATCH(COUNTY_SELECT,COUNTY_NAME,0))=Selected_County[[#Headers],[Other SI Equity ]],"",INDEX(VN3:VN61,MATCH(COUNTY_SELECT,COUNTY_NAME,0)))</f>
        <v/>
      </c>
    </row>
    <row r="72" spans="1:586" s="701" customFormat="1" ht="15.5" x14ac:dyDescent="0.35">
      <c r="A72" s="576" t="str">
        <f>IF(INDEX(COUNTY_SIZE,MATCH(COUNTY_SELECT,COUNTY_NAME,0))=ALL_DATA[[#Headers],[County Size]],"",INDEX(COUNTY_SIZE,MATCH(COUNTY_SELECT,COUNTY_NAME,0)))</f>
        <v/>
      </c>
      <c r="B72" s="696" t="str">
        <f>IF(INDEX($B$3:$B$61,MATCH(COUNTY_SELECT,COUNTY_NAME,0))=Selected_County[[#Headers],[County Size]],"",IFERROR(INDEX($B$3:$B$61,MATCH(COUNTY_SELECT,COUNTY_NAME,0)),"0"))</f>
        <v/>
      </c>
      <c r="C72" s="697" t="str">
        <f t="shared" ref="C72:BN72" si="0">IFERROR(INDEX(C64:C68,MATCH($A$72,$A$64:$A$68,0)),"")</f>
        <v/>
      </c>
      <c r="D72" s="738" t="str">
        <f t="shared" si="0"/>
        <v/>
      </c>
      <c r="E72" s="699" t="str">
        <f t="shared" si="0"/>
        <v/>
      </c>
      <c r="F72" s="699" t="str">
        <f t="shared" si="0"/>
        <v/>
      </c>
      <c r="G72" s="738" t="str">
        <f t="shared" si="0"/>
        <v/>
      </c>
      <c r="H72" s="738" t="str">
        <f t="shared" si="0"/>
        <v/>
      </c>
      <c r="I72" s="738" t="str">
        <f t="shared" si="0"/>
        <v/>
      </c>
      <c r="J72" s="738" t="str">
        <f t="shared" si="0"/>
        <v/>
      </c>
      <c r="K72" s="738" t="str">
        <f t="shared" si="0"/>
        <v/>
      </c>
      <c r="L72" s="699" t="str">
        <f t="shared" si="0"/>
        <v/>
      </c>
      <c r="M72" s="738" t="str">
        <f t="shared" si="0"/>
        <v/>
      </c>
      <c r="N72" s="699" t="str">
        <f t="shared" si="0"/>
        <v/>
      </c>
      <c r="O72" s="738" t="str">
        <f t="shared" si="0"/>
        <v/>
      </c>
      <c r="P72" s="699" t="str">
        <f t="shared" si="0"/>
        <v/>
      </c>
      <c r="Q72" s="738" t="str">
        <f t="shared" si="0"/>
        <v/>
      </c>
      <c r="R72" s="699" t="str">
        <f t="shared" si="0"/>
        <v/>
      </c>
      <c r="S72" s="738" t="str">
        <f t="shared" si="0"/>
        <v/>
      </c>
      <c r="T72" s="699" t="str">
        <f t="shared" si="0"/>
        <v/>
      </c>
      <c r="U72" s="738" t="str">
        <f t="shared" si="0"/>
        <v/>
      </c>
      <c r="V72" s="699" t="str">
        <f t="shared" si="0"/>
        <v/>
      </c>
      <c r="W72" s="738" t="str">
        <f t="shared" si="0"/>
        <v/>
      </c>
      <c r="X72" s="699" t="str">
        <f t="shared" si="0"/>
        <v/>
      </c>
      <c r="Y72" s="738" t="str">
        <f t="shared" si="0"/>
        <v/>
      </c>
      <c r="Z72" s="738" t="str">
        <f t="shared" si="0"/>
        <v/>
      </c>
      <c r="AA72" s="738" t="str">
        <f t="shared" si="0"/>
        <v/>
      </c>
      <c r="AB72" s="738" t="str">
        <f t="shared" si="0"/>
        <v/>
      </c>
      <c r="AC72" s="738" t="str">
        <f t="shared" si="0"/>
        <v/>
      </c>
      <c r="AD72" s="738" t="str">
        <f t="shared" si="0"/>
        <v/>
      </c>
      <c r="AE72" s="738" t="str">
        <f t="shared" si="0"/>
        <v/>
      </c>
      <c r="AF72" s="699" t="str">
        <f t="shared" si="0"/>
        <v/>
      </c>
      <c r="AG72" s="738" t="str">
        <f t="shared" si="0"/>
        <v/>
      </c>
      <c r="AH72" s="699" t="str">
        <f t="shared" si="0"/>
        <v/>
      </c>
      <c r="AI72" s="738" t="str">
        <f t="shared" si="0"/>
        <v/>
      </c>
      <c r="AJ72" s="699" t="str">
        <f t="shared" si="0"/>
        <v/>
      </c>
      <c r="AK72" s="698" t="str">
        <f t="shared" si="0"/>
        <v/>
      </c>
      <c r="AL72" s="699" t="str">
        <f t="shared" si="0"/>
        <v/>
      </c>
      <c r="AM72" s="738" t="str">
        <f t="shared" si="0"/>
        <v/>
      </c>
      <c r="AN72" s="738" t="str">
        <f t="shared" si="0"/>
        <v/>
      </c>
      <c r="AO72" s="738" t="str">
        <f t="shared" si="0"/>
        <v/>
      </c>
      <c r="AP72" s="738" t="str">
        <f t="shared" si="0"/>
        <v/>
      </c>
      <c r="AQ72" s="738" t="str">
        <f t="shared" si="0"/>
        <v/>
      </c>
      <c r="AR72" s="738" t="str">
        <f t="shared" si="0"/>
        <v/>
      </c>
      <c r="AS72" s="738" t="str">
        <f t="shared" si="0"/>
        <v/>
      </c>
      <c r="AT72" s="738" t="str">
        <f t="shared" si="0"/>
        <v/>
      </c>
      <c r="AU72" s="738" t="str">
        <f t="shared" si="0"/>
        <v/>
      </c>
      <c r="AV72" s="738" t="str">
        <f t="shared" si="0"/>
        <v/>
      </c>
      <c r="AW72" s="738" t="str">
        <f t="shared" si="0"/>
        <v/>
      </c>
      <c r="AX72" s="738" t="str">
        <f t="shared" si="0"/>
        <v/>
      </c>
      <c r="AY72" s="738" t="str">
        <f t="shared" si="0"/>
        <v/>
      </c>
      <c r="AZ72" s="738" t="str">
        <f t="shared" si="0"/>
        <v/>
      </c>
      <c r="BA72" s="738" t="str">
        <f t="shared" si="0"/>
        <v/>
      </c>
      <c r="BB72" s="738" t="str">
        <f t="shared" si="0"/>
        <v/>
      </c>
      <c r="BC72" s="738" t="str">
        <f t="shared" si="0"/>
        <v/>
      </c>
      <c r="BD72" s="738" t="str">
        <f t="shared" si="0"/>
        <v/>
      </c>
      <c r="BE72" s="738" t="str">
        <f t="shared" si="0"/>
        <v/>
      </c>
      <c r="BF72" s="738" t="str">
        <f t="shared" si="0"/>
        <v/>
      </c>
      <c r="BG72" s="738" t="str">
        <f t="shared" si="0"/>
        <v/>
      </c>
      <c r="BH72" s="738" t="str">
        <f t="shared" si="0"/>
        <v/>
      </c>
      <c r="BI72" s="738" t="str">
        <f t="shared" si="0"/>
        <v/>
      </c>
      <c r="BJ72" s="738" t="str">
        <f t="shared" si="0"/>
        <v/>
      </c>
      <c r="BK72" s="738" t="str">
        <f t="shared" si="0"/>
        <v/>
      </c>
      <c r="BL72" s="738" t="str">
        <f t="shared" si="0"/>
        <v/>
      </c>
      <c r="BM72" s="738" t="str">
        <f t="shared" si="0"/>
        <v/>
      </c>
      <c r="BN72" s="738" t="str">
        <f t="shared" si="0"/>
        <v/>
      </c>
      <c r="BO72" s="738" t="str">
        <f t="shared" ref="BO72:DZ72" si="1">IFERROR(INDEX(BO64:BO68,MATCH($A$72,$A$64:$A$68,0)),"")</f>
        <v/>
      </c>
      <c r="BP72" s="738" t="str">
        <f t="shared" si="1"/>
        <v/>
      </c>
      <c r="BQ72" s="738" t="str">
        <f t="shared" si="1"/>
        <v/>
      </c>
      <c r="BR72" s="738" t="str">
        <f t="shared" si="1"/>
        <v/>
      </c>
      <c r="BS72" s="738" t="str">
        <f t="shared" si="1"/>
        <v/>
      </c>
      <c r="BT72" s="738" t="str">
        <f t="shared" si="1"/>
        <v/>
      </c>
      <c r="BU72" s="738" t="str">
        <f t="shared" si="1"/>
        <v/>
      </c>
      <c r="BV72" s="738" t="str">
        <f t="shared" si="1"/>
        <v/>
      </c>
      <c r="BW72" s="738" t="str">
        <f t="shared" si="1"/>
        <v/>
      </c>
      <c r="BX72" s="738" t="str">
        <f t="shared" si="1"/>
        <v/>
      </c>
      <c r="BY72" s="738" t="str">
        <f t="shared" si="1"/>
        <v/>
      </c>
      <c r="BZ72" s="738" t="str">
        <f t="shared" si="1"/>
        <v/>
      </c>
      <c r="CA72" s="738" t="str">
        <f t="shared" si="1"/>
        <v/>
      </c>
      <c r="CB72" s="738" t="str">
        <f t="shared" si="1"/>
        <v/>
      </c>
      <c r="CC72" s="738" t="str">
        <f t="shared" si="1"/>
        <v/>
      </c>
      <c r="CD72" s="738" t="str">
        <f t="shared" si="1"/>
        <v/>
      </c>
      <c r="CE72" s="738" t="str">
        <f t="shared" si="1"/>
        <v/>
      </c>
      <c r="CF72" s="738" t="str">
        <f t="shared" si="1"/>
        <v/>
      </c>
      <c r="CG72" s="738" t="str">
        <f t="shared" si="1"/>
        <v/>
      </c>
      <c r="CH72" s="738" t="str">
        <f t="shared" si="1"/>
        <v/>
      </c>
      <c r="CI72" s="738" t="str">
        <f t="shared" si="1"/>
        <v/>
      </c>
      <c r="CJ72" s="738" t="str">
        <f t="shared" si="1"/>
        <v/>
      </c>
      <c r="CK72" s="738" t="str">
        <f t="shared" si="1"/>
        <v/>
      </c>
      <c r="CL72" s="738" t="str">
        <f t="shared" si="1"/>
        <v/>
      </c>
      <c r="CM72" s="738" t="str">
        <f t="shared" si="1"/>
        <v/>
      </c>
      <c r="CN72" s="738" t="str">
        <f t="shared" si="1"/>
        <v/>
      </c>
      <c r="CO72" s="738" t="str">
        <f t="shared" si="1"/>
        <v/>
      </c>
      <c r="CP72" s="738" t="str">
        <f t="shared" si="1"/>
        <v/>
      </c>
      <c r="CQ72" s="738" t="str">
        <f t="shared" si="1"/>
        <v/>
      </c>
      <c r="CR72" s="738" t="str">
        <f t="shared" si="1"/>
        <v/>
      </c>
      <c r="CS72" s="738" t="str">
        <f t="shared" si="1"/>
        <v/>
      </c>
      <c r="CT72" s="738" t="str">
        <f t="shared" si="1"/>
        <v/>
      </c>
      <c r="CU72" s="738" t="str">
        <f t="shared" si="1"/>
        <v/>
      </c>
      <c r="CV72" s="738" t="str">
        <f t="shared" si="1"/>
        <v/>
      </c>
      <c r="CW72" s="738" t="str">
        <f t="shared" si="1"/>
        <v/>
      </c>
      <c r="CX72" s="738" t="str">
        <f t="shared" si="1"/>
        <v/>
      </c>
      <c r="CY72" s="738" t="str">
        <f t="shared" si="1"/>
        <v/>
      </c>
      <c r="CZ72" s="738" t="str">
        <f t="shared" si="1"/>
        <v/>
      </c>
      <c r="DA72" s="738" t="str">
        <f t="shared" si="1"/>
        <v/>
      </c>
      <c r="DB72" s="738" t="str">
        <f t="shared" si="1"/>
        <v/>
      </c>
      <c r="DC72" s="738" t="str">
        <f t="shared" si="1"/>
        <v/>
      </c>
      <c r="DD72" s="738" t="str">
        <f t="shared" si="1"/>
        <v/>
      </c>
      <c r="DE72" s="738" t="str">
        <f t="shared" si="1"/>
        <v/>
      </c>
      <c r="DF72" s="738" t="str">
        <f t="shared" si="1"/>
        <v/>
      </c>
      <c r="DG72" s="738" t="str">
        <f t="shared" si="1"/>
        <v/>
      </c>
      <c r="DH72" s="738" t="str">
        <f t="shared" si="1"/>
        <v/>
      </c>
      <c r="DI72" s="738" t="str">
        <f t="shared" si="1"/>
        <v/>
      </c>
      <c r="DJ72" s="738" t="str">
        <f t="shared" si="1"/>
        <v/>
      </c>
      <c r="DK72" s="738" t="str">
        <f t="shared" si="1"/>
        <v/>
      </c>
      <c r="DL72" s="738" t="str">
        <f t="shared" si="1"/>
        <v/>
      </c>
      <c r="DM72" s="738" t="str">
        <f t="shared" si="1"/>
        <v/>
      </c>
      <c r="DN72" s="738" t="str">
        <f t="shared" si="1"/>
        <v/>
      </c>
      <c r="DO72" s="738" t="str">
        <f t="shared" si="1"/>
        <v/>
      </c>
      <c r="DP72" s="738" t="str">
        <f t="shared" si="1"/>
        <v/>
      </c>
      <c r="DQ72" s="738" t="str">
        <f t="shared" si="1"/>
        <v/>
      </c>
      <c r="DR72" s="738" t="str">
        <f t="shared" si="1"/>
        <v/>
      </c>
      <c r="DS72" s="738" t="str">
        <f t="shared" si="1"/>
        <v/>
      </c>
      <c r="DT72" s="738" t="str">
        <f t="shared" si="1"/>
        <v/>
      </c>
      <c r="DU72" s="738" t="str">
        <f t="shared" si="1"/>
        <v/>
      </c>
      <c r="DV72" s="698" t="str">
        <f t="shared" si="1"/>
        <v/>
      </c>
      <c r="DW72" s="699" t="str">
        <f t="shared" si="1"/>
        <v/>
      </c>
      <c r="DX72" s="698" t="str">
        <f t="shared" si="1"/>
        <v/>
      </c>
      <c r="DY72" s="699" t="str">
        <f t="shared" si="1"/>
        <v/>
      </c>
      <c r="DZ72" s="698" t="str">
        <f t="shared" si="1"/>
        <v/>
      </c>
      <c r="EA72" s="699" t="str">
        <f t="shared" ref="EA72:GL72" si="2">IFERROR(INDEX(EA64:EA68,MATCH($A$72,$A$64:$A$68,0)),"")</f>
        <v/>
      </c>
      <c r="EB72" s="698" t="str">
        <f t="shared" si="2"/>
        <v/>
      </c>
      <c r="EC72" s="699" t="str">
        <f t="shared" si="2"/>
        <v/>
      </c>
      <c r="ED72" s="698" t="str">
        <f t="shared" si="2"/>
        <v/>
      </c>
      <c r="EE72" s="699" t="str">
        <f t="shared" si="2"/>
        <v/>
      </c>
      <c r="EF72" s="698" t="str">
        <f t="shared" si="2"/>
        <v/>
      </c>
      <c r="EG72" s="699" t="str">
        <f t="shared" si="2"/>
        <v/>
      </c>
      <c r="EH72" s="698" t="str">
        <f t="shared" si="2"/>
        <v/>
      </c>
      <c r="EI72" s="699" t="str">
        <f t="shared" si="2"/>
        <v/>
      </c>
      <c r="EJ72" s="698" t="str">
        <f t="shared" si="2"/>
        <v/>
      </c>
      <c r="EK72" s="699" t="str">
        <f t="shared" si="2"/>
        <v/>
      </c>
      <c r="EL72" s="698" t="str">
        <f t="shared" si="2"/>
        <v/>
      </c>
      <c r="EM72" s="699" t="str">
        <f t="shared" si="2"/>
        <v/>
      </c>
      <c r="EN72" s="698" t="str">
        <f t="shared" si="2"/>
        <v/>
      </c>
      <c r="EO72" s="699" t="str">
        <f t="shared" si="2"/>
        <v/>
      </c>
      <c r="EP72" s="698" t="str">
        <f t="shared" si="2"/>
        <v/>
      </c>
      <c r="EQ72" s="699" t="str">
        <f t="shared" si="2"/>
        <v/>
      </c>
      <c r="ER72" s="698" t="str">
        <f t="shared" si="2"/>
        <v/>
      </c>
      <c r="ES72" s="699" t="str">
        <f t="shared" si="2"/>
        <v/>
      </c>
      <c r="ET72" s="698" t="str">
        <f t="shared" si="2"/>
        <v/>
      </c>
      <c r="EU72" s="698" t="str">
        <f t="shared" si="2"/>
        <v/>
      </c>
      <c r="EV72" s="699" t="str">
        <f t="shared" si="2"/>
        <v/>
      </c>
      <c r="EW72" s="698" t="str">
        <f t="shared" si="2"/>
        <v/>
      </c>
      <c r="EX72" s="699" t="str">
        <f t="shared" si="2"/>
        <v/>
      </c>
      <c r="EY72" s="698" t="str">
        <f t="shared" si="2"/>
        <v/>
      </c>
      <c r="EZ72" s="699" t="str">
        <f t="shared" si="2"/>
        <v/>
      </c>
      <c r="FA72" s="698" t="str">
        <f t="shared" si="2"/>
        <v/>
      </c>
      <c r="FB72" s="699" t="str">
        <f t="shared" si="2"/>
        <v/>
      </c>
      <c r="FC72" s="698" t="str">
        <f t="shared" si="2"/>
        <v/>
      </c>
      <c r="FD72" s="699" t="str">
        <f t="shared" si="2"/>
        <v/>
      </c>
      <c r="FE72" s="698" t="str">
        <f t="shared" si="2"/>
        <v/>
      </c>
      <c r="FF72" s="699" t="str">
        <f t="shared" si="2"/>
        <v/>
      </c>
      <c r="FG72" s="698" t="str">
        <f t="shared" si="2"/>
        <v/>
      </c>
      <c r="FH72" s="699" t="str">
        <f t="shared" si="2"/>
        <v/>
      </c>
      <c r="FI72" s="698" t="str">
        <f t="shared" si="2"/>
        <v/>
      </c>
      <c r="FJ72" s="699" t="str">
        <f t="shared" si="2"/>
        <v/>
      </c>
      <c r="FK72" s="698" t="str">
        <f t="shared" si="2"/>
        <v/>
      </c>
      <c r="FL72" s="699" t="str">
        <f t="shared" si="2"/>
        <v/>
      </c>
      <c r="FM72" s="698" t="str">
        <f t="shared" si="2"/>
        <v/>
      </c>
      <c r="FN72" s="699" t="str">
        <f t="shared" si="2"/>
        <v/>
      </c>
      <c r="FO72" s="698" t="str">
        <f t="shared" si="2"/>
        <v/>
      </c>
      <c r="FP72" s="699" t="str">
        <f t="shared" si="2"/>
        <v/>
      </c>
      <c r="FQ72" s="698" t="str">
        <f t="shared" si="2"/>
        <v/>
      </c>
      <c r="FR72" s="699" t="str">
        <f t="shared" si="2"/>
        <v/>
      </c>
      <c r="FS72" s="698" t="str">
        <f t="shared" si="2"/>
        <v/>
      </c>
      <c r="FT72" s="699" t="str">
        <f t="shared" si="2"/>
        <v/>
      </c>
      <c r="FU72" s="698" t="str">
        <f t="shared" si="2"/>
        <v/>
      </c>
      <c r="FV72" s="699" t="str">
        <f t="shared" si="2"/>
        <v/>
      </c>
      <c r="FW72" s="698" t="str">
        <f t="shared" si="2"/>
        <v/>
      </c>
      <c r="FX72" s="699" t="str">
        <f t="shared" si="2"/>
        <v/>
      </c>
      <c r="FY72" s="698" t="str">
        <f t="shared" si="2"/>
        <v/>
      </c>
      <c r="FZ72" s="699" t="str">
        <f t="shared" si="2"/>
        <v/>
      </c>
      <c r="GA72" s="698" t="str">
        <f t="shared" si="2"/>
        <v/>
      </c>
      <c r="GB72" s="699" t="str">
        <f t="shared" si="2"/>
        <v/>
      </c>
      <c r="GC72" s="696" t="str">
        <f t="shared" si="2"/>
        <v/>
      </c>
      <c r="GD72" s="698" t="str">
        <f t="shared" si="2"/>
        <v/>
      </c>
      <c r="GE72" s="698" t="str">
        <f t="shared" si="2"/>
        <v/>
      </c>
      <c r="GF72" s="698" t="str">
        <f t="shared" si="2"/>
        <v/>
      </c>
      <c r="GG72" s="698" t="str">
        <f t="shared" si="2"/>
        <v/>
      </c>
      <c r="GH72" s="698" t="str">
        <f t="shared" si="2"/>
        <v/>
      </c>
      <c r="GI72" s="698" t="str">
        <f t="shared" si="2"/>
        <v/>
      </c>
      <c r="GJ72" s="698" t="str">
        <f t="shared" si="2"/>
        <v/>
      </c>
      <c r="GK72" s="698" t="str">
        <f t="shared" si="2"/>
        <v/>
      </c>
      <c r="GL72" s="698" t="str">
        <f t="shared" si="2"/>
        <v/>
      </c>
      <c r="GM72" s="698" t="str">
        <f t="shared" ref="GM72:IX72" si="3">IFERROR(INDEX(GM64:GM68,MATCH($A$72,$A$64:$A$68,0)),"")</f>
        <v/>
      </c>
      <c r="GN72" s="698" t="str">
        <f t="shared" si="3"/>
        <v/>
      </c>
      <c r="GO72" s="698" t="str">
        <f t="shared" si="3"/>
        <v/>
      </c>
      <c r="GP72" s="698" t="str">
        <f t="shared" si="3"/>
        <v/>
      </c>
      <c r="GQ72" s="698" t="str">
        <f t="shared" si="3"/>
        <v/>
      </c>
      <c r="GR72" s="698" t="str">
        <f t="shared" si="3"/>
        <v/>
      </c>
      <c r="GS72" s="698" t="str">
        <f t="shared" si="3"/>
        <v/>
      </c>
      <c r="GT72" s="698" t="str">
        <f t="shared" si="3"/>
        <v/>
      </c>
      <c r="GU72" s="698" t="str">
        <f t="shared" si="3"/>
        <v/>
      </c>
      <c r="GV72" s="698" t="str">
        <f t="shared" si="3"/>
        <v/>
      </c>
      <c r="GW72" s="698" t="str">
        <f t="shared" si="3"/>
        <v/>
      </c>
      <c r="GX72" s="698" t="str">
        <f t="shared" si="3"/>
        <v/>
      </c>
      <c r="GY72" s="698" t="str">
        <f t="shared" si="3"/>
        <v/>
      </c>
      <c r="GZ72" s="698" t="str">
        <f t="shared" si="3"/>
        <v/>
      </c>
      <c r="HA72" s="698" t="str">
        <f t="shared" si="3"/>
        <v/>
      </c>
      <c r="HB72" s="698" t="str">
        <f t="shared" si="3"/>
        <v/>
      </c>
      <c r="HC72" s="698" t="str">
        <f t="shared" si="3"/>
        <v/>
      </c>
      <c r="HD72" s="698" t="str">
        <f t="shared" si="3"/>
        <v/>
      </c>
      <c r="HE72" s="698" t="str">
        <f t="shared" si="3"/>
        <v/>
      </c>
      <c r="HF72" s="698" t="str">
        <f t="shared" si="3"/>
        <v/>
      </c>
      <c r="HG72" s="698" t="str">
        <f t="shared" si="3"/>
        <v/>
      </c>
      <c r="HH72" s="698" t="str">
        <f t="shared" si="3"/>
        <v/>
      </c>
      <c r="HI72" s="698" t="str">
        <f t="shared" si="3"/>
        <v/>
      </c>
      <c r="HJ72" s="698" t="str">
        <f t="shared" si="3"/>
        <v/>
      </c>
      <c r="HK72" s="698" t="str">
        <f t="shared" si="3"/>
        <v/>
      </c>
      <c r="HL72" s="698" t="str">
        <f t="shared" si="3"/>
        <v/>
      </c>
      <c r="HM72" s="698" t="str">
        <f t="shared" si="3"/>
        <v/>
      </c>
      <c r="HN72" s="698" t="str">
        <f t="shared" si="3"/>
        <v/>
      </c>
      <c r="HO72" s="698" t="str">
        <f t="shared" si="3"/>
        <v/>
      </c>
      <c r="HP72" s="698" t="str">
        <f t="shared" si="3"/>
        <v/>
      </c>
      <c r="HQ72" s="698" t="str">
        <f t="shared" si="3"/>
        <v/>
      </c>
      <c r="HR72" s="698" t="str">
        <f t="shared" si="3"/>
        <v/>
      </c>
      <c r="HS72" s="698" t="str">
        <f t="shared" si="3"/>
        <v/>
      </c>
      <c r="HT72" s="698" t="str">
        <f t="shared" si="3"/>
        <v/>
      </c>
      <c r="HU72" s="698" t="str">
        <f t="shared" si="3"/>
        <v/>
      </c>
      <c r="HV72" s="698" t="str">
        <f t="shared" si="3"/>
        <v/>
      </c>
      <c r="HW72" s="698" t="str">
        <f t="shared" si="3"/>
        <v/>
      </c>
      <c r="HX72" s="698" t="str">
        <f t="shared" si="3"/>
        <v/>
      </c>
      <c r="HY72" s="698" t="str">
        <f t="shared" si="3"/>
        <v/>
      </c>
      <c r="HZ72" s="698" t="str">
        <f t="shared" si="3"/>
        <v/>
      </c>
      <c r="IA72" s="698" t="str">
        <f t="shared" si="3"/>
        <v/>
      </c>
      <c r="IB72" s="698" t="str">
        <f t="shared" si="3"/>
        <v/>
      </c>
      <c r="IC72" s="698" t="str">
        <f t="shared" si="3"/>
        <v/>
      </c>
      <c r="ID72" s="698" t="str">
        <f t="shared" si="3"/>
        <v/>
      </c>
      <c r="IE72" s="698" t="str">
        <f t="shared" si="3"/>
        <v/>
      </c>
      <c r="IF72" s="698" t="str">
        <f t="shared" si="3"/>
        <v/>
      </c>
      <c r="IG72" s="698" t="str">
        <f t="shared" si="3"/>
        <v/>
      </c>
      <c r="IH72" s="698" t="str">
        <f t="shared" si="3"/>
        <v/>
      </c>
      <c r="II72" s="698" t="str">
        <f t="shared" si="3"/>
        <v/>
      </c>
      <c r="IJ72" s="698" t="str">
        <f t="shared" si="3"/>
        <v/>
      </c>
      <c r="IK72" s="698" t="str">
        <f t="shared" si="3"/>
        <v/>
      </c>
      <c r="IL72" s="698" t="str">
        <f t="shared" si="3"/>
        <v/>
      </c>
      <c r="IM72" s="698" t="str">
        <f t="shared" si="3"/>
        <v/>
      </c>
      <c r="IN72" s="698" t="str">
        <f t="shared" si="3"/>
        <v/>
      </c>
      <c r="IO72" s="698" t="str">
        <f t="shared" si="3"/>
        <v/>
      </c>
      <c r="IP72" s="698" t="str">
        <f t="shared" si="3"/>
        <v/>
      </c>
      <c r="IQ72" s="698" t="str">
        <f t="shared" si="3"/>
        <v/>
      </c>
      <c r="IR72" s="698" t="str">
        <f t="shared" si="3"/>
        <v/>
      </c>
      <c r="IS72" s="698" t="str">
        <f t="shared" si="3"/>
        <v/>
      </c>
      <c r="IT72" s="698" t="str">
        <f t="shared" si="3"/>
        <v/>
      </c>
      <c r="IU72" s="698" t="str">
        <f t="shared" si="3"/>
        <v/>
      </c>
      <c r="IV72" s="698" t="str">
        <f t="shared" si="3"/>
        <v/>
      </c>
      <c r="IW72" s="698" t="str">
        <f t="shared" si="3"/>
        <v/>
      </c>
      <c r="IX72" s="698" t="str">
        <f t="shared" si="3"/>
        <v/>
      </c>
      <c r="IY72" s="698" t="str">
        <f t="shared" ref="IY72:LJ72" si="4">IFERROR(INDEX(IY64:IY68,MATCH($A$72,$A$64:$A$68,0)),"")</f>
        <v/>
      </c>
      <c r="IZ72" s="698" t="str">
        <f t="shared" si="4"/>
        <v/>
      </c>
      <c r="JA72" s="698" t="str">
        <f t="shared" si="4"/>
        <v/>
      </c>
      <c r="JB72" s="698" t="str">
        <f t="shared" si="4"/>
        <v/>
      </c>
      <c r="JC72" s="698" t="str">
        <f t="shared" si="4"/>
        <v/>
      </c>
      <c r="JD72" s="698" t="str">
        <f t="shared" si="4"/>
        <v/>
      </c>
      <c r="JE72" s="698" t="str">
        <f t="shared" si="4"/>
        <v/>
      </c>
      <c r="JF72" s="698" t="str">
        <f t="shared" si="4"/>
        <v/>
      </c>
      <c r="JG72" s="698" t="str">
        <f t="shared" si="4"/>
        <v/>
      </c>
      <c r="JH72" s="698" t="str">
        <f t="shared" si="4"/>
        <v/>
      </c>
      <c r="JI72" s="698" t="str">
        <f t="shared" si="4"/>
        <v/>
      </c>
      <c r="JJ72" s="698" t="str">
        <f t="shared" si="4"/>
        <v/>
      </c>
      <c r="JK72" s="698" t="str">
        <f t="shared" si="4"/>
        <v/>
      </c>
      <c r="JL72" s="698" t="str">
        <f t="shared" si="4"/>
        <v/>
      </c>
      <c r="JM72" s="698" t="str">
        <f t="shared" si="4"/>
        <v/>
      </c>
      <c r="JN72" s="698" t="str">
        <f t="shared" si="4"/>
        <v/>
      </c>
      <c r="JO72" s="698" t="str">
        <f t="shared" si="4"/>
        <v/>
      </c>
      <c r="JP72" s="698" t="str">
        <f t="shared" si="4"/>
        <v/>
      </c>
      <c r="JQ72" s="698" t="str">
        <f t="shared" si="4"/>
        <v/>
      </c>
      <c r="JR72" s="698" t="str">
        <f t="shared" si="4"/>
        <v/>
      </c>
      <c r="JS72" s="698" t="str">
        <f t="shared" si="4"/>
        <v/>
      </c>
      <c r="JT72" s="698" t="str">
        <f t="shared" si="4"/>
        <v/>
      </c>
      <c r="JU72" s="698" t="str">
        <f t="shared" si="4"/>
        <v/>
      </c>
      <c r="JV72" s="698" t="str">
        <f t="shared" si="4"/>
        <v/>
      </c>
      <c r="JW72" s="698" t="str">
        <f t="shared" si="4"/>
        <v/>
      </c>
      <c r="JX72" s="698" t="str">
        <f t="shared" si="4"/>
        <v/>
      </c>
      <c r="JY72" s="698" t="str">
        <f t="shared" si="4"/>
        <v/>
      </c>
      <c r="JZ72" s="698" t="str">
        <f t="shared" si="4"/>
        <v/>
      </c>
      <c r="KA72" s="698" t="str">
        <f t="shared" si="4"/>
        <v/>
      </c>
      <c r="KB72" s="698" t="str">
        <f t="shared" si="4"/>
        <v/>
      </c>
      <c r="KC72" s="698" t="str">
        <f t="shared" si="4"/>
        <v/>
      </c>
      <c r="KD72" s="698" t="str">
        <f t="shared" si="4"/>
        <v/>
      </c>
      <c r="KE72" s="698" t="str">
        <f t="shared" si="4"/>
        <v/>
      </c>
      <c r="KF72" s="698" t="str">
        <f t="shared" si="4"/>
        <v/>
      </c>
      <c r="KG72" s="698" t="str">
        <f t="shared" si="4"/>
        <v/>
      </c>
      <c r="KH72" s="698" t="str">
        <f t="shared" si="4"/>
        <v/>
      </c>
      <c r="KI72" s="698" t="str">
        <f t="shared" si="4"/>
        <v/>
      </c>
      <c r="KJ72" s="698" t="str">
        <f t="shared" si="4"/>
        <v/>
      </c>
      <c r="KK72" s="698" t="str">
        <f t="shared" si="4"/>
        <v/>
      </c>
      <c r="KL72" s="698" t="str">
        <f t="shared" si="4"/>
        <v/>
      </c>
      <c r="KM72" s="698" t="str">
        <f t="shared" si="4"/>
        <v/>
      </c>
      <c r="KN72" s="698" t="str">
        <f t="shared" si="4"/>
        <v/>
      </c>
      <c r="KO72" s="698" t="str">
        <f t="shared" si="4"/>
        <v/>
      </c>
      <c r="KP72" s="698" t="str">
        <f t="shared" si="4"/>
        <v/>
      </c>
      <c r="KQ72" s="698" t="str">
        <f t="shared" si="4"/>
        <v/>
      </c>
      <c r="KR72" s="698" t="str">
        <f t="shared" si="4"/>
        <v/>
      </c>
      <c r="KS72" s="698" t="str">
        <f t="shared" si="4"/>
        <v/>
      </c>
      <c r="KT72" s="698" t="str">
        <f t="shared" si="4"/>
        <v/>
      </c>
      <c r="KU72" s="698" t="str">
        <f t="shared" si="4"/>
        <v/>
      </c>
      <c r="KV72" s="698" t="str">
        <f t="shared" si="4"/>
        <v/>
      </c>
      <c r="KW72" s="698" t="str">
        <f t="shared" si="4"/>
        <v/>
      </c>
      <c r="KX72" s="698" t="str">
        <f t="shared" si="4"/>
        <v/>
      </c>
      <c r="KY72" s="698" t="str">
        <f t="shared" si="4"/>
        <v/>
      </c>
      <c r="KZ72" s="698" t="str">
        <f t="shared" si="4"/>
        <v/>
      </c>
      <c r="LA72" s="698" t="str">
        <f t="shared" si="4"/>
        <v/>
      </c>
      <c r="LB72" s="698" t="str">
        <f t="shared" si="4"/>
        <v/>
      </c>
      <c r="LC72" s="698" t="str">
        <f t="shared" si="4"/>
        <v/>
      </c>
      <c r="LD72" s="698" t="str">
        <f t="shared" si="4"/>
        <v/>
      </c>
      <c r="LE72" s="698" t="str">
        <f t="shared" si="4"/>
        <v/>
      </c>
      <c r="LF72" s="698" t="str">
        <f t="shared" si="4"/>
        <v/>
      </c>
      <c r="LG72" s="698" t="str">
        <f t="shared" si="4"/>
        <v/>
      </c>
      <c r="LH72" s="698" t="str">
        <f t="shared" si="4"/>
        <v/>
      </c>
      <c r="LI72" s="698" t="str">
        <f t="shared" si="4"/>
        <v/>
      </c>
      <c r="LJ72" s="698" t="str">
        <f t="shared" si="4"/>
        <v/>
      </c>
      <c r="LK72" s="698" t="str">
        <f t="shared" ref="LK72:NV72" si="5">IFERROR(INDEX(LK64:LK68,MATCH($A$72,$A$64:$A$68,0)),"")</f>
        <v/>
      </c>
      <c r="LL72" s="698" t="str">
        <f t="shared" si="5"/>
        <v/>
      </c>
      <c r="LM72" s="698" t="str">
        <f t="shared" si="5"/>
        <v/>
      </c>
      <c r="LN72" s="698" t="str">
        <f t="shared" si="5"/>
        <v/>
      </c>
      <c r="LO72" s="698" t="str">
        <f t="shared" si="5"/>
        <v/>
      </c>
      <c r="LP72" s="698" t="str">
        <f t="shared" si="5"/>
        <v/>
      </c>
      <c r="LQ72" s="698" t="str">
        <f t="shared" si="5"/>
        <v/>
      </c>
      <c r="LR72" s="698" t="str">
        <f t="shared" si="5"/>
        <v/>
      </c>
      <c r="LS72" s="698" t="str">
        <f t="shared" si="5"/>
        <v/>
      </c>
      <c r="LT72" s="698" t="str">
        <f t="shared" si="5"/>
        <v/>
      </c>
      <c r="LU72" s="698" t="str">
        <f t="shared" si="5"/>
        <v/>
      </c>
      <c r="LV72" s="698" t="str">
        <f t="shared" si="5"/>
        <v/>
      </c>
      <c r="LW72" s="698" t="str">
        <f t="shared" si="5"/>
        <v/>
      </c>
      <c r="LX72" s="698" t="str">
        <f t="shared" si="5"/>
        <v/>
      </c>
      <c r="LY72" s="698" t="str">
        <f t="shared" si="5"/>
        <v/>
      </c>
      <c r="LZ72" s="698" t="str">
        <f t="shared" si="5"/>
        <v/>
      </c>
      <c r="MA72" s="698" t="str">
        <f t="shared" si="5"/>
        <v/>
      </c>
      <c r="MB72" s="698" t="str">
        <f t="shared" si="5"/>
        <v/>
      </c>
      <c r="MC72" s="698" t="str">
        <f t="shared" si="5"/>
        <v/>
      </c>
      <c r="MD72" s="698" t="str">
        <f t="shared" si="5"/>
        <v/>
      </c>
      <c r="ME72" s="698" t="str">
        <f t="shared" si="5"/>
        <v/>
      </c>
      <c r="MF72" s="698" t="str">
        <f t="shared" si="5"/>
        <v/>
      </c>
      <c r="MG72" s="698" t="str">
        <f t="shared" si="5"/>
        <v/>
      </c>
      <c r="MH72" s="698" t="str">
        <f t="shared" si="5"/>
        <v/>
      </c>
      <c r="MI72" s="698" t="str">
        <f t="shared" si="5"/>
        <v/>
      </c>
      <c r="MJ72" s="698" t="str">
        <f t="shared" si="5"/>
        <v/>
      </c>
      <c r="MK72" s="698" t="str">
        <f t="shared" si="5"/>
        <v/>
      </c>
      <c r="ML72" s="698" t="str">
        <f t="shared" si="5"/>
        <v/>
      </c>
      <c r="MM72" s="698" t="str">
        <f t="shared" si="5"/>
        <v/>
      </c>
      <c r="MN72" s="698" t="str">
        <f t="shared" si="5"/>
        <v/>
      </c>
      <c r="MO72" s="698" t="str">
        <f t="shared" si="5"/>
        <v/>
      </c>
      <c r="MP72" s="698" t="str">
        <f t="shared" si="5"/>
        <v/>
      </c>
      <c r="MQ72" s="698" t="str">
        <f t="shared" si="5"/>
        <v/>
      </c>
      <c r="MR72" s="698" t="str">
        <f t="shared" si="5"/>
        <v/>
      </c>
      <c r="MS72" s="698" t="str">
        <f t="shared" si="5"/>
        <v/>
      </c>
      <c r="MT72" s="698" t="str">
        <f t="shared" si="5"/>
        <v/>
      </c>
      <c r="MU72" s="698" t="str">
        <f t="shared" si="5"/>
        <v/>
      </c>
      <c r="MV72" s="698" t="str">
        <f t="shared" si="5"/>
        <v/>
      </c>
      <c r="MW72" s="698" t="str">
        <f t="shared" si="5"/>
        <v/>
      </c>
      <c r="MX72" s="698" t="str">
        <f t="shared" si="5"/>
        <v/>
      </c>
      <c r="MY72" s="698" t="str">
        <f t="shared" si="5"/>
        <v/>
      </c>
      <c r="MZ72" s="698" t="str">
        <f t="shared" si="5"/>
        <v/>
      </c>
      <c r="NA72" s="698" t="str">
        <f t="shared" si="5"/>
        <v/>
      </c>
      <c r="NB72" s="698" t="str">
        <f t="shared" si="5"/>
        <v/>
      </c>
      <c r="NC72" s="586" t="str">
        <f t="shared" si="5"/>
        <v/>
      </c>
      <c r="ND72" s="587" t="str">
        <f t="shared" si="5"/>
        <v/>
      </c>
      <c r="NE72" s="587" t="str">
        <f t="shared" si="5"/>
        <v/>
      </c>
      <c r="NF72" s="587" t="str">
        <f t="shared" si="5"/>
        <v/>
      </c>
      <c r="NG72" s="587" t="str">
        <f t="shared" si="5"/>
        <v/>
      </c>
      <c r="NH72" s="587" t="str">
        <f t="shared" si="5"/>
        <v/>
      </c>
      <c r="NI72" s="587" t="str">
        <f t="shared" si="5"/>
        <v/>
      </c>
      <c r="NJ72" s="587" t="str">
        <f t="shared" si="5"/>
        <v/>
      </c>
      <c r="NK72" s="587" t="str">
        <f t="shared" si="5"/>
        <v/>
      </c>
      <c r="NL72" s="587" t="str">
        <f t="shared" si="5"/>
        <v/>
      </c>
      <c r="NM72" s="587" t="str">
        <f t="shared" si="5"/>
        <v/>
      </c>
      <c r="NN72" s="587" t="str">
        <f t="shared" si="5"/>
        <v/>
      </c>
      <c r="NO72" s="587" t="str">
        <f t="shared" si="5"/>
        <v/>
      </c>
      <c r="NP72" s="587" t="str">
        <f t="shared" si="5"/>
        <v/>
      </c>
      <c r="NQ72" s="587" t="str">
        <f t="shared" si="5"/>
        <v/>
      </c>
      <c r="NR72" s="587" t="str">
        <f t="shared" si="5"/>
        <v/>
      </c>
      <c r="NS72" s="587" t="str">
        <f t="shared" si="5"/>
        <v/>
      </c>
      <c r="NT72" s="587" t="str">
        <f t="shared" si="5"/>
        <v/>
      </c>
      <c r="NU72" s="587" t="str">
        <f t="shared" si="5"/>
        <v/>
      </c>
      <c r="NV72" s="587" t="str">
        <f t="shared" si="5"/>
        <v/>
      </c>
      <c r="NW72" s="587" t="str">
        <f t="shared" ref="NW72:QH72" si="6">IFERROR(INDEX(NW64:NW68,MATCH($A$72,$A$64:$A$68,0)),"")</f>
        <v/>
      </c>
      <c r="NX72" s="587" t="str">
        <f t="shared" si="6"/>
        <v/>
      </c>
      <c r="NY72" s="587" t="str">
        <f t="shared" si="6"/>
        <v/>
      </c>
      <c r="NZ72" s="587" t="str">
        <f t="shared" si="6"/>
        <v/>
      </c>
      <c r="OA72" s="587" t="str">
        <f t="shared" si="6"/>
        <v/>
      </c>
      <c r="OB72" s="587" t="str">
        <f t="shared" si="6"/>
        <v/>
      </c>
      <c r="OC72" s="587" t="str">
        <f t="shared" si="6"/>
        <v/>
      </c>
      <c r="OD72" s="587" t="str">
        <f t="shared" si="6"/>
        <v/>
      </c>
      <c r="OE72" s="587" t="str">
        <f t="shared" si="6"/>
        <v/>
      </c>
      <c r="OF72" s="587" t="str">
        <f t="shared" si="6"/>
        <v/>
      </c>
      <c r="OG72" s="587" t="str">
        <f t="shared" si="6"/>
        <v/>
      </c>
      <c r="OH72" s="587" t="str">
        <f t="shared" si="6"/>
        <v/>
      </c>
      <c r="OI72" s="587" t="str">
        <f t="shared" si="6"/>
        <v/>
      </c>
      <c r="OJ72" s="587" t="str">
        <f t="shared" si="6"/>
        <v/>
      </c>
      <c r="OK72" s="587" t="str">
        <f t="shared" si="6"/>
        <v/>
      </c>
      <c r="OL72" s="587" t="str">
        <f t="shared" si="6"/>
        <v/>
      </c>
      <c r="OM72" s="587" t="str">
        <f t="shared" si="6"/>
        <v/>
      </c>
      <c r="ON72" s="587" t="str">
        <f t="shared" si="6"/>
        <v/>
      </c>
      <c r="OO72" s="587" t="str">
        <f t="shared" si="6"/>
        <v/>
      </c>
      <c r="OP72" s="587" t="str">
        <f t="shared" si="6"/>
        <v/>
      </c>
      <c r="OQ72" s="587" t="str">
        <f t="shared" si="6"/>
        <v/>
      </c>
      <c r="OR72" s="587" t="str">
        <f t="shared" si="6"/>
        <v/>
      </c>
      <c r="OS72" s="587" t="str">
        <f t="shared" si="6"/>
        <v/>
      </c>
      <c r="OT72" s="587" t="str">
        <f t="shared" si="6"/>
        <v/>
      </c>
      <c r="OU72" s="587" t="str">
        <f t="shared" si="6"/>
        <v/>
      </c>
      <c r="OV72" s="587" t="str">
        <f t="shared" si="6"/>
        <v/>
      </c>
      <c r="OW72" s="587" t="str">
        <f t="shared" si="6"/>
        <v/>
      </c>
      <c r="OX72" s="587" t="str">
        <f t="shared" si="6"/>
        <v/>
      </c>
      <c r="OY72" s="587" t="str">
        <f t="shared" si="6"/>
        <v/>
      </c>
      <c r="OZ72" s="587" t="str">
        <f t="shared" si="6"/>
        <v/>
      </c>
      <c r="PA72" s="587" t="str">
        <f t="shared" si="6"/>
        <v/>
      </c>
      <c r="PB72" s="587" t="str">
        <f t="shared" si="6"/>
        <v/>
      </c>
      <c r="PC72" s="587" t="str">
        <f t="shared" si="6"/>
        <v/>
      </c>
      <c r="PD72" s="587" t="str">
        <f t="shared" si="6"/>
        <v/>
      </c>
      <c r="PE72" s="587" t="str">
        <f t="shared" si="6"/>
        <v/>
      </c>
      <c r="PF72" s="587" t="str">
        <f t="shared" si="6"/>
        <v/>
      </c>
      <c r="PG72" s="587" t="str">
        <f t="shared" si="6"/>
        <v/>
      </c>
      <c r="PH72" s="587" t="str">
        <f t="shared" si="6"/>
        <v/>
      </c>
      <c r="PI72" s="587" t="str">
        <f t="shared" si="6"/>
        <v/>
      </c>
      <c r="PJ72" s="587" t="str">
        <f t="shared" si="6"/>
        <v/>
      </c>
      <c r="PK72" s="587" t="str">
        <f t="shared" si="6"/>
        <v/>
      </c>
      <c r="PL72" s="587" t="str">
        <f t="shared" si="6"/>
        <v/>
      </c>
      <c r="PM72" s="587" t="str">
        <f t="shared" si="6"/>
        <v/>
      </c>
      <c r="PN72" s="587" t="str">
        <f t="shared" si="6"/>
        <v/>
      </c>
      <c r="PO72" s="587" t="str">
        <f t="shared" si="6"/>
        <v/>
      </c>
      <c r="PP72" s="587" t="str">
        <f t="shared" si="6"/>
        <v/>
      </c>
      <c r="PQ72" s="587" t="str">
        <f t="shared" si="6"/>
        <v/>
      </c>
      <c r="PR72" s="587" t="str">
        <f t="shared" si="6"/>
        <v/>
      </c>
      <c r="PS72" s="587" t="str">
        <f t="shared" si="6"/>
        <v/>
      </c>
      <c r="PT72" s="587" t="str">
        <f t="shared" si="6"/>
        <v/>
      </c>
      <c r="PU72" s="587" t="str">
        <f t="shared" si="6"/>
        <v/>
      </c>
      <c r="PV72" s="587" t="str">
        <f t="shared" si="6"/>
        <v/>
      </c>
      <c r="PW72" s="587" t="str">
        <f t="shared" si="6"/>
        <v/>
      </c>
      <c r="PX72" s="587" t="str">
        <f t="shared" si="6"/>
        <v/>
      </c>
      <c r="PY72" s="587" t="str">
        <f t="shared" si="6"/>
        <v/>
      </c>
      <c r="PZ72" s="587" t="str">
        <f t="shared" si="6"/>
        <v/>
      </c>
      <c r="QA72" s="587" t="str">
        <f t="shared" si="6"/>
        <v/>
      </c>
      <c r="QB72" s="587" t="str">
        <f t="shared" si="6"/>
        <v/>
      </c>
      <c r="QC72" s="587" t="str">
        <f t="shared" si="6"/>
        <v/>
      </c>
      <c r="QD72" s="587" t="str">
        <f t="shared" si="6"/>
        <v/>
      </c>
      <c r="QE72" s="587" t="str">
        <f t="shared" si="6"/>
        <v/>
      </c>
      <c r="QF72" s="587" t="str">
        <f t="shared" si="6"/>
        <v/>
      </c>
      <c r="QG72" s="587" t="str">
        <f t="shared" si="6"/>
        <v/>
      </c>
      <c r="QH72" s="587" t="str">
        <f t="shared" si="6"/>
        <v/>
      </c>
      <c r="QI72" s="587" t="str">
        <f t="shared" ref="QI72:ST72" si="7">IFERROR(INDEX(QI64:QI68,MATCH($A$72,$A$64:$A$68,0)),"")</f>
        <v/>
      </c>
      <c r="QJ72" s="587" t="str">
        <f t="shared" si="7"/>
        <v/>
      </c>
      <c r="QK72" s="587" t="str">
        <f t="shared" si="7"/>
        <v/>
      </c>
      <c r="QL72" s="587" t="str">
        <f t="shared" si="7"/>
        <v/>
      </c>
      <c r="QM72" s="587" t="str">
        <f t="shared" si="7"/>
        <v/>
      </c>
      <c r="QN72" s="587" t="str">
        <f t="shared" si="7"/>
        <v/>
      </c>
      <c r="QO72" s="587" t="str">
        <f t="shared" si="7"/>
        <v/>
      </c>
      <c r="QP72" s="587" t="str">
        <f t="shared" si="7"/>
        <v/>
      </c>
      <c r="QQ72" s="587" t="str">
        <f t="shared" si="7"/>
        <v/>
      </c>
      <c r="QR72" s="587" t="str">
        <f t="shared" si="7"/>
        <v/>
      </c>
      <c r="QS72" s="587" t="str">
        <f t="shared" si="7"/>
        <v/>
      </c>
      <c r="QT72" s="587" t="str">
        <f t="shared" si="7"/>
        <v/>
      </c>
      <c r="QU72" s="587" t="str">
        <f t="shared" si="7"/>
        <v/>
      </c>
      <c r="QV72" s="587" t="str">
        <f t="shared" si="7"/>
        <v/>
      </c>
      <c r="QW72" s="587" t="str">
        <f t="shared" si="7"/>
        <v/>
      </c>
      <c r="QX72" s="587" t="str">
        <f t="shared" si="7"/>
        <v/>
      </c>
      <c r="QY72" s="587" t="str">
        <f t="shared" si="7"/>
        <v/>
      </c>
      <c r="QZ72" s="587" t="str">
        <f t="shared" si="7"/>
        <v/>
      </c>
      <c r="RA72" s="587" t="str">
        <f t="shared" si="7"/>
        <v/>
      </c>
      <c r="RB72" s="587" t="str">
        <f t="shared" si="7"/>
        <v/>
      </c>
      <c r="RC72" s="587" t="str">
        <f t="shared" si="7"/>
        <v/>
      </c>
      <c r="RD72" s="587" t="str">
        <f t="shared" si="7"/>
        <v/>
      </c>
      <c r="RE72" s="587" t="str">
        <f t="shared" si="7"/>
        <v/>
      </c>
      <c r="RF72" s="587" t="str">
        <f t="shared" si="7"/>
        <v/>
      </c>
      <c r="RG72" s="587" t="str">
        <f t="shared" si="7"/>
        <v/>
      </c>
      <c r="RH72" s="587" t="str">
        <f t="shared" si="7"/>
        <v/>
      </c>
      <c r="RI72" s="587" t="str">
        <f t="shared" si="7"/>
        <v/>
      </c>
      <c r="RJ72" s="587" t="str">
        <f t="shared" si="7"/>
        <v/>
      </c>
      <c r="RK72" s="587" t="str">
        <f t="shared" si="7"/>
        <v/>
      </c>
      <c r="RL72" s="587" t="str">
        <f t="shared" si="7"/>
        <v/>
      </c>
      <c r="RM72" s="587" t="str">
        <f t="shared" si="7"/>
        <v/>
      </c>
      <c r="RN72" s="587" t="str">
        <f t="shared" si="7"/>
        <v/>
      </c>
      <c r="RO72" s="587" t="str">
        <f t="shared" si="7"/>
        <v/>
      </c>
      <c r="RP72" s="587" t="str">
        <f t="shared" si="7"/>
        <v/>
      </c>
      <c r="RQ72" s="587" t="str">
        <f t="shared" si="7"/>
        <v/>
      </c>
      <c r="RR72" s="587" t="str">
        <f t="shared" si="7"/>
        <v/>
      </c>
      <c r="RS72" s="587" t="str">
        <f t="shared" si="7"/>
        <v/>
      </c>
      <c r="RT72" s="587" t="str">
        <f t="shared" si="7"/>
        <v/>
      </c>
      <c r="RU72" s="587" t="str">
        <f t="shared" si="7"/>
        <v/>
      </c>
      <c r="RV72" s="587" t="str">
        <f t="shared" si="7"/>
        <v/>
      </c>
      <c r="RW72" s="587" t="str">
        <f t="shared" si="7"/>
        <v/>
      </c>
      <c r="RX72" s="587" t="str">
        <f t="shared" si="7"/>
        <v/>
      </c>
      <c r="RY72" s="587" t="str">
        <f t="shared" si="7"/>
        <v/>
      </c>
      <c r="RZ72" s="587" t="str">
        <f t="shared" si="7"/>
        <v/>
      </c>
      <c r="SA72" s="587" t="str">
        <f t="shared" si="7"/>
        <v/>
      </c>
      <c r="SB72" s="587" t="str">
        <f t="shared" si="7"/>
        <v/>
      </c>
      <c r="SC72" s="587" t="str">
        <f t="shared" si="7"/>
        <v/>
      </c>
      <c r="SD72" s="587" t="str">
        <f t="shared" si="7"/>
        <v/>
      </c>
      <c r="SE72" s="587" t="str">
        <f t="shared" si="7"/>
        <v/>
      </c>
      <c r="SF72" s="587" t="str">
        <f t="shared" si="7"/>
        <v/>
      </c>
      <c r="SG72" s="587" t="str">
        <f t="shared" si="7"/>
        <v/>
      </c>
      <c r="SH72" s="587" t="str">
        <f t="shared" si="7"/>
        <v/>
      </c>
      <c r="SI72" s="587" t="str">
        <f t="shared" si="7"/>
        <v/>
      </c>
      <c r="SJ72" s="587" t="str">
        <f t="shared" si="7"/>
        <v/>
      </c>
      <c r="SK72" s="587" t="str">
        <f t="shared" si="7"/>
        <v/>
      </c>
      <c r="SL72" s="587" t="str">
        <f t="shared" si="7"/>
        <v/>
      </c>
      <c r="SM72" s="587" t="str">
        <f t="shared" si="7"/>
        <v/>
      </c>
      <c r="SN72" s="587" t="str">
        <f t="shared" si="7"/>
        <v/>
      </c>
      <c r="SO72" s="587" t="str">
        <f t="shared" si="7"/>
        <v/>
      </c>
      <c r="SP72" s="587" t="str">
        <f t="shared" si="7"/>
        <v/>
      </c>
      <c r="SQ72" s="587" t="str">
        <f t="shared" si="7"/>
        <v/>
      </c>
      <c r="SR72" s="587" t="str">
        <f t="shared" si="7"/>
        <v/>
      </c>
      <c r="SS72" s="587" t="str">
        <f t="shared" si="7"/>
        <v/>
      </c>
      <c r="ST72" s="587" t="str">
        <f t="shared" si="7"/>
        <v/>
      </c>
      <c r="SU72" s="587" t="str">
        <f t="shared" ref="SU72:VF72" si="8">IFERROR(INDEX(SU64:SU68,MATCH($A$72,$A$64:$A$68,0)),"")</f>
        <v/>
      </c>
      <c r="SV72" s="587" t="str">
        <f t="shared" si="8"/>
        <v/>
      </c>
      <c r="SW72" s="587" t="str">
        <f t="shared" si="8"/>
        <v/>
      </c>
      <c r="SX72" s="587" t="str">
        <f t="shared" si="8"/>
        <v/>
      </c>
      <c r="SY72" s="587" t="str">
        <f t="shared" si="8"/>
        <v/>
      </c>
      <c r="SZ72" s="587" t="str">
        <f t="shared" si="8"/>
        <v/>
      </c>
      <c r="TA72" s="587" t="str">
        <f t="shared" si="8"/>
        <v/>
      </c>
      <c r="TB72" s="587" t="str">
        <f t="shared" si="8"/>
        <v/>
      </c>
      <c r="TC72" s="587" t="str">
        <f t="shared" si="8"/>
        <v/>
      </c>
      <c r="TD72" s="587" t="str">
        <f t="shared" si="8"/>
        <v/>
      </c>
      <c r="TE72" s="587" t="str">
        <f t="shared" si="8"/>
        <v/>
      </c>
      <c r="TF72" s="587" t="str">
        <f t="shared" si="8"/>
        <v/>
      </c>
      <c r="TG72" s="587" t="str">
        <f t="shared" si="8"/>
        <v/>
      </c>
      <c r="TH72" s="587" t="str">
        <f t="shared" si="8"/>
        <v/>
      </c>
      <c r="TI72" s="587" t="str">
        <f t="shared" si="8"/>
        <v/>
      </c>
      <c r="TJ72" s="587" t="str">
        <f t="shared" si="8"/>
        <v/>
      </c>
      <c r="TK72" s="587" t="str">
        <f t="shared" si="8"/>
        <v/>
      </c>
      <c r="TL72" s="587" t="str">
        <f t="shared" si="8"/>
        <v/>
      </c>
      <c r="TM72" s="587" t="str">
        <f t="shared" si="8"/>
        <v/>
      </c>
      <c r="TN72" s="587" t="str">
        <f t="shared" si="8"/>
        <v/>
      </c>
      <c r="TO72" s="587" t="str">
        <f t="shared" si="8"/>
        <v/>
      </c>
      <c r="TP72" s="587" t="str">
        <f t="shared" si="8"/>
        <v/>
      </c>
      <c r="TQ72" s="587" t="str">
        <f t="shared" si="8"/>
        <v/>
      </c>
      <c r="TR72" s="587" t="str">
        <f t="shared" si="8"/>
        <v/>
      </c>
      <c r="TS72" s="587" t="str">
        <f t="shared" si="8"/>
        <v/>
      </c>
      <c r="TT72" s="587" t="str">
        <f t="shared" si="8"/>
        <v/>
      </c>
      <c r="TU72" s="587" t="str">
        <f t="shared" si="8"/>
        <v/>
      </c>
      <c r="TV72" s="587" t="str">
        <f t="shared" si="8"/>
        <v/>
      </c>
      <c r="TW72" s="587" t="str">
        <f t="shared" si="8"/>
        <v/>
      </c>
      <c r="TX72" s="587" t="str">
        <f t="shared" si="8"/>
        <v/>
      </c>
      <c r="TY72" s="587" t="str">
        <f t="shared" si="8"/>
        <v/>
      </c>
      <c r="TZ72" s="587" t="str">
        <f t="shared" si="8"/>
        <v/>
      </c>
      <c r="UA72" s="587" t="str">
        <f t="shared" si="8"/>
        <v/>
      </c>
      <c r="UB72" s="587" t="str">
        <f t="shared" si="8"/>
        <v/>
      </c>
      <c r="UC72" s="587" t="str">
        <f t="shared" si="8"/>
        <v/>
      </c>
      <c r="UD72" s="587" t="str">
        <f t="shared" si="8"/>
        <v/>
      </c>
      <c r="UE72" s="587" t="str">
        <f t="shared" si="8"/>
        <v/>
      </c>
      <c r="UF72" s="587" t="str">
        <f t="shared" si="8"/>
        <v/>
      </c>
      <c r="UG72" s="587" t="str">
        <f t="shared" si="8"/>
        <v/>
      </c>
      <c r="UH72" s="587" t="str">
        <f t="shared" si="8"/>
        <v/>
      </c>
      <c r="UI72" s="587" t="str">
        <f t="shared" si="8"/>
        <v/>
      </c>
      <c r="UJ72" s="587" t="str">
        <f t="shared" si="8"/>
        <v/>
      </c>
      <c r="UK72" s="587" t="str">
        <f t="shared" si="8"/>
        <v/>
      </c>
      <c r="UL72" s="587" t="str">
        <f t="shared" si="8"/>
        <v/>
      </c>
      <c r="UM72" s="587" t="str">
        <f t="shared" si="8"/>
        <v/>
      </c>
      <c r="UN72" s="587" t="str">
        <f t="shared" si="8"/>
        <v/>
      </c>
      <c r="UO72" s="587" t="str">
        <f t="shared" si="8"/>
        <v/>
      </c>
      <c r="UP72" s="587" t="str">
        <f t="shared" si="8"/>
        <v/>
      </c>
      <c r="UQ72" s="587" t="str">
        <f t="shared" si="8"/>
        <v/>
      </c>
      <c r="UR72" s="587" t="str">
        <f t="shared" si="8"/>
        <v/>
      </c>
      <c r="US72" s="587" t="str">
        <f t="shared" si="8"/>
        <v/>
      </c>
      <c r="UT72" s="587" t="str">
        <f t="shared" si="8"/>
        <v/>
      </c>
      <c r="UU72" s="587" t="str">
        <f t="shared" si="8"/>
        <v/>
      </c>
      <c r="UV72" s="587" t="str">
        <f t="shared" si="8"/>
        <v/>
      </c>
      <c r="UW72" s="587" t="str">
        <f t="shared" si="8"/>
        <v/>
      </c>
      <c r="UX72" s="587" t="str">
        <f t="shared" si="8"/>
        <v/>
      </c>
      <c r="UY72" s="587" t="str">
        <f t="shared" si="8"/>
        <v/>
      </c>
      <c r="UZ72" s="587" t="str">
        <f t="shared" si="8"/>
        <v/>
      </c>
      <c r="VA72" s="587" t="str">
        <f t="shared" si="8"/>
        <v/>
      </c>
      <c r="VB72" s="587" t="str">
        <f t="shared" si="8"/>
        <v/>
      </c>
      <c r="VC72" s="587" t="str">
        <f t="shared" si="8"/>
        <v/>
      </c>
      <c r="VD72" s="587" t="str">
        <f t="shared" si="8"/>
        <v/>
      </c>
      <c r="VE72" s="587" t="str">
        <f t="shared" si="8"/>
        <v/>
      </c>
      <c r="VF72" s="587" t="str">
        <f t="shared" si="8"/>
        <v/>
      </c>
      <c r="VG72" s="587" t="str">
        <f t="shared" ref="VG72:VN72" si="9">IFERROR(INDEX(VG64:VG68,MATCH($A$72,$A$64:$A$68,0)),"")</f>
        <v/>
      </c>
      <c r="VH72" s="587" t="str">
        <f t="shared" si="9"/>
        <v/>
      </c>
      <c r="VI72" s="587" t="str">
        <f t="shared" si="9"/>
        <v/>
      </c>
      <c r="VJ72" s="587" t="str">
        <f t="shared" si="9"/>
        <v/>
      </c>
      <c r="VK72" s="587" t="str">
        <f t="shared" si="9"/>
        <v/>
      </c>
      <c r="VL72" s="587" t="str">
        <f t="shared" si="9"/>
        <v/>
      </c>
      <c r="VM72" s="587" t="str">
        <f t="shared" si="9"/>
        <v/>
      </c>
      <c r="VN72" s="665" t="str">
        <f t="shared" si="9"/>
        <v/>
      </c>
    </row>
    <row r="73" spans="1:586" customFormat="1" x14ac:dyDescent="0.35"/>
    <row r="74" spans="1:586" customFormat="1" x14ac:dyDescent="0.35"/>
    <row r="75" spans="1:586" customFormat="1" x14ac:dyDescent="0.35"/>
    <row r="76" spans="1:586" customFormat="1" x14ac:dyDescent="0.35"/>
    <row r="77" spans="1:586" customFormat="1" x14ac:dyDescent="0.35"/>
    <row r="78" spans="1:586" customFormat="1" x14ac:dyDescent="0.35"/>
    <row r="79" spans="1:586" customFormat="1" x14ac:dyDescent="0.35"/>
    <row r="80" spans="1:586" customFormat="1" x14ac:dyDescent="0.35"/>
    <row r="81" spans="2:65" customFormat="1" x14ac:dyDescent="0.35"/>
    <row r="82" spans="2:65" customFormat="1" x14ac:dyDescent="0.35"/>
    <row r="83" spans="2:65" customFormat="1" x14ac:dyDescent="0.35"/>
    <row r="84" spans="2:65" customFormat="1" x14ac:dyDescent="0.35"/>
    <row r="85" spans="2:65" customFormat="1" x14ac:dyDescent="0.35"/>
    <row r="86" spans="2:65" x14ac:dyDescent="0.35">
      <c r="B86"/>
      <c r="BG86" s="28"/>
      <c r="BH86" s="28"/>
      <c r="BI86" s="28"/>
      <c r="BJ86" s="28"/>
      <c r="BK86" s="28"/>
      <c r="BL86" s="28"/>
      <c r="BM86" s="28"/>
    </row>
    <row r="87" spans="2:65" x14ac:dyDescent="0.35">
      <c r="B87"/>
      <c r="BG87" s="28"/>
      <c r="BH87" s="28"/>
      <c r="BI87" s="28"/>
      <c r="BJ87" s="28"/>
      <c r="BK87" s="28"/>
      <c r="BL87" s="28"/>
      <c r="BM87" s="28"/>
    </row>
    <row r="88" spans="2:65" x14ac:dyDescent="0.35">
      <c r="B88"/>
      <c r="BG88" s="28"/>
      <c r="BH88" s="28"/>
      <c r="BI88" s="28"/>
      <c r="BJ88" s="28"/>
      <c r="BK88" s="28"/>
      <c r="BL88" s="28"/>
      <c r="BM88" s="28"/>
    </row>
    <row r="89" spans="2:65" x14ac:dyDescent="0.35">
      <c r="B89"/>
      <c r="BG89" s="28"/>
      <c r="BH89" s="28"/>
      <c r="BI89" s="28"/>
      <c r="BJ89" s="28"/>
      <c r="BK89" s="28"/>
      <c r="BL89" s="28"/>
      <c r="BM89" s="28"/>
    </row>
    <row r="90" spans="2:65" x14ac:dyDescent="0.35">
      <c r="B90"/>
    </row>
    <row r="91" spans="2:65" x14ac:dyDescent="0.35">
      <c r="B91"/>
    </row>
    <row r="92" spans="2:65" x14ac:dyDescent="0.35">
      <c r="B92"/>
    </row>
    <row r="93" spans="2:65" x14ac:dyDescent="0.35">
      <c r="B93"/>
    </row>
    <row r="94" spans="2:65" x14ac:dyDescent="0.35">
      <c r="B94"/>
    </row>
    <row r="95" spans="2:65" x14ac:dyDescent="0.35">
      <c r="B95"/>
    </row>
    <row r="96" spans="2:65"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sheetData>
  <sheetProtection algorithmName="SHA-512" hashValue="u0P5xuTURN8P15S28LmLIiFlqiv8TAcI69AfjLNXvVK6s/ktuilZgHDym+zQp2U48Vegt96IpjsQzcwMZRSCaQ==" saltValue="9axCIgF22vH6GT9/SlHy6w==" spinCount="100000" sheet="1" objects="1" scenarios="1"/>
  <phoneticPr fontId="49" type="noConversion"/>
  <dataValidations count="3">
    <dataValidation allowBlank="1" showErrorMessage="1" prompt="Link to go back to Navigation Table 1" sqref="A3" xr:uid="{D1108610-AC07-482B-B5FE-4384EA9B7094}"/>
    <dataValidation allowBlank="1" showErrorMessage="1" prompt="Link to go back to Navigation Table 2" sqref="A63" xr:uid="{4FCD9A17-CC0E-4891-8893-DC81512A1530}"/>
    <dataValidation allowBlank="1" showErrorMessage="1" prompt="Link to go back to Navigation Table 3" sqref="A70" xr:uid="{B9EA431D-F952-4B10-B972-337E6DA05008}"/>
  </dataValidations>
  <hyperlinks>
    <hyperlink ref="A2" location="COUNTY_SELECT" tooltip="Back to County Selection" display="COUNTY_SELECT" xr:uid="{00000000-0004-0000-0B00-000000000000}"/>
    <hyperlink ref="A1" location="Nav_AllData" display="All Data page (current page): select the hyperlink to the Navigation table, in cell A1, to review tables in the All Data page.  To select a county for review, go to the hyperlink in cell A2, you will be sent to the Navigation page cell A2 where you can us" xr:uid="{00000000-0004-0000-0B00-000001000000}"/>
    <hyperlink ref="A3" location="Navigation!L13" tooltip="Back to Table 1" display="County Name" xr:uid="{EE3261EF-8C6C-4081-92F9-386F24753FB0}"/>
    <hyperlink ref="A63" location="Navigation!L14" tooltip="Back to table 2" display="County Sizes" xr:uid="{955FEBE6-256D-4895-AAAB-FD92B126ECCE}"/>
    <hyperlink ref="A70" location="Navigation!L15" tooltip="Back to Table 3" display=" County Name " xr:uid="{6813E2A8-36E4-4660-B959-D3AF4FE40E9E}"/>
    <hyperlink ref="VN72" location="Navigation!L15" tooltip="Back to Table Selection" display="Navigation!L15" xr:uid="{DCD34E5C-99D5-49CA-A2FE-C7CEBB923A5C}"/>
  </hyperlinks>
  <pageMargins left="0" right="0" top="0" bottom="0" header="0" footer="0"/>
  <pageSetup paperSize="5" scale="10" fitToHeight="0" orientation="landscape" r:id="rId1"/>
  <headerFooter>
    <oddHeader>&amp;C&amp;"Arial Narrow,Bold"&amp;14IHSS Key Data Indicators</oddHeader>
    <oddFooter>&amp;L&amp;9SOURCE: CMIPS Monthly DDL&amp;C&amp;9*Cases in eligible, presump. elig. or leave status.  **Pending from app. date.&amp;R&amp;9 
    Run date:  12/01/17  Page &amp;P</oddFooter>
  </headerFooter>
  <colBreaks count="1" manualBreakCount="1">
    <brk id="15" min="1" max="67" man="1"/>
  </colBreaks>
  <drawing r:id="rId2"/>
  <tableParts count="3">
    <tablePart r:id="rId3"/>
    <tablePart r:id="rId4"/>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1227F-4535-420B-AE96-55EAB8CB25EA}">
  <sheetPr codeName="Sheet2">
    <pageSetUpPr fitToPage="1"/>
  </sheetPr>
  <dimension ref="A1:R128"/>
  <sheetViews>
    <sheetView showGridLines="0" showRowColHeaders="0" zoomScale="90" zoomScaleNormal="90" workbookViewId="0">
      <pane ySplit="4" topLeftCell="A5" activePane="bottomLeft" state="frozen"/>
      <selection pane="bottomLeft" activeCell="A5" sqref="A5"/>
    </sheetView>
  </sheetViews>
  <sheetFormatPr defaultColWidth="0" defaultRowHeight="14.5" zeroHeight="1" x14ac:dyDescent="0.35"/>
  <cols>
    <col min="1" max="3" width="9.1796875" style="28" customWidth="1"/>
    <col min="4" max="4" width="35.54296875" style="28" customWidth="1"/>
    <col min="5" max="7" width="18" style="28" customWidth="1"/>
    <col min="8" max="8" width="4.1796875" style="28" customWidth="1"/>
    <col min="9" max="9" width="41.453125" style="28" customWidth="1"/>
    <col min="10" max="15" width="18.81640625" style="28" customWidth="1"/>
    <col min="16" max="16" width="4.453125" style="28" customWidth="1"/>
    <col min="17" max="18" width="17.54296875" style="28" hidden="1" customWidth="1"/>
    <col min="19" max="16384" width="12.54296875" style="28" hidden="1"/>
  </cols>
  <sheetData>
    <row r="1" spans="1:16" ht="0.75" customHeight="1" x14ac:dyDescent="0.35">
      <c r="A1" s="26" t="s">
        <v>702</v>
      </c>
      <c r="B1" s="26"/>
      <c r="C1" s="26"/>
      <c r="D1" s="26"/>
      <c r="E1" s="26"/>
      <c r="F1" s="58"/>
      <c r="G1" s="26"/>
      <c r="H1" s="26"/>
      <c r="I1" s="26"/>
      <c r="J1" s="26"/>
      <c r="K1" s="26"/>
      <c r="L1" s="30"/>
      <c r="M1" s="30"/>
      <c r="N1" s="30"/>
    </row>
    <row r="2" spans="1:16" ht="24.75" customHeight="1" x14ac:dyDescent="0.35">
      <c r="A2" s="29" t="str">
        <f>COUNTY_SELECT&amp;" County"</f>
        <v>County Name County</v>
      </c>
      <c r="B2" s="57"/>
      <c r="C2" s="57"/>
      <c r="E2" s="290"/>
      <c r="F2" s="290"/>
      <c r="G2" s="290"/>
      <c r="H2" s="26"/>
      <c r="I2" s="26"/>
      <c r="J2" s="26"/>
      <c r="K2" s="30"/>
      <c r="L2" s="30"/>
      <c r="M2" s="30"/>
      <c r="N2" s="60"/>
    </row>
    <row r="3" spans="1:16" ht="16.5" customHeight="1" x14ac:dyDescent="0.35">
      <c r="A3" s="31" t="str">
        <f>Navigation!A3</f>
        <v xml:space="preserve"> Size County</v>
      </c>
      <c r="B3" s="31"/>
      <c r="C3" s="31"/>
    </row>
    <row r="4" spans="1:16" ht="12" customHeight="1" thickBot="1" x14ac:dyDescent="0.4">
      <c r="A4" s="32"/>
      <c r="B4" s="32"/>
      <c r="C4" s="32"/>
      <c r="D4" s="32"/>
      <c r="E4" s="32"/>
      <c r="F4" s="32"/>
      <c r="G4" s="32"/>
      <c r="H4" s="32"/>
      <c r="I4" s="32"/>
      <c r="J4" s="32"/>
      <c r="K4" s="32"/>
      <c r="L4" s="32"/>
      <c r="M4" s="32"/>
      <c r="N4" s="32"/>
      <c r="O4" s="32"/>
      <c r="P4" s="32"/>
    </row>
    <row r="5" spans="1:16" ht="12" customHeight="1" thickTop="1" x14ac:dyDescent="0.35">
      <c r="A5" s="457" t="s">
        <v>703</v>
      </c>
      <c r="B5" s="454"/>
      <c r="C5" s="454"/>
      <c r="D5" s="454"/>
      <c r="E5" s="454"/>
      <c r="F5" s="454"/>
      <c r="G5" s="454"/>
      <c r="H5" s="454"/>
      <c r="I5" s="454"/>
      <c r="J5" s="454"/>
      <c r="K5" s="454"/>
      <c r="L5" s="454"/>
      <c r="M5" s="454"/>
      <c r="N5" s="454"/>
      <c r="O5" s="454"/>
      <c r="P5" s="454"/>
    </row>
    <row r="6" spans="1:16" ht="15.5" x14ac:dyDescent="0.35">
      <c r="D6" s="275"/>
    </row>
    <row r="7" spans="1:16" ht="15.5" x14ac:dyDescent="0.35">
      <c r="D7" s="275"/>
    </row>
    <row r="8" spans="1:16" ht="15.5" x14ac:dyDescent="0.35">
      <c r="D8" s="275"/>
    </row>
    <row r="9" spans="1:16" ht="15.5" x14ac:dyDescent="0.35">
      <c r="A9" s="62" t="s">
        <v>289</v>
      </c>
      <c r="D9" s="275"/>
    </row>
    <row r="10" spans="1:16" ht="15.5" x14ac:dyDescent="0.35">
      <c r="A10" s="27" t="s">
        <v>418</v>
      </c>
      <c r="B10" s="27"/>
      <c r="D10" s="275"/>
    </row>
    <row r="11" spans="1:16" ht="15.5" x14ac:dyDescent="0.35">
      <c r="A11" s="27" t="s">
        <v>415</v>
      </c>
      <c r="B11" s="27"/>
      <c r="C11" s="27"/>
      <c r="D11" s="275"/>
    </row>
    <row r="12" spans="1:16" ht="15.5" x14ac:dyDescent="0.35">
      <c r="A12"/>
      <c r="B12"/>
      <c r="C12"/>
      <c r="D12" s="275"/>
    </row>
    <row r="13" spans="1:16" ht="15.5" x14ac:dyDescent="0.35">
      <c r="D13" s="275"/>
    </row>
    <row r="14" spans="1:16" ht="15.5" x14ac:dyDescent="0.35">
      <c r="D14" s="275"/>
    </row>
    <row r="15" spans="1:16" ht="15.5" x14ac:dyDescent="0.35">
      <c r="A15" s="31"/>
      <c r="D15" s="275"/>
    </row>
    <row r="16" spans="1:16" ht="15.5" x14ac:dyDescent="0.35">
      <c r="A16" s="31"/>
      <c r="B16" s="31"/>
      <c r="C16" s="31"/>
      <c r="D16" s="275"/>
    </row>
    <row r="17" spans="1:18" s="31" customFormat="1" ht="15.5" x14ac:dyDescent="0.35">
      <c r="D17" s="275"/>
      <c r="E17" s="28"/>
      <c r="F17" s="28"/>
      <c r="G17" s="28"/>
      <c r="H17" s="28"/>
      <c r="I17" s="28"/>
      <c r="J17" s="28"/>
      <c r="K17" s="28"/>
      <c r="L17" s="28"/>
      <c r="M17" s="28"/>
      <c r="N17" s="28"/>
      <c r="O17" s="28"/>
      <c r="P17" s="28"/>
      <c r="Q17" s="28"/>
      <c r="R17" s="28"/>
    </row>
    <row r="18" spans="1:18" s="31" customFormat="1" ht="30.75" customHeight="1" x14ac:dyDescent="0.35">
      <c r="D18" s="275"/>
      <c r="E18" s="28"/>
      <c r="F18" s="28"/>
      <c r="G18" s="28"/>
      <c r="H18" s="28"/>
      <c r="I18" s="28"/>
      <c r="J18" s="28"/>
      <c r="K18" s="28"/>
      <c r="L18" s="28"/>
      <c r="M18" s="28"/>
      <c r="N18" s="28"/>
      <c r="O18" s="28"/>
      <c r="P18" s="28"/>
      <c r="Q18" s="28"/>
      <c r="R18" s="28"/>
    </row>
    <row r="19" spans="1:18" s="31" customFormat="1" ht="15.5" x14ac:dyDescent="0.35">
      <c r="D19" s="28"/>
      <c r="E19" s="28"/>
      <c r="F19" s="28"/>
      <c r="G19" s="28"/>
      <c r="H19" s="28"/>
      <c r="I19" s="28"/>
      <c r="J19" s="28"/>
      <c r="K19" s="28"/>
      <c r="L19" s="28"/>
      <c r="M19" s="28"/>
      <c r="N19" s="28"/>
      <c r="O19" s="28"/>
      <c r="P19" s="28"/>
      <c r="Q19" s="28"/>
      <c r="R19" s="28"/>
    </row>
    <row r="20" spans="1:18" s="31" customFormat="1" ht="15" customHeight="1" x14ac:dyDescent="0.35">
      <c r="D20" s="28"/>
      <c r="E20" s="28"/>
      <c r="F20" s="28"/>
      <c r="G20" s="28"/>
      <c r="H20" s="28"/>
      <c r="I20" s="28"/>
      <c r="J20" s="28"/>
      <c r="K20" s="28"/>
      <c r="L20" s="28"/>
      <c r="M20" s="28"/>
      <c r="N20" s="28"/>
      <c r="O20" s="28"/>
      <c r="P20" s="28"/>
      <c r="Q20" s="28"/>
      <c r="R20" s="28"/>
    </row>
    <row r="21" spans="1:18" s="31" customFormat="1" ht="15" customHeight="1" x14ac:dyDescent="0.35">
      <c r="D21" s="28"/>
      <c r="E21" s="28"/>
      <c r="F21" s="28"/>
      <c r="G21" s="28"/>
      <c r="H21" s="28"/>
      <c r="I21" s="28"/>
      <c r="J21" s="28"/>
      <c r="K21" s="28"/>
      <c r="L21" s="28"/>
      <c r="M21" s="28"/>
      <c r="N21" s="28"/>
      <c r="O21" s="28"/>
      <c r="P21" s="28"/>
      <c r="Q21" s="28"/>
      <c r="R21" s="28"/>
    </row>
    <row r="22" spans="1:18" s="31" customFormat="1" ht="15" customHeight="1" x14ac:dyDescent="0.35">
      <c r="D22" s="28"/>
      <c r="E22" s="28"/>
      <c r="F22" s="28"/>
      <c r="G22" s="28"/>
      <c r="H22" s="28"/>
      <c r="I22" s="28"/>
      <c r="J22" s="28"/>
      <c r="K22" s="28"/>
      <c r="L22" s="28"/>
      <c r="M22" s="28"/>
      <c r="N22" s="28"/>
      <c r="O22" s="28"/>
      <c r="P22" s="28"/>
      <c r="Q22" s="28"/>
      <c r="R22" s="28"/>
    </row>
    <row r="23" spans="1:18" s="31" customFormat="1" ht="31.5" x14ac:dyDescent="0.4">
      <c r="A23" s="28"/>
      <c r="B23" s="28"/>
      <c r="C23" s="28"/>
      <c r="D23" s="63" t="s">
        <v>698</v>
      </c>
      <c r="E23" s="64"/>
      <c r="F23" s="64"/>
      <c r="G23" s="65"/>
      <c r="H23" s="28"/>
      <c r="I23" s="63" t="s">
        <v>699</v>
      </c>
      <c r="J23" s="64"/>
      <c r="K23" s="64"/>
      <c r="L23" s="65"/>
      <c r="M23" s="28"/>
      <c r="N23" s="28"/>
      <c r="O23" s="28"/>
      <c r="P23" s="28"/>
      <c r="Q23" s="28"/>
      <c r="R23" s="28"/>
    </row>
    <row r="24" spans="1:18" ht="15.5" x14ac:dyDescent="0.35">
      <c r="A24"/>
      <c r="B24"/>
      <c r="C24"/>
      <c r="D24" s="107" t="s">
        <v>701</v>
      </c>
      <c r="E24" s="104" t="str">
        <f>Data!$A$71</f>
        <v/>
      </c>
      <c r="F24" s="104" t="str">
        <f>Data!$A$72</f>
        <v/>
      </c>
      <c r="G24" s="106" t="str">
        <f>LEFT(Data!$A$62,9)</f>
        <v>Statewide</v>
      </c>
      <c r="I24" s="107" t="s">
        <v>700</v>
      </c>
      <c r="J24" s="104" t="str">
        <f>Data!$A$71</f>
        <v/>
      </c>
      <c r="K24" s="104" t="str">
        <f>Data!$A$72</f>
        <v/>
      </c>
      <c r="L24" s="106" t="str">
        <f>LEFT(Data!$A$62,9)</f>
        <v>Statewide</v>
      </c>
    </row>
    <row r="25" spans="1:18" ht="15.5" x14ac:dyDescent="0.35">
      <c r="A25"/>
      <c r="B25"/>
      <c r="D25" s="307" t="s">
        <v>255</v>
      </c>
      <c r="E25" s="80" t="str">
        <f>Data!$D71</f>
        <v/>
      </c>
      <c r="F25" s="80" t="str">
        <f>Data!$D72</f>
        <v/>
      </c>
      <c r="G25" s="114">
        <f>Data!$D62</f>
        <v>737348</v>
      </c>
      <c r="I25" s="310" t="s">
        <v>395</v>
      </c>
      <c r="J25" s="308" t="str">
        <f>IFERROR(Data!$GS$71,"")</f>
        <v/>
      </c>
      <c r="K25" s="308" t="str">
        <f>IFERROR(Data!$GS$72,"")</f>
        <v/>
      </c>
      <c r="L25" s="309">
        <f>Data!$GS$62</f>
        <v>9124</v>
      </c>
    </row>
    <row r="26" spans="1:18" ht="15.5" x14ac:dyDescent="0.35">
      <c r="A26"/>
      <c r="B26"/>
      <c r="C26" s="27"/>
      <c r="D26" s="184" t="s">
        <v>394</v>
      </c>
      <c r="E26" s="302" t="str">
        <f>IFERROR(Data!$GO$71,"")</f>
        <v/>
      </c>
      <c r="F26" s="302" t="str">
        <f>IFERROR(Data!$GO$72,"")</f>
        <v/>
      </c>
      <c r="G26" s="303">
        <f>Data!$GO$62</f>
        <v>21828</v>
      </c>
      <c r="I26" s="184" t="s">
        <v>397</v>
      </c>
      <c r="J26" s="302" t="str">
        <f>IFERROR(Data!$GP$71,"")</f>
        <v/>
      </c>
      <c r="K26" s="302" t="str">
        <f>IFERROR(Data!$GP$72,"")</f>
        <v/>
      </c>
      <c r="L26" s="303">
        <f>Data!$GP$62</f>
        <v>1781</v>
      </c>
    </row>
    <row r="27" spans="1:18" ht="15.5" x14ac:dyDescent="0.35">
      <c r="A27"/>
      <c r="B27"/>
      <c r="C27"/>
      <c r="D27" s="285" t="s">
        <v>542</v>
      </c>
      <c r="E27" s="235" t="str">
        <f>IFERROR(E26/Data!$D71,"")</f>
        <v/>
      </c>
      <c r="F27" s="235" t="str">
        <f>IFERROR(F26/Data!$D72,"")</f>
        <v/>
      </c>
      <c r="G27" s="440">
        <f>IFERROR(G26/Data!$D62,"")</f>
        <v>2.9603389444332932E-2</v>
      </c>
      <c r="I27" s="117" t="s">
        <v>396</v>
      </c>
      <c r="J27" s="238" t="str">
        <f>IFERROR(J26/J25,"0.0%")</f>
        <v>0.0%</v>
      </c>
      <c r="K27" s="238" t="str">
        <f>IFERROR(K26/K25,"0.0%")</f>
        <v>0.0%</v>
      </c>
      <c r="L27" s="311">
        <f>IFERROR(L26/L25,"")</f>
        <v>0.19519947391494957</v>
      </c>
    </row>
    <row r="28" spans="1:18" ht="15.5" x14ac:dyDescent="0.35">
      <c r="A28"/>
      <c r="B28"/>
      <c r="I28" s="312" t="s">
        <v>416</v>
      </c>
      <c r="J28" s="302" t="str">
        <f>IFERROR(Data!$GQ$71,"")</f>
        <v/>
      </c>
      <c r="K28" s="302" t="str">
        <f>IFERROR(Data!$GQ$72,"")</f>
        <v/>
      </c>
      <c r="L28" s="303">
        <f>Data!$GQ$62</f>
        <v>6434</v>
      </c>
    </row>
    <row r="29" spans="1:18" ht="15.5" x14ac:dyDescent="0.35">
      <c r="A29" s="27"/>
      <c r="B29" s="27"/>
      <c r="I29" s="313" t="s">
        <v>396</v>
      </c>
      <c r="J29" s="314" t="str">
        <f>IFERROR(J28/J25,"0.0%")</f>
        <v>0.0%</v>
      </c>
      <c r="K29" s="314" t="str">
        <f>IFERROR(K28/K25,"0.0%")</f>
        <v>0.0%</v>
      </c>
      <c r="L29" s="315">
        <f>IFERROR(L28/L25,"")</f>
        <v>0.70517316966242871</v>
      </c>
    </row>
    <row r="30" spans="1:18" ht="15.5" x14ac:dyDescent="0.35">
      <c r="A30" s="27"/>
      <c r="B30" s="27"/>
      <c r="C30" s="27"/>
      <c r="I30" s="269" t="s">
        <v>417</v>
      </c>
      <c r="J30" s="252" t="str">
        <f>IFERROR(Data!$GR$71,"")</f>
        <v/>
      </c>
      <c r="K30" s="252" t="str">
        <f>IFERROR(Data!$GR$72,"")</f>
        <v/>
      </c>
      <c r="L30" s="316">
        <f>Data!$GR$62</f>
        <v>909</v>
      </c>
    </row>
    <row r="31" spans="1:18" ht="15.5" x14ac:dyDescent="0.35">
      <c r="I31" s="125" t="s">
        <v>396</v>
      </c>
      <c r="J31" s="235" t="str">
        <f>IFERROR(J30/J25,"0.0%")</f>
        <v>0.0%</v>
      </c>
      <c r="K31" s="235" t="str">
        <f>IFERROR(K30/K25,"0.0%")</f>
        <v>0.0%</v>
      </c>
      <c r="L31" s="440">
        <f>IFERROR(L30/L25,"")</f>
        <v>9.962735642262166E-2</v>
      </c>
    </row>
    <row r="32" spans="1:18" x14ac:dyDescent="0.35">
      <c r="C32"/>
    </row>
    <row r="33" spans="1:16" x14ac:dyDescent="0.35">
      <c r="C33"/>
    </row>
    <row r="34" spans="1:16" ht="30.75" customHeight="1" x14ac:dyDescent="0.35">
      <c r="C34"/>
      <c r="I34" s="438" t="s">
        <v>697</v>
      </c>
      <c r="J34" s="421"/>
      <c r="K34" s="421"/>
      <c r="L34" s="422"/>
      <c r="M34" s="421"/>
      <c r="N34" s="421"/>
      <c r="O34" s="422"/>
    </row>
    <row r="35" spans="1:16" ht="15.5" x14ac:dyDescent="0.35">
      <c r="A35" s="62" t="s">
        <v>289</v>
      </c>
      <c r="C35"/>
      <c r="I35" s="423" t="s">
        <v>697</v>
      </c>
      <c r="J35" s="437" t="str">
        <f>Data!$A$71</f>
        <v/>
      </c>
      <c r="K35" s="433"/>
      <c r="L35" s="433" t="str">
        <f>Data!$A$72</f>
        <v/>
      </c>
      <c r="M35" s="433"/>
      <c r="N35" s="433" t="str">
        <f>LEFT(Data!$A$62,9)</f>
        <v>Statewide</v>
      </c>
      <c r="O35" s="434"/>
    </row>
    <row r="36" spans="1:16" ht="15.75" customHeight="1" x14ac:dyDescent="0.35">
      <c r="A36" s="27" t="s">
        <v>704</v>
      </c>
      <c r="B36" s="27"/>
      <c r="C36"/>
      <c r="I36" s="431" t="s">
        <v>705</v>
      </c>
      <c r="J36" s="436">
        <f>'Demo Rank'!K101</f>
        <v>0</v>
      </c>
      <c r="K36" s="435"/>
      <c r="L36" s="436">
        <f>'Demo Rank'!M101</f>
        <v>0</v>
      </c>
      <c r="M36" s="435"/>
      <c r="N36" s="436">
        <f>'Demo Rank'!O101</f>
        <v>3942</v>
      </c>
      <c r="O36" s="432"/>
    </row>
    <row r="37" spans="1:16" ht="15.75" customHeight="1" x14ac:dyDescent="0.35">
      <c r="C37"/>
      <c r="I37" s="424" t="e">
        <f>'Demo Rank'!B102</f>
        <v>#N/A</v>
      </c>
      <c r="J37" s="408" t="e">
        <f>'Demo Rank'!C102</f>
        <v>#N/A</v>
      </c>
      <c r="K37" s="418" t="e">
        <f>'Demo Rank'!D102</f>
        <v>#N/A</v>
      </c>
      <c r="L37" s="408" t="e">
        <f>'Demo Rank'!E102</f>
        <v>#N/A</v>
      </c>
      <c r="M37" s="418" t="e">
        <f>'Demo Rank'!F102</f>
        <v>#N/A</v>
      </c>
      <c r="N37" s="408" t="e">
        <f>'Demo Rank'!G102</f>
        <v>#N/A</v>
      </c>
      <c r="O37" s="246" t="e">
        <f>'Demo Rank'!H102</f>
        <v>#N/A</v>
      </c>
      <c r="P37"/>
    </row>
    <row r="38" spans="1:16" ht="15.75" customHeight="1" x14ac:dyDescent="0.35">
      <c r="C38"/>
      <c r="I38" s="424" t="e">
        <f>'Demo Rank'!B103</f>
        <v>#N/A</v>
      </c>
      <c r="J38" s="408" t="e">
        <f>'Demo Rank'!C103</f>
        <v>#N/A</v>
      </c>
      <c r="K38" s="418" t="e">
        <f>'Demo Rank'!D103</f>
        <v>#N/A</v>
      </c>
      <c r="L38" s="408" t="e">
        <f>'Demo Rank'!E103</f>
        <v>#N/A</v>
      </c>
      <c r="M38" s="418" t="e">
        <f>'Demo Rank'!F103</f>
        <v>#N/A</v>
      </c>
      <c r="N38" s="408" t="e">
        <f>'Demo Rank'!G103</f>
        <v>#N/A</v>
      </c>
      <c r="O38" s="246" t="e">
        <f>'Demo Rank'!H103</f>
        <v>#N/A</v>
      </c>
    </row>
    <row r="39" spans="1:16" ht="15.75" customHeight="1" x14ac:dyDescent="0.35">
      <c r="C39"/>
      <c r="I39" s="424" t="e">
        <f>'Demo Rank'!B104</f>
        <v>#N/A</v>
      </c>
      <c r="J39" s="408" t="e">
        <f>'Demo Rank'!C104</f>
        <v>#N/A</v>
      </c>
      <c r="K39" s="418" t="e">
        <f>'Demo Rank'!D104</f>
        <v>#N/A</v>
      </c>
      <c r="L39" s="408" t="e">
        <f>'Demo Rank'!E104</f>
        <v>#N/A</v>
      </c>
      <c r="M39" s="418" t="e">
        <f>'Demo Rank'!F104</f>
        <v>#N/A</v>
      </c>
      <c r="N39" s="408" t="e">
        <f>'Demo Rank'!G104</f>
        <v>#N/A</v>
      </c>
      <c r="O39" s="246" t="e">
        <f>'Demo Rank'!H104</f>
        <v>#N/A</v>
      </c>
    </row>
    <row r="40" spans="1:16" ht="15.75" customHeight="1" x14ac:dyDescent="0.35">
      <c r="C40"/>
      <c r="I40" s="424" t="e">
        <f>'Demo Rank'!B105</f>
        <v>#N/A</v>
      </c>
      <c r="J40" s="408" t="e">
        <f>'Demo Rank'!C105</f>
        <v>#N/A</v>
      </c>
      <c r="K40" s="418" t="e">
        <f>'Demo Rank'!D105</f>
        <v>#N/A</v>
      </c>
      <c r="L40" s="408" t="e">
        <f>'Demo Rank'!E105</f>
        <v>#N/A</v>
      </c>
      <c r="M40" s="418" t="e">
        <f>'Demo Rank'!F105</f>
        <v>#N/A</v>
      </c>
      <c r="N40" s="408" t="e">
        <f>'Demo Rank'!G105</f>
        <v>#N/A</v>
      </c>
      <c r="O40" s="246" t="e">
        <f>'Demo Rank'!H105</f>
        <v>#N/A</v>
      </c>
    </row>
    <row r="41" spans="1:16" ht="15.75" customHeight="1" x14ac:dyDescent="0.35">
      <c r="C41"/>
      <c r="I41" s="424" t="e">
        <f>'Demo Rank'!B106</f>
        <v>#N/A</v>
      </c>
      <c r="J41" s="408" t="e">
        <f>'Demo Rank'!C106</f>
        <v>#N/A</v>
      </c>
      <c r="K41" s="418" t="e">
        <f>'Demo Rank'!D106</f>
        <v>#N/A</v>
      </c>
      <c r="L41" s="408" t="e">
        <f>'Demo Rank'!E106</f>
        <v>#N/A</v>
      </c>
      <c r="M41" s="418" t="e">
        <f>'Demo Rank'!F106</f>
        <v>#N/A</v>
      </c>
      <c r="N41" s="408" t="e">
        <f>'Demo Rank'!G106</f>
        <v>#N/A</v>
      </c>
      <c r="O41" s="246" t="e">
        <f>'Demo Rank'!H106</f>
        <v>#N/A</v>
      </c>
    </row>
    <row r="42" spans="1:16" ht="15.75" customHeight="1" x14ac:dyDescent="0.35">
      <c r="C42"/>
      <c r="D42"/>
      <c r="E42"/>
      <c r="F42"/>
      <c r="G42"/>
      <c r="I42" s="424" t="e">
        <f>'Demo Rank'!B107</f>
        <v>#N/A</v>
      </c>
      <c r="J42" s="408" t="e">
        <f>'Demo Rank'!C107</f>
        <v>#N/A</v>
      </c>
      <c r="K42" s="418" t="e">
        <f>'Demo Rank'!D107</f>
        <v>#N/A</v>
      </c>
      <c r="L42" s="408" t="e">
        <f>'Demo Rank'!E107</f>
        <v>#N/A</v>
      </c>
      <c r="M42" s="418" t="e">
        <f>'Demo Rank'!F107</f>
        <v>#N/A</v>
      </c>
      <c r="N42" s="408" t="e">
        <f>'Demo Rank'!G107</f>
        <v>#N/A</v>
      </c>
      <c r="O42" s="246" t="e">
        <f>'Demo Rank'!H107</f>
        <v>#N/A</v>
      </c>
    </row>
    <row r="43" spans="1:16" ht="15.75" customHeight="1" x14ac:dyDescent="0.35">
      <c r="C43"/>
      <c r="D43"/>
      <c r="E43"/>
      <c r="F43"/>
      <c r="G43"/>
      <c r="I43" s="424" t="e">
        <f>'Demo Rank'!B108</f>
        <v>#N/A</v>
      </c>
      <c r="J43" s="408" t="e">
        <f>'Demo Rank'!C108</f>
        <v>#N/A</v>
      </c>
      <c r="K43" s="418" t="e">
        <f>'Demo Rank'!D108</f>
        <v>#N/A</v>
      </c>
      <c r="L43" s="408" t="e">
        <f>'Demo Rank'!E108</f>
        <v>#N/A</v>
      </c>
      <c r="M43" s="418" t="e">
        <f>'Demo Rank'!F108</f>
        <v>#N/A</v>
      </c>
      <c r="N43" s="408" t="e">
        <f>'Demo Rank'!G108</f>
        <v>#N/A</v>
      </c>
      <c r="O43" s="246" t="e">
        <f>'Demo Rank'!H108</f>
        <v>#N/A</v>
      </c>
    </row>
    <row r="44" spans="1:16" ht="15.75" customHeight="1" x14ac:dyDescent="0.35">
      <c r="D44"/>
      <c r="E44"/>
      <c r="F44"/>
      <c r="G44"/>
      <c r="I44" s="424" t="e">
        <f>'Demo Rank'!B109</f>
        <v>#N/A</v>
      </c>
      <c r="J44" s="408" t="e">
        <f>'Demo Rank'!C109</f>
        <v>#N/A</v>
      </c>
      <c r="K44" s="418" t="e">
        <f>'Demo Rank'!D109</f>
        <v>#N/A</v>
      </c>
      <c r="L44" s="408" t="e">
        <f>'Demo Rank'!E109</f>
        <v>#N/A</v>
      </c>
      <c r="M44" s="418" t="e">
        <f>'Demo Rank'!F109</f>
        <v>#N/A</v>
      </c>
      <c r="N44" s="408" t="e">
        <f>'Demo Rank'!G109</f>
        <v>#N/A</v>
      </c>
      <c r="O44" s="246" t="e">
        <f>'Demo Rank'!H109</f>
        <v>#N/A</v>
      </c>
    </row>
    <row r="45" spans="1:16" ht="15.75" customHeight="1" x14ac:dyDescent="0.35">
      <c r="D45"/>
      <c r="E45"/>
      <c r="F45"/>
      <c r="G45"/>
      <c r="I45" s="424" t="e">
        <f>'Demo Rank'!B110</f>
        <v>#N/A</v>
      </c>
      <c r="J45" s="408" t="e">
        <f>'Demo Rank'!C110</f>
        <v>#N/A</v>
      </c>
      <c r="K45" s="418" t="e">
        <f>'Demo Rank'!D110</f>
        <v>#N/A</v>
      </c>
      <c r="L45" s="408" t="e">
        <f>'Demo Rank'!E110</f>
        <v>#N/A</v>
      </c>
      <c r="M45" s="418" t="e">
        <f>'Demo Rank'!F110</f>
        <v>#N/A</v>
      </c>
      <c r="N45" s="408" t="e">
        <f>'Demo Rank'!G110</f>
        <v>#N/A</v>
      </c>
      <c r="O45" s="246" t="e">
        <f>'Demo Rank'!H110</f>
        <v>#N/A</v>
      </c>
    </row>
    <row r="46" spans="1:16" ht="15.75" customHeight="1" x14ac:dyDescent="0.35">
      <c r="D46"/>
      <c r="E46"/>
      <c r="F46"/>
      <c r="G46"/>
      <c r="I46" s="424" t="e">
        <f>'Demo Rank'!B111</f>
        <v>#N/A</v>
      </c>
      <c r="J46" s="408" t="e">
        <f>'Demo Rank'!C111</f>
        <v>#N/A</v>
      </c>
      <c r="K46" s="418" t="e">
        <f>'Demo Rank'!D111</f>
        <v>#N/A</v>
      </c>
      <c r="L46" s="408" t="e">
        <f>'Demo Rank'!E111</f>
        <v>#N/A</v>
      </c>
      <c r="M46" s="418" t="e">
        <f>'Demo Rank'!F111</f>
        <v>#N/A</v>
      </c>
      <c r="N46" s="408" t="e">
        <f>'Demo Rank'!G111</f>
        <v>#N/A</v>
      </c>
      <c r="O46" s="246" t="e">
        <f>'Demo Rank'!H111</f>
        <v>#N/A</v>
      </c>
    </row>
    <row r="47" spans="1:16" ht="15.75" customHeight="1" x14ac:dyDescent="0.35">
      <c r="D47"/>
      <c r="E47"/>
      <c r="F47"/>
      <c r="G47"/>
      <c r="I47" s="424" t="e">
        <f>'Demo Rank'!B112</f>
        <v>#N/A</v>
      </c>
      <c r="J47" s="408" t="e">
        <f>'Demo Rank'!C112</f>
        <v>#N/A</v>
      </c>
      <c r="K47" s="418" t="e">
        <f>'Demo Rank'!D112</f>
        <v>#N/A</v>
      </c>
      <c r="L47" s="408" t="e">
        <f>'Demo Rank'!E112</f>
        <v>#N/A</v>
      </c>
      <c r="M47" s="418" t="e">
        <f>'Demo Rank'!F112</f>
        <v>#N/A</v>
      </c>
      <c r="N47" s="408" t="e">
        <f>'Demo Rank'!G112</f>
        <v>#N/A</v>
      </c>
      <c r="O47" s="246" t="e">
        <f>'Demo Rank'!H112</f>
        <v>#N/A</v>
      </c>
    </row>
    <row r="48" spans="1:16" ht="15.75" customHeight="1" x14ac:dyDescent="0.35">
      <c r="D48"/>
      <c r="E48"/>
      <c r="F48"/>
      <c r="G48"/>
      <c r="I48" s="424" t="e">
        <f>'Demo Rank'!B113</f>
        <v>#N/A</v>
      </c>
      <c r="J48" s="408" t="e">
        <f>'Demo Rank'!C113</f>
        <v>#N/A</v>
      </c>
      <c r="K48" s="418" t="e">
        <f>'Demo Rank'!D113</f>
        <v>#N/A</v>
      </c>
      <c r="L48" s="408" t="e">
        <f>'Demo Rank'!E113</f>
        <v>#N/A</v>
      </c>
      <c r="M48" s="418" t="e">
        <f>'Demo Rank'!F113</f>
        <v>#N/A</v>
      </c>
      <c r="N48" s="408" t="e">
        <f>'Demo Rank'!G113</f>
        <v>#N/A</v>
      </c>
      <c r="O48" s="246" t="e">
        <f>'Demo Rank'!H113</f>
        <v>#N/A</v>
      </c>
    </row>
    <row r="49" spans="4:18" ht="15.75" customHeight="1" x14ac:dyDescent="0.35">
      <c r="D49"/>
      <c r="E49"/>
      <c r="F49"/>
      <c r="G49"/>
      <c r="I49" s="424" t="e">
        <f>'Demo Rank'!B114</f>
        <v>#N/A</v>
      </c>
      <c r="J49" s="408" t="e">
        <f>'Demo Rank'!C114</f>
        <v>#N/A</v>
      </c>
      <c r="K49" s="418" t="e">
        <f>'Demo Rank'!D114</f>
        <v>#N/A</v>
      </c>
      <c r="L49" s="408" t="e">
        <f>'Demo Rank'!E114</f>
        <v>#N/A</v>
      </c>
      <c r="M49" s="418" t="e">
        <f>'Demo Rank'!F114</f>
        <v>#N/A</v>
      </c>
      <c r="N49" s="408" t="e">
        <f>'Demo Rank'!G114</f>
        <v>#N/A</v>
      </c>
      <c r="O49" s="246" t="e">
        <f>'Demo Rank'!H114</f>
        <v>#N/A</v>
      </c>
    </row>
    <row r="50" spans="4:18" ht="15.75" customHeight="1" x14ac:dyDescent="0.35">
      <c r="D50"/>
      <c r="E50"/>
      <c r="F50"/>
      <c r="G50"/>
      <c r="I50" s="424" t="e">
        <f>'Demo Rank'!B115</f>
        <v>#N/A</v>
      </c>
      <c r="J50" s="408" t="e">
        <f>'Demo Rank'!C115</f>
        <v>#N/A</v>
      </c>
      <c r="K50" s="418" t="e">
        <f>'Demo Rank'!D115</f>
        <v>#N/A</v>
      </c>
      <c r="L50" s="408" t="e">
        <f>'Demo Rank'!E115</f>
        <v>#N/A</v>
      </c>
      <c r="M50" s="418" t="e">
        <f>'Demo Rank'!F115</f>
        <v>#N/A</v>
      </c>
      <c r="N50" s="408" t="e">
        <f>'Demo Rank'!G115</f>
        <v>#N/A</v>
      </c>
      <c r="O50" s="246" t="e">
        <f>'Demo Rank'!H115</f>
        <v>#N/A</v>
      </c>
    </row>
    <row r="51" spans="4:18" ht="15.75" customHeight="1" x14ac:dyDescent="0.35">
      <c r="D51"/>
      <c r="E51"/>
      <c r="F51"/>
      <c r="G51"/>
      <c r="I51" s="424" t="e">
        <f>'Demo Rank'!B116</f>
        <v>#N/A</v>
      </c>
      <c r="J51" s="408" t="e">
        <f>'Demo Rank'!C116</f>
        <v>#N/A</v>
      </c>
      <c r="K51" s="418" t="e">
        <f>'Demo Rank'!D116</f>
        <v>#N/A</v>
      </c>
      <c r="L51" s="408" t="e">
        <f>'Demo Rank'!E116</f>
        <v>#N/A</v>
      </c>
      <c r="M51" s="418" t="e">
        <f>'Demo Rank'!F116</f>
        <v>#N/A</v>
      </c>
      <c r="N51" s="408" t="e">
        <f>'Demo Rank'!G116</f>
        <v>#N/A</v>
      </c>
      <c r="O51" s="246" t="e">
        <f>'Demo Rank'!H116</f>
        <v>#N/A</v>
      </c>
    </row>
    <row r="52" spans="4:18" ht="15.75" customHeight="1" x14ac:dyDescent="0.35">
      <c r="I52" s="424" t="e">
        <f>'Demo Rank'!B117</f>
        <v>#N/A</v>
      </c>
      <c r="J52" s="408" t="e">
        <f>'Demo Rank'!C117</f>
        <v>#N/A</v>
      </c>
      <c r="K52" s="418" t="e">
        <f>'Demo Rank'!D117</f>
        <v>#N/A</v>
      </c>
      <c r="L52" s="408" t="e">
        <f>'Demo Rank'!E117</f>
        <v>#N/A</v>
      </c>
      <c r="M52" s="418" t="e">
        <f>'Demo Rank'!F117</f>
        <v>#N/A</v>
      </c>
      <c r="N52" s="408" t="e">
        <f>'Demo Rank'!G117</f>
        <v>#N/A</v>
      </c>
      <c r="O52" s="246" t="e">
        <f>'Demo Rank'!H117</f>
        <v>#N/A</v>
      </c>
    </row>
    <row r="53" spans="4:18" ht="15.75" customHeight="1" x14ac:dyDescent="0.35">
      <c r="I53" s="424" t="e">
        <f>'Demo Rank'!B118</f>
        <v>#N/A</v>
      </c>
      <c r="J53" s="408" t="e">
        <f>'Demo Rank'!C118</f>
        <v>#N/A</v>
      </c>
      <c r="K53" s="418" t="e">
        <f>'Demo Rank'!D118</f>
        <v>#N/A</v>
      </c>
      <c r="L53" s="408" t="e">
        <f>'Demo Rank'!E118</f>
        <v>#N/A</v>
      </c>
      <c r="M53" s="418" t="e">
        <f>'Demo Rank'!F118</f>
        <v>#N/A</v>
      </c>
      <c r="N53" s="408" t="e">
        <f>'Demo Rank'!G118</f>
        <v>#N/A</v>
      </c>
      <c r="O53" s="246" t="e">
        <f>'Demo Rank'!H118</f>
        <v>#N/A</v>
      </c>
    </row>
    <row r="54" spans="4:18" ht="15.75" customHeight="1" x14ac:dyDescent="0.35">
      <c r="I54" s="424" t="e">
        <f>'Demo Rank'!B119</f>
        <v>#N/A</v>
      </c>
      <c r="J54" s="408" t="e">
        <f>'Demo Rank'!C119</f>
        <v>#N/A</v>
      </c>
      <c r="K54" s="418" t="e">
        <f>'Demo Rank'!D119</f>
        <v>#N/A</v>
      </c>
      <c r="L54" s="408" t="e">
        <f>'Demo Rank'!E119</f>
        <v>#N/A</v>
      </c>
      <c r="M54" s="418" t="e">
        <f>'Demo Rank'!F119</f>
        <v>#N/A</v>
      </c>
      <c r="N54" s="408" t="e">
        <f>'Demo Rank'!G119</f>
        <v>#N/A</v>
      </c>
      <c r="O54" s="246" t="e">
        <f>'Demo Rank'!H119</f>
        <v>#N/A</v>
      </c>
    </row>
    <row r="55" spans="4:18" ht="15.75" customHeight="1" x14ac:dyDescent="0.35">
      <c r="I55" s="424" t="e">
        <f>'Demo Rank'!B120</f>
        <v>#N/A</v>
      </c>
      <c r="J55" s="408" t="e">
        <f>'Demo Rank'!C120</f>
        <v>#N/A</v>
      </c>
      <c r="K55" s="418" t="e">
        <f>'Demo Rank'!D120</f>
        <v>#N/A</v>
      </c>
      <c r="L55" s="408" t="e">
        <f>'Demo Rank'!E120</f>
        <v>#N/A</v>
      </c>
      <c r="M55" s="418" t="e">
        <f>'Demo Rank'!F120</f>
        <v>#N/A</v>
      </c>
      <c r="N55" s="408" t="e">
        <f>'Demo Rank'!G120</f>
        <v>#N/A</v>
      </c>
      <c r="O55" s="246" t="e">
        <f>'Demo Rank'!H120</f>
        <v>#N/A</v>
      </c>
    </row>
    <row r="56" spans="4:18" ht="15.75" customHeight="1" x14ac:dyDescent="0.35">
      <c r="D56"/>
      <c r="E56"/>
      <c r="F56"/>
      <c r="G56"/>
      <c r="H56"/>
      <c r="I56" s="424" t="e">
        <f>'Demo Rank'!B121</f>
        <v>#N/A</v>
      </c>
      <c r="J56" s="408" t="e">
        <f>'Demo Rank'!C121</f>
        <v>#N/A</v>
      </c>
      <c r="K56" s="418" t="e">
        <f>'Demo Rank'!D121</f>
        <v>#N/A</v>
      </c>
      <c r="L56" s="408" t="e">
        <f>'Demo Rank'!E121</f>
        <v>#N/A</v>
      </c>
      <c r="M56" s="418" t="e">
        <f>'Demo Rank'!F121</f>
        <v>#N/A</v>
      </c>
      <c r="N56" s="408" t="e">
        <f>'Demo Rank'!G121</f>
        <v>#N/A</v>
      </c>
      <c r="O56" s="246" t="e">
        <f>'Demo Rank'!H121</f>
        <v>#N/A</v>
      </c>
      <c r="Q56"/>
      <c r="R56"/>
    </row>
    <row r="57" spans="4:18" ht="15.75" customHeight="1" x14ac:dyDescent="0.35">
      <c r="I57" s="424" t="e">
        <f>'Demo Rank'!B122</f>
        <v>#N/A</v>
      </c>
      <c r="J57" s="408" t="e">
        <f>'Demo Rank'!C122</f>
        <v>#N/A</v>
      </c>
      <c r="K57" s="418" t="e">
        <f>'Demo Rank'!D122</f>
        <v>#N/A</v>
      </c>
      <c r="L57" s="408" t="e">
        <f>'Demo Rank'!E122</f>
        <v>#N/A</v>
      </c>
      <c r="M57" s="418" t="e">
        <f>'Demo Rank'!F122</f>
        <v>#N/A</v>
      </c>
      <c r="N57" s="408" t="e">
        <f>'Demo Rank'!G122</f>
        <v>#N/A</v>
      </c>
      <c r="O57" s="246" t="e">
        <f>'Demo Rank'!H122</f>
        <v>#N/A</v>
      </c>
    </row>
    <row r="58" spans="4:18" ht="15.75" customHeight="1" x14ac:dyDescent="0.35">
      <c r="I58" s="424" t="e">
        <f>'Demo Rank'!B123</f>
        <v>#N/A</v>
      </c>
      <c r="J58" s="408" t="e">
        <f>'Demo Rank'!C123</f>
        <v>#N/A</v>
      </c>
      <c r="K58" s="418" t="e">
        <f>'Demo Rank'!D123</f>
        <v>#N/A</v>
      </c>
      <c r="L58" s="408" t="e">
        <f>'Demo Rank'!E123</f>
        <v>#N/A</v>
      </c>
      <c r="M58" s="418" t="e">
        <f>'Demo Rank'!F123</f>
        <v>#N/A</v>
      </c>
      <c r="N58" s="408" t="e">
        <f>'Demo Rank'!G123</f>
        <v>#N/A</v>
      </c>
      <c r="O58" s="246" t="e">
        <f>'Demo Rank'!H123</f>
        <v>#N/A</v>
      </c>
    </row>
    <row r="59" spans="4:18" ht="15.75" customHeight="1" x14ac:dyDescent="0.35">
      <c r="I59" s="424" t="e">
        <f>'Demo Rank'!B124</f>
        <v>#N/A</v>
      </c>
      <c r="J59" s="408" t="e">
        <f>'Demo Rank'!C124</f>
        <v>#N/A</v>
      </c>
      <c r="K59" s="418" t="e">
        <f>'Demo Rank'!D124</f>
        <v>#N/A</v>
      </c>
      <c r="L59" s="408" t="e">
        <f>'Demo Rank'!E124</f>
        <v>#N/A</v>
      </c>
      <c r="M59" s="418" t="e">
        <f>'Demo Rank'!F124</f>
        <v>#N/A</v>
      </c>
      <c r="N59" s="460" t="e">
        <f>'Demo Rank'!G124</f>
        <v>#N/A</v>
      </c>
      <c r="O59" s="461" t="e">
        <f>'Demo Rank'!H124</f>
        <v>#N/A</v>
      </c>
    </row>
    <row r="60" spans="4:18" ht="15.75" customHeight="1" x14ac:dyDescent="0.35">
      <c r="I60" s="425" t="e">
        <f>'Demo Rank'!B125</f>
        <v>#N/A</v>
      </c>
      <c r="J60" s="419" t="e">
        <f>'Demo Rank'!C125</f>
        <v>#N/A</v>
      </c>
      <c r="K60" s="420" t="e">
        <f>'Demo Rank'!D125</f>
        <v>#N/A</v>
      </c>
      <c r="L60" s="419" t="e">
        <f>'Demo Rank'!E125</f>
        <v>#N/A</v>
      </c>
      <c r="M60" s="420" t="e">
        <f>'Demo Rank'!F125</f>
        <v>#N/A</v>
      </c>
      <c r="N60" s="462" t="e">
        <f>'Demo Rank'!G125</f>
        <v>#N/A</v>
      </c>
      <c r="O60" s="471" t="e">
        <f>'Demo Rank'!H125</f>
        <v>#N/A</v>
      </c>
    </row>
    <row r="61" spans="4:18" ht="15.5" x14ac:dyDescent="0.35">
      <c r="I61"/>
      <c r="J61"/>
      <c r="K61" s="426"/>
      <c r="L61" s="427"/>
      <c r="M61" s="428"/>
    </row>
    <row r="62" spans="4:18" ht="15.5" x14ac:dyDescent="0.35">
      <c r="I62"/>
      <c r="J62"/>
      <c r="K62"/>
      <c r="L62" s="429"/>
      <c r="M62" s="238"/>
    </row>
    <row r="65" spans="1:4" ht="15.75" hidden="1" customHeight="1" x14ac:dyDescent="0.35"/>
    <row r="66" spans="1:4" ht="15.5" hidden="1" x14ac:dyDescent="0.35">
      <c r="A66" s="27"/>
    </row>
    <row r="68" spans="1:4" hidden="1" x14ac:dyDescent="0.35">
      <c r="A68"/>
      <c r="B68"/>
      <c r="C68"/>
      <c r="D68"/>
    </row>
    <row r="69" spans="1:4" hidden="1" x14ac:dyDescent="0.35">
      <c r="A69"/>
      <c r="B69"/>
      <c r="C69"/>
      <c r="D69"/>
    </row>
    <row r="70" spans="1:4" hidden="1" x14ac:dyDescent="0.35">
      <c r="A70"/>
      <c r="B70"/>
      <c r="C70"/>
      <c r="D70"/>
    </row>
    <row r="71" spans="1:4" hidden="1" x14ac:dyDescent="0.35">
      <c r="A71"/>
      <c r="B71"/>
      <c r="C71"/>
      <c r="D71"/>
    </row>
    <row r="72" spans="1:4" hidden="1" x14ac:dyDescent="0.35">
      <c r="A72"/>
      <c r="B72"/>
      <c r="C72"/>
      <c r="D72"/>
    </row>
    <row r="73" spans="1:4" hidden="1" x14ac:dyDescent="0.35">
      <c r="A73"/>
      <c r="B73"/>
      <c r="C73"/>
      <c r="D73"/>
    </row>
    <row r="74" spans="1:4" hidden="1" x14ac:dyDescent="0.35">
      <c r="A74"/>
      <c r="B74"/>
      <c r="C74"/>
      <c r="D74"/>
    </row>
    <row r="86" ht="31.5" hidden="1" customHeight="1" x14ac:dyDescent="0.35"/>
    <row r="88" ht="22.5" hidden="1" customHeight="1" x14ac:dyDescent="0.35"/>
    <row r="90" ht="15" hidden="1" customHeight="1" x14ac:dyDescent="0.35"/>
    <row r="91" ht="15" hidden="1" customHeight="1" x14ac:dyDescent="0.35"/>
    <row r="97" spans="4:18" customFormat="1" hidden="1" x14ac:dyDescent="0.35">
      <c r="D97" s="28"/>
      <c r="E97" s="28"/>
      <c r="F97" s="28"/>
      <c r="G97" s="28"/>
      <c r="H97" s="28"/>
      <c r="I97" s="28"/>
      <c r="J97" s="28"/>
      <c r="K97" s="28"/>
      <c r="L97" s="28"/>
      <c r="M97" s="28"/>
      <c r="N97" s="28"/>
      <c r="O97" s="28"/>
      <c r="P97" s="28"/>
      <c r="Q97" s="28"/>
      <c r="R97" s="28"/>
    </row>
    <row r="126" x14ac:dyDescent="0.35"/>
    <row r="127" x14ac:dyDescent="0.35"/>
    <row r="128" x14ac:dyDescent="0.35"/>
  </sheetData>
  <sheetProtection algorithmName="SHA-512" hashValue="FqydBVO2VLWEd548cCF32e20Y5EoERxXp0hWBZfnOK6Vprv/rAZvfcLQ7FyMjBiR17f9O6ZWHBK8shK8TGKjDA==" saltValue="hGwODh+eWB7a6gYUMed/2w==" spinCount="100000" sheet="1" objects="1" scenarios="1"/>
  <hyperlinks>
    <hyperlink ref="A2" location="COUNTY_SELECT" tooltip="Back to County Selection" display="COUNTY_SELECT" xr:uid="{4EAC960A-7AC0-4E74-99CE-329B362214CA}"/>
    <hyperlink ref="A1" location="Navigation!C11" display="General Data page (current page/cell A1): select the hyperlink to the Navigation table, in cell A1, to review tables in the General Data page.  To select a county for review, go to the hyperlink in cell A2, you will be sent to the Navigation page cell A2 " xr:uid="{08FD097E-E169-45C4-B2B3-757CEEDBD141}"/>
    <hyperlink ref="L31" location="Navigation!D14" tooltip="Back to Table Selection" display="Navigation!D14" xr:uid="{3406369B-AB32-449E-845B-F45FB161BF43}"/>
    <hyperlink ref="G27" location="Navigation!D13" tooltip="Back to Table Selection" display="Navigation!D13" xr:uid="{457D043E-076A-4EEA-95EB-88A4CB5A0048}"/>
    <hyperlink ref="A11:C11" location="Appen_DENIED_APP" tooltip="Go To Denied Applications Definition" display="Denied Applications" xr:uid="{80E0D17D-B440-4928-84C7-777A33506F70}"/>
    <hyperlink ref="A10:B10" location="Appen_NEW_APP" tooltip="Go to New Applications Definition" display="New Applications" xr:uid="{6DDCDDB8-8076-4181-A3A2-D8993FB99A04}"/>
    <hyperlink ref="A36:B36" location="Appen_ExitProgram" tooltip="Go to Exiting the Program Definition" display="Exiting the Program" xr:uid="{AAB13F1F-3B4C-490C-B2FD-954DFC251EB5}"/>
    <hyperlink ref="O60" location="Navigation!D15" tooltip="Back to Table Selection" display="Navigation!D15" xr:uid="{276162E5-BFF3-409E-A443-29693596847B}"/>
  </hyperlinks>
  <printOptions horizontalCentered="1"/>
  <pageMargins left="0.7" right="0.7" top="0.75" bottom="0.75" header="0.3" footer="0.3"/>
  <pageSetup scale="44"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pageSetUpPr fitToPage="1"/>
  </sheetPr>
  <dimension ref="A1:X64"/>
  <sheetViews>
    <sheetView showGridLines="0" showRowColHeaders="0" zoomScale="90" zoomScaleNormal="90" workbookViewId="0">
      <pane ySplit="4" topLeftCell="A5" activePane="bottomLeft" state="frozen"/>
      <selection activeCell="A5" sqref="A5"/>
      <selection pane="bottomLeft" activeCell="A5" sqref="A5"/>
    </sheetView>
  </sheetViews>
  <sheetFormatPr defaultColWidth="0" defaultRowHeight="15" customHeight="1" zeroHeight="1" x14ac:dyDescent="0.35"/>
  <cols>
    <col min="1" max="1" width="27.453125" style="28" customWidth="1"/>
    <col min="2" max="2" width="14.81640625" style="28" bestFit="1" customWidth="1"/>
    <col min="3" max="3" width="13.1796875" style="28" bestFit="1" customWidth="1"/>
    <col min="4" max="4" width="3.54296875" style="28" customWidth="1"/>
    <col min="5" max="22" width="9.1796875" style="28" customWidth="1"/>
    <col min="23" max="23" width="12.1796875" style="28" customWidth="1"/>
    <col min="24" max="24" width="9.1796875" style="28" customWidth="1"/>
    <col min="25" max="16384" width="9.1796875" style="28" hidden="1"/>
  </cols>
  <sheetData>
    <row r="1" spans="1:24" ht="0.75" customHeight="1" x14ac:dyDescent="0.35">
      <c r="A1" s="253" t="s">
        <v>431</v>
      </c>
      <c r="B1" s="26"/>
      <c r="C1" s="26"/>
      <c r="D1" s="26"/>
      <c r="E1" s="26"/>
      <c r="F1" s="26"/>
      <c r="G1" s="26"/>
      <c r="H1" s="26"/>
      <c r="I1" s="26"/>
      <c r="J1" s="26"/>
      <c r="K1" s="26"/>
      <c r="L1" s="27"/>
      <c r="M1" s="30"/>
      <c r="N1" s="30"/>
      <c r="O1" s="30"/>
      <c r="P1" s="30"/>
      <c r="Q1" s="30"/>
      <c r="R1" s="30"/>
      <c r="S1" s="30"/>
      <c r="T1" s="30"/>
      <c r="U1" s="30"/>
      <c r="V1" s="30"/>
      <c r="W1" s="30"/>
    </row>
    <row r="2" spans="1:24" ht="24.75" customHeight="1" x14ac:dyDescent="0.35">
      <c r="A2" s="29" t="str">
        <f>COUNTY_SELECT&amp;" County"</f>
        <v>County Name County</v>
      </c>
      <c r="B2" s="31"/>
      <c r="E2" s="26"/>
      <c r="F2" s="30"/>
      <c r="P2" s="30"/>
    </row>
    <row r="3" spans="1:24" ht="16.5" customHeight="1" x14ac:dyDescent="0.35">
      <c r="A3" s="31" t="str">
        <f>Navigation!A3</f>
        <v xml:space="preserve"> Size County</v>
      </c>
      <c r="B3" s="31"/>
    </row>
    <row r="4" spans="1:24" ht="11.25" customHeight="1" thickBot="1" x14ac:dyDescent="0.4">
      <c r="A4" s="32"/>
      <c r="B4" s="32"/>
      <c r="C4" s="32"/>
      <c r="D4" s="32"/>
      <c r="E4" s="32"/>
      <c r="F4" s="32"/>
      <c r="G4" s="32"/>
      <c r="H4" s="32"/>
      <c r="I4" s="32"/>
      <c r="J4" s="32"/>
      <c r="K4" s="32"/>
      <c r="L4" s="32"/>
      <c r="M4" s="32"/>
      <c r="N4" s="32"/>
      <c r="O4" s="32"/>
      <c r="P4" s="32"/>
      <c r="Q4" s="32"/>
      <c r="R4" s="32"/>
      <c r="S4" s="32"/>
      <c r="T4" s="32"/>
      <c r="U4" s="32"/>
      <c r="V4" s="32"/>
      <c r="W4" s="32"/>
      <c r="X4" s="32"/>
    </row>
    <row r="5" spans="1:24" ht="16.5" customHeight="1" thickTop="1" x14ac:dyDescent="0.35">
      <c r="A5" s="456" t="s">
        <v>432</v>
      </c>
      <c r="B5" s="454"/>
      <c r="C5" s="454"/>
      <c r="D5" s="454"/>
      <c r="E5" s="454"/>
      <c r="F5" s="454"/>
      <c r="G5" s="454"/>
      <c r="H5" s="454"/>
      <c r="I5" s="454"/>
      <c r="J5" s="454"/>
      <c r="K5" s="454"/>
      <c r="L5" s="454"/>
      <c r="M5" s="454"/>
      <c r="N5" s="454"/>
      <c r="O5" s="454"/>
      <c r="P5" s="454"/>
      <c r="Q5" s="454"/>
      <c r="R5" s="454"/>
      <c r="S5" s="454"/>
      <c r="T5" s="454"/>
      <c r="U5" s="454"/>
      <c r="V5" s="454"/>
      <c r="W5" s="454"/>
      <c r="X5" s="454"/>
    </row>
    <row r="6" spans="1:24" ht="15.5" x14ac:dyDescent="0.35">
      <c r="C6" s="31"/>
    </row>
    <row r="7" spans="1:24" ht="15.5" x14ac:dyDescent="0.35">
      <c r="A7" s="317"/>
    </row>
    <row r="8" spans="1:24" ht="14.5" x14ac:dyDescent="0.35"/>
    <row r="9" spans="1:24" ht="15.5" x14ac:dyDescent="0.35">
      <c r="A9" s="62" t="s">
        <v>289</v>
      </c>
    </row>
    <row r="10" spans="1:24" ht="15" customHeight="1" x14ac:dyDescent="0.35">
      <c r="A10" s="27" t="s">
        <v>9</v>
      </c>
    </row>
    <row r="11" spans="1:24" ht="31" x14ac:dyDescent="0.35">
      <c r="A11" s="318" t="s">
        <v>447</v>
      </c>
    </row>
    <row r="12" spans="1:24" ht="15.5" x14ac:dyDescent="0.35">
      <c r="A12" s="27" t="s">
        <v>442</v>
      </c>
    </row>
    <row r="13" spans="1:24" ht="14.5" x14ac:dyDescent="0.35"/>
    <row r="14" spans="1:24" ht="14.5" x14ac:dyDescent="0.35"/>
    <row r="15" spans="1:24" ht="14.5" x14ac:dyDescent="0.35"/>
    <row r="16" spans="1:24"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sheetData>
  <sheetProtection algorithmName="SHA-512" hashValue="fETGW2WZPNf/kWtDhpj6d+DigKlrdvqUn4GJPBR1Ov7E7xHVsP9A2IKRDBiXNJu2wWejcMtj/XR9l7qG8tewYA==" saltValue="9oHwNIYqObmirS8QbCEBOg==" spinCount="100000" sheet="1" objects="1" scenarios="1"/>
  <hyperlinks>
    <hyperlink ref="A10" location="Appen_COUNTY_SIZE" tooltip="Go to County Size Definition" display="County Size" xr:uid="{00000000-0004-0000-0100-000000000000}"/>
    <hyperlink ref="A2" location="COUNTY_SELECT" tooltip="Back to County Selection" display="COUNTY_SELECT" xr:uid="{00000000-0004-0000-0100-000001000000}"/>
    <hyperlink ref="A1" location="Nav_Dash" display="Dashboard page (current page): select the hyperlink to the Navigation table, in cell A1, to review tables in the General Data page.  To select a county for review, go to the hyperlink in cell A2, you will be sent to the Navigation page cell A2 where you c" xr:uid="{00000000-0004-0000-0100-000002000000}"/>
    <hyperlink ref="A11:A12" location="Appen_DDG" tooltip="Go to De-Identifcation Guidelines (DDG) definition" display="De-Identification " xr:uid="{541400AE-CAC3-47C5-B391-68EE108812F5}"/>
  </hyperlinks>
  <printOptions horizontalCentered="1"/>
  <pageMargins left="0.7" right="0.7" top="0.75" bottom="0.75" header="0.3" footer="0.3"/>
  <pageSetup scale="49" orientation="landscape"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R99"/>
  <sheetViews>
    <sheetView showGridLines="0" showRowColHeaders="0" zoomScale="90" zoomScaleNormal="90" workbookViewId="0">
      <pane ySplit="4" topLeftCell="A5" activePane="bottomLeft" state="frozen"/>
      <selection pane="bottomLeft" activeCell="A5" sqref="A5"/>
    </sheetView>
  </sheetViews>
  <sheetFormatPr defaultColWidth="0" defaultRowHeight="14.5" x14ac:dyDescent="0.35"/>
  <cols>
    <col min="1" max="3" width="9.1796875" customWidth="1"/>
    <col min="4" max="4" width="36" customWidth="1"/>
    <col min="5" max="5" width="19.54296875" bestFit="1" customWidth="1"/>
    <col min="6" max="6" width="19.54296875" customWidth="1"/>
    <col min="7" max="7" width="18.1796875" customWidth="1"/>
    <col min="8" max="8" width="4.54296875" customWidth="1"/>
    <col min="9" max="9" width="36.54296875" customWidth="1"/>
    <col min="10" max="10" width="19.54296875" customWidth="1"/>
    <col min="11" max="14" width="17.54296875" customWidth="1"/>
    <col min="15" max="18" width="17.54296875" hidden="1" customWidth="1"/>
    <col min="19" max="16384" width="12.54296875" hidden="1"/>
  </cols>
  <sheetData>
    <row r="1" spans="1:14" s="28" customFormat="1" ht="0.75" customHeight="1" x14ac:dyDescent="0.35">
      <c r="A1" s="26" t="s">
        <v>355</v>
      </c>
      <c r="B1" s="26"/>
      <c r="C1" s="26"/>
      <c r="D1" s="26"/>
      <c r="E1" s="26"/>
      <c r="F1" s="58"/>
      <c r="G1" s="26"/>
      <c r="H1" s="26"/>
      <c r="I1" s="26"/>
      <c r="J1" s="26"/>
      <c r="K1" s="26"/>
      <c r="L1" s="30"/>
      <c r="M1" s="30"/>
      <c r="N1" s="30"/>
    </row>
    <row r="2" spans="1:14" s="28" customFormat="1" ht="24.75" customHeight="1" x14ac:dyDescent="0.35">
      <c r="A2" s="29" t="str">
        <f>COUNTY_SELECT&amp;" County"</f>
        <v>County Name County</v>
      </c>
      <c r="B2" s="57"/>
      <c r="C2" s="57"/>
      <c r="E2" s="290"/>
      <c r="F2" s="290"/>
      <c r="G2" s="290"/>
      <c r="H2" s="26"/>
      <c r="I2" s="26"/>
      <c r="J2" s="26"/>
      <c r="K2" s="30"/>
      <c r="L2" s="30"/>
      <c r="M2" s="30"/>
      <c r="N2" s="60"/>
    </row>
    <row r="3" spans="1:14" s="28" customFormat="1" ht="16.5" customHeight="1" x14ac:dyDescent="0.35">
      <c r="A3" s="31" t="str">
        <f>Navigation!A3</f>
        <v xml:space="preserve"> Size County</v>
      </c>
      <c r="B3" s="31"/>
      <c r="C3" s="31"/>
    </row>
    <row r="4" spans="1:14" s="28" customFormat="1" ht="12" customHeight="1" thickBot="1" x14ac:dyDescent="0.4">
      <c r="A4" s="32"/>
      <c r="B4" s="32"/>
      <c r="C4" s="32"/>
      <c r="D4" s="32"/>
      <c r="E4" s="32"/>
      <c r="F4" s="32"/>
      <c r="G4" s="32"/>
      <c r="H4" s="32"/>
      <c r="I4" s="32"/>
      <c r="J4" s="32"/>
      <c r="K4" s="32"/>
      <c r="L4" s="32"/>
      <c r="M4" s="32"/>
      <c r="N4" s="32"/>
    </row>
    <row r="5" spans="1:14" s="28" customFormat="1" ht="12" customHeight="1" thickTop="1" x14ac:dyDescent="0.35">
      <c r="A5" s="457" t="s">
        <v>434</v>
      </c>
      <c r="B5" s="454"/>
      <c r="C5" s="454"/>
      <c r="D5" s="454"/>
      <c r="E5" s="454"/>
      <c r="F5" s="454"/>
      <c r="G5" s="454"/>
      <c r="H5" s="454"/>
      <c r="I5" s="454"/>
      <c r="J5" s="454"/>
      <c r="K5" s="454"/>
      <c r="L5" s="454"/>
      <c r="M5" s="454"/>
      <c r="N5" s="454"/>
    </row>
    <row r="6" spans="1:14" s="28" customFormat="1" ht="15.5" x14ac:dyDescent="0.35">
      <c r="A6" s="291"/>
    </row>
    <row r="7" spans="1:14" s="28" customFormat="1" x14ac:dyDescent="0.35"/>
    <row r="8" spans="1:14" s="28" customFormat="1" x14ac:dyDescent="0.35"/>
    <row r="9" spans="1:14" s="28" customFormat="1" ht="15.5" x14ac:dyDescent="0.35">
      <c r="A9" s="62" t="s">
        <v>289</v>
      </c>
    </row>
    <row r="10" spans="1:14" s="28" customFormat="1" ht="15.5" x14ac:dyDescent="0.35">
      <c r="A10" s="27" t="s">
        <v>288</v>
      </c>
      <c r="B10" s="27"/>
    </row>
    <row r="11" spans="1:14" s="28" customFormat="1" ht="15.5" x14ac:dyDescent="0.35">
      <c r="A11" s="27" t="s">
        <v>554</v>
      </c>
      <c r="B11" s="27"/>
      <c r="C11" s="27"/>
    </row>
    <row r="12" spans="1:14" s="28" customFormat="1" ht="15.5" x14ac:dyDescent="0.35">
      <c r="A12" s="734" t="s">
        <v>649</v>
      </c>
      <c r="B12" s="734"/>
    </row>
    <row r="13" spans="1:14" s="28" customFormat="1" ht="15.5" x14ac:dyDescent="0.35">
      <c r="A13" s="733" t="s">
        <v>552</v>
      </c>
      <c r="B13" s="733"/>
      <c r="C13" s="733"/>
    </row>
    <row r="14" spans="1:14" s="28" customFormat="1" x14ac:dyDescent="0.35">
      <c r="A14"/>
      <c r="B14"/>
      <c r="C14"/>
    </row>
    <row r="15" spans="1:14" s="28" customFormat="1" ht="15.5" x14ac:dyDescent="0.35">
      <c r="B15" s="27"/>
      <c r="C15" s="27"/>
    </row>
    <row r="16" spans="1:14" s="28" customFormat="1" x14ac:dyDescent="0.35"/>
    <row r="17" spans="1:13" s="28" customFormat="1" x14ac:dyDescent="0.35"/>
    <row r="18" spans="1:13" s="28" customFormat="1" ht="15.5" x14ac:dyDescent="0.35">
      <c r="A18" s="31"/>
    </row>
    <row r="19" spans="1:13" s="28" customFormat="1" ht="15.5" x14ac:dyDescent="0.35">
      <c r="A19" s="31"/>
      <c r="B19" s="31"/>
      <c r="C19" s="31"/>
    </row>
    <row r="20" spans="1:13" s="31" customFormat="1" ht="15.5" x14ac:dyDescent="0.35">
      <c r="D20" s="292"/>
      <c r="E20" s="293"/>
      <c r="F20" s="293"/>
      <c r="G20" s="293"/>
      <c r="H20" s="132"/>
      <c r="I20" s="132"/>
    </row>
    <row r="21" spans="1:13" s="31" customFormat="1" ht="30.75" customHeight="1" x14ac:dyDescent="0.4">
      <c r="D21" s="66" t="s">
        <v>543</v>
      </c>
      <c r="E21" s="67"/>
      <c r="F21" s="67"/>
      <c r="G21" s="68"/>
      <c r="H21" s="132"/>
      <c r="I21" s="66" t="s">
        <v>646</v>
      </c>
      <c r="J21" s="67"/>
      <c r="K21" s="67"/>
      <c r="L21" s="68"/>
    </row>
    <row r="22" spans="1:13" s="31" customFormat="1" ht="15.5" x14ac:dyDescent="0.35">
      <c r="D22" s="294" t="s">
        <v>544</v>
      </c>
      <c r="E22" s="70" t="str">
        <f>Data!$A$71</f>
        <v/>
      </c>
      <c r="F22" s="70" t="str">
        <f>Data!$A$72</f>
        <v/>
      </c>
      <c r="G22" s="71" t="str">
        <f>LEFT(Data!$A$62,9)</f>
        <v>Statewide</v>
      </c>
      <c r="H22" s="295"/>
      <c r="I22" s="294" t="s">
        <v>647</v>
      </c>
      <c r="J22" s="70" t="str">
        <f>Data!$A$71</f>
        <v/>
      </c>
      <c r="K22" s="70" t="str">
        <f>Data!$A$72</f>
        <v/>
      </c>
      <c r="L22" s="71" t="str">
        <f>LEFT(Data!$A$62,9)</f>
        <v>Statewide</v>
      </c>
      <c r="M22" s="132"/>
    </row>
    <row r="23" spans="1:13" s="31" customFormat="1" ht="15" customHeight="1" x14ac:dyDescent="0.35">
      <c r="D23" s="82" t="str">
        <f>Data!D63</f>
        <v>Authorized Recipients</v>
      </c>
      <c r="E23" s="80" t="str">
        <f>Data!$D71</f>
        <v/>
      </c>
      <c r="F23" s="80" t="str">
        <f>Data!$D72</f>
        <v/>
      </c>
      <c r="G23" s="114">
        <f>Data!$D62</f>
        <v>737348</v>
      </c>
      <c r="H23" s="135"/>
      <c r="I23" s="82" t="s">
        <v>255</v>
      </c>
      <c r="J23" s="80" t="str">
        <f>Data!G71</f>
        <v/>
      </c>
      <c r="K23" s="80" t="str">
        <f>Data!G72</f>
        <v/>
      </c>
      <c r="L23" s="114">
        <f>Data!G62</f>
        <v>730766</v>
      </c>
      <c r="M23" s="132"/>
    </row>
    <row r="24" spans="1:13" s="31" customFormat="1" ht="15" customHeight="1" x14ac:dyDescent="0.35">
      <c r="D24" s="296" t="str">
        <f>Data!E63</f>
        <v>Authorized Hours</v>
      </c>
      <c r="E24" s="297" t="str">
        <f>Data!$E71</f>
        <v/>
      </c>
      <c r="F24" s="297" t="str">
        <f>Data!$E72</f>
        <v/>
      </c>
      <c r="G24" s="298">
        <f>Data!$E62</f>
        <v>85189743.400000006</v>
      </c>
      <c r="H24" s="135"/>
      <c r="I24" s="215" t="s">
        <v>270</v>
      </c>
      <c r="J24" s="288" t="str">
        <f>IFERROR(J23/Data!$D71,"")</f>
        <v/>
      </c>
      <c r="K24" s="288" t="str">
        <f>IFERROR(K23/Data!$D72,"")</f>
        <v/>
      </c>
      <c r="L24" s="289">
        <f>IFERROR(L23/Data!$D62,"")</f>
        <v>0.99107341445287711</v>
      </c>
      <c r="M24" s="132"/>
    </row>
    <row r="25" spans="1:13" s="31" customFormat="1" ht="15" customHeight="1" x14ac:dyDescent="0.35">
      <c r="D25" s="88" t="s">
        <v>552</v>
      </c>
      <c r="E25" s="299" t="str">
        <f>IFERROR(E24/E23,"")</f>
        <v/>
      </c>
      <c r="F25" s="299" t="str">
        <f>IFERROR(F24/F23,"")</f>
        <v/>
      </c>
      <c r="G25" s="300">
        <f>IFERROR(G24/G23,"")</f>
        <v>115.53532850160305</v>
      </c>
      <c r="H25" s="135"/>
      <c r="I25" s="82" t="s">
        <v>283</v>
      </c>
      <c r="J25" s="80" t="str">
        <f>Data!H71</f>
        <v/>
      </c>
      <c r="K25" s="80" t="str">
        <f>Data!H72</f>
        <v/>
      </c>
      <c r="L25" s="114">
        <f>Data!H62</f>
        <v>637746</v>
      </c>
      <c r="M25" s="132"/>
    </row>
    <row r="26" spans="1:13" s="31" customFormat="1" ht="15.5" x14ac:dyDescent="0.35">
      <c r="A26" s="28"/>
      <c r="B26" s="28"/>
      <c r="C26" s="28"/>
      <c r="D26" s="28"/>
      <c r="E26" s="28"/>
      <c r="F26" s="50"/>
      <c r="G26" s="50"/>
      <c r="H26" s="135"/>
      <c r="I26" s="22" t="s">
        <v>254</v>
      </c>
      <c r="J26" s="126" t="str">
        <f>IFERROR(J25/Data!$Y71,"")</f>
        <v/>
      </c>
      <c r="K26" s="126" t="str">
        <f>IFERROR(K25/Data!$Y72,"")</f>
        <v/>
      </c>
      <c r="L26" s="14">
        <f>IFERROR(L25/Data!$Y62,"")</f>
        <v>0.99643297413085974</v>
      </c>
      <c r="M26" s="132"/>
    </row>
    <row r="27" spans="1:13" s="28" customFormat="1" ht="15.5" x14ac:dyDescent="0.35">
      <c r="A27" s="62" t="s">
        <v>289</v>
      </c>
    </row>
    <row r="28" spans="1:13" s="28" customFormat="1" ht="15.5" x14ac:dyDescent="0.35">
      <c r="A28" s="301" t="s">
        <v>286</v>
      </c>
      <c r="B28" s="301"/>
    </row>
    <row r="29" spans="1:13" s="28" customFormat="1" ht="15.5" x14ac:dyDescent="0.35">
      <c r="A29" s="27" t="s">
        <v>287</v>
      </c>
      <c r="B29" s="27"/>
      <c r="C29" s="27"/>
    </row>
    <row r="30" spans="1:13" s="28" customFormat="1" x14ac:dyDescent="0.35">
      <c r="A30" s="49"/>
    </row>
    <row r="31" spans="1:13" s="28" customFormat="1" x14ac:dyDescent="0.35">
      <c r="A31" s="49"/>
    </row>
    <row r="32" spans="1:13" s="28" customFormat="1" x14ac:dyDescent="0.35">
      <c r="A32" s="49"/>
    </row>
    <row r="33" spans="4:12" s="28" customFormat="1" x14ac:dyDescent="0.35"/>
    <row r="34" spans="4:12" s="28" customFormat="1" x14ac:dyDescent="0.35"/>
    <row r="35" spans="4:12" s="28" customFormat="1" x14ac:dyDescent="0.35"/>
    <row r="36" spans="4:12" s="28" customFormat="1" x14ac:dyDescent="0.35"/>
    <row r="37" spans="4:12" s="28" customFormat="1" x14ac:dyDescent="0.35"/>
    <row r="38" spans="4:12" s="28" customFormat="1" x14ac:dyDescent="0.35"/>
    <row r="39" spans="4:12" s="28" customFormat="1" x14ac:dyDescent="0.35"/>
    <row r="40" spans="4:12" s="28" customFormat="1" x14ac:dyDescent="0.35"/>
    <row r="41" spans="4:12" s="28" customFormat="1" x14ac:dyDescent="0.35"/>
    <row r="42" spans="4:12" s="28" customFormat="1" x14ac:dyDescent="0.35"/>
    <row r="43" spans="4:12" s="28" customFormat="1" ht="31.5" x14ac:dyDescent="0.4">
      <c r="D43" s="63" t="s">
        <v>572</v>
      </c>
      <c r="E43" s="64"/>
      <c r="F43" s="64"/>
      <c r="G43" s="65"/>
      <c r="I43" s="63" t="s">
        <v>570</v>
      </c>
      <c r="J43" s="64"/>
      <c r="K43" s="64"/>
      <c r="L43" s="65"/>
    </row>
    <row r="44" spans="4:12" s="28" customFormat="1" ht="30.75" customHeight="1" x14ac:dyDescent="0.35">
      <c r="D44" s="107" t="s">
        <v>573</v>
      </c>
      <c r="E44" s="104" t="str">
        <f>Data!$A$71</f>
        <v/>
      </c>
      <c r="F44" s="104" t="str">
        <f>Data!$A$72</f>
        <v/>
      </c>
      <c r="G44" s="106" t="str">
        <f>LEFT(Data!$A$62,9)</f>
        <v>Statewide</v>
      </c>
      <c r="I44" s="107" t="s">
        <v>571</v>
      </c>
      <c r="J44" s="104" t="str">
        <f>Data!$A$71</f>
        <v/>
      </c>
      <c r="K44" s="104" t="str">
        <f>Data!$A$72</f>
        <v/>
      </c>
      <c r="L44" s="106" t="str">
        <f>LEFT(Data!$A$62,9)</f>
        <v>Statewide</v>
      </c>
    </row>
    <row r="45" spans="4:12" s="28" customFormat="1" ht="15" customHeight="1" x14ac:dyDescent="0.35">
      <c r="D45" s="184" t="s">
        <v>252</v>
      </c>
      <c r="E45" s="302" t="str">
        <f>Data!$K71</f>
        <v/>
      </c>
      <c r="F45" s="302" t="str">
        <f>Data!$K72</f>
        <v/>
      </c>
      <c r="G45" s="303">
        <f>Data!$K62</f>
        <v>261957</v>
      </c>
      <c r="I45" s="184" t="s">
        <v>257</v>
      </c>
      <c r="J45" s="265" t="str">
        <f>Data!L71</f>
        <v/>
      </c>
      <c r="K45" s="265" t="str">
        <f>Data!L72</f>
        <v/>
      </c>
      <c r="L45" s="304">
        <f>Data!L62</f>
        <v>41920929.899999999</v>
      </c>
    </row>
    <row r="46" spans="4:12" s="28" customFormat="1" ht="15" customHeight="1" x14ac:dyDescent="0.35">
      <c r="D46" s="266" t="s">
        <v>270</v>
      </c>
      <c r="E46" s="199" t="str">
        <f>IFERROR(E45/Data!$D71,"")</f>
        <v/>
      </c>
      <c r="F46" s="199" t="str">
        <f>IFERROR(F45/Data!$D72,"")</f>
        <v/>
      </c>
      <c r="G46" s="200">
        <f>IFERROR(G45/Data!$D62,"")</f>
        <v>0.35526915377813462</v>
      </c>
      <c r="I46" s="305" t="s">
        <v>307</v>
      </c>
      <c r="J46" s="267" t="str">
        <f>IFERROR(J45/E45,"")</f>
        <v/>
      </c>
      <c r="K46" s="267" t="str">
        <f>IFERROR(K45/F45,"")</f>
        <v/>
      </c>
      <c r="L46" s="268">
        <f>IFERROR(L45/G45,"")</f>
        <v>160.02981367170946</v>
      </c>
    </row>
    <row r="47" spans="4:12" s="28" customFormat="1" ht="15" customHeight="1" x14ac:dyDescent="0.35">
      <c r="D47" s="184" t="s">
        <v>253</v>
      </c>
      <c r="E47" s="302" t="str">
        <f>Data!$M71</f>
        <v/>
      </c>
      <c r="F47" s="302" t="str">
        <f>Data!$M72</f>
        <v/>
      </c>
      <c r="G47" s="303">
        <f>Data!$M62</f>
        <v>472960</v>
      </c>
      <c r="I47" s="184" t="s">
        <v>258</v>
      </c>
      <c r="J47" s="265" t="str">
        <f>Data!N71</f>
        <v/>
      </c>
      <c r="K47" s="265" t="str">
        <f>Data!N72</f>
        <v/>
      </c>
      <c r="L47" s="197">
        <f>Data!N62</f>
        <v>43268813.5</v>
      </c>
    </row>
    <row r="48" spans="4:12" s="28" customFormat="1" ht="19.5" customHeight="1" x14ac:dyDescent="0.35">
      <c r="D48" s="272" t="s">
        <v>270</v>
      </c>
      <c r="E48" s="204" t="str">
        <f>IFERROR(E47/Data!$D71,"")</f>
        <v/>
      </c>
      <c r="F48" s="204" t="str">
        <f>IFERROR(F47/Data!$D72,"")</f>
        <v/>
      </c>
      <c r="G48" s="205">
        <f>IFERROR(G47/Data!$D62,"")</f>
        <v>0.64143389552829866</v>
      </c>
      <c r="I48" s="306" t="s">
        <v>307</v>
      </c>
      <c r="J48" s="273" t="str">
        <f>IFERROR(J47/E47,"")</f>
        <v/>
      </c>
      <c r="K48" s="273" t="str">
        <f>IFERROR(K47/F47,"")</f>
        <v/>
      </c>
      <c r="L48" s="274">
        <f>IFERROR(L47/G47,"")</f>
        <v>91.485143563937754</v>
      </c>
    </row>
    <row r="50" spans="1:10" s="28" customFormat="1" ht="15.5" x14ac:dyDescent="0.35">
      <c r="A50" s="62" t="s">
        <v>289</v>
      </c>
    </row>
    <row r="51" spans="1:10" s="28" customFormat="1" ht="15.5" x14ac:dyDescent="0.35">
      <c r="A51" s="27" t="s">
        <v>419</v>
      </c>
      <c r="B51" s="27"/>
      <c r="C51" s="27"/>
    </row>
    <row r="52" spans="1:10" s="28" customFormat="1" ht="15.5" x14ac:dyDescent="0.35">
      <c r="A52" s="27" t="s">
        <v>658</v>
      </c>
      <c r="B52" s="27"/>
      <c r="C52" s="27"/>
    </row>
    <row r="53" spans="1:10" s="28" customFormat="1" ht="15.5" x14ac:dyDescent="0.35">
      <c r="A53" s="27" t="s">
        <v>657</v>
      </c>
      <c r="B53" s="27"/>
      <c r="C53" s="27"/>
    </row>
    <row r="54" spans="1:10" s="28" customFormat="1" x14ac:dyDescent="0.35"/>
    <row r="55" spans="1:10" s="28" customFormat="1" x14ac:dyDescent="0.35"/>
    <row r="56" spans="1:10" s="28" customFormat="1" x14ac:dyDescent="0.35"/>
    <row r="57" spans="1:10" s="28" customFormat="1" x14ac:dyDescent="0.35"/>
    <row r="58" spans="1:10" s="28" customFormat="1" x14ac:dyDescent="0.35"/>
    <row r="59" spans="1:10" s="28" customFormat="1" x14ac:dyDescent="0.35">
      <c r="J59" s="220"/>
    </row>
    <row r="60" spans="1:10" s="28" customFormat="1" x14ac:dyDescent="0.35"/>
    <row r="61" spans="1:10" s="28" customFormat="1" x14ac:dyDescent="0.35"/>
    <row r="62" spans="1:10" s="28" customFormat="1" x14ac:dyDescent="0.35"/>
    <row r="63" spans="1:10" s="28" customFormat="1" x14ac:dyDescent="0.35"/>
    <row r="64" spans="1:10" s="28" customFormat="1" x14ac:dyDescent="0.35"/>
    <row r="65" spans="1:14" s="28" customFormat="1" x14ac:dyDescent="0.35"/>
    <row r="66" spans="1:14" s="28" customFormat="1" ht="31.5" customHeight="1" x14ac:dyDescent="0.4">
      <c r="D66" s="103" t="s">
        <v>706</v>
      </c>
      <c r="E66" s="64"/>
      <c r="F66" s="64"/>
      <c r="G66" s="65"/>
      <c r="I66" s="66" t="s">
        <v>708</v>
      </c>
      <c r="J66" s="67"/>
      <c r="K66" s="67"/>
      <c r="L66" s="68"/>
    </row>
    <row r="67" spans="1:14" s="28" customFormat="1" ht="15.5" x14ac:dyDescent="0.35">
      <c r="D67" s="107" t="s">
        <v>706</v>
      </c>
      <c r="E67" s="104" t="str">
        <f>Data!$A$71</f>
        <v/>
      </c>
      <c r="F67" s="104" t="str">
        <f>Data!$A$72</f>
        <v/>
      </c>
      <c r="G67" s="106" t="str">
        <f>LEFT(Data!$A$62,9)</f>
        <v>Statewide</v>
      </c>
      <c r="I67" s="294" t="s">
        <v>707</v>
      </c>
      <c r="J67" s="70" t="str">
        <f>Data!$A$71</f>
        <v/>
      </c>
      <c r="K67" s="70" t="str">
        <f>Data!$A$72</f>
        <v/>
      </c>
      <c r="L67" s="71" t="str">
        <f>LEFT(Data!$A$62,9)</f>
        <v>Statewide</v>
      </c>
    </row>
    <row r="68" spans="1:14" s="28" customFormat="1" ht="22.5" customHeight="1" x14ac:dyDescent="0.35">
      <c r="D68" s="307" t="s">
        <v>255</v>
      </c>
      <c r="E68" s="308" t="str">
        <f>IFERROR($E$23,"")</f>
        <v/>
      </c>
      <c r="F68" s="308" t="str">
        <f>IFERROR($F$23,"")</f>
        <v/>
      </c>
      <c r="G68" s="309">
        <f>IFERROR($G$23,"")</f>
        <v>737348</v>
      </c>
      <c r="I68" s="82" t="s">
        <v>255</v>
      </c>
      <c r="J68" s="80" t="str">
        <f>Data!I71</f>
        <v/>
      </c>
      <c r="K68" s="80" t="str">
        <f>Data!I72</f>
        <v/>
      </c>
      <c r="L68" s="114">
        <f>Data!I62</f>
        <v>462036</v>
      </c>
    </row>
    <row r="69" spans="1:14" s="28" customFormat="1" ht="15.5" x14ac:dyDescent="0.35">
      <c r="D69" s="184" t="s">
        <v>398</v>
      </c>
      <c r="E69" s="302" t="str">
        <f>IFERROR(Data!$D$71-Data!$GN$71,"")</f>
        <v/>
      </c>
      <c r="F69" s="302" t="str">
        <f>IFERROR(Data!$D$72-Data!$GN$72,"")</f>
        <v/>
      </c>
      <c r="G69" s="303">
        <f>IFERROR(Data!$D$62-Data!$GN$62,"")</f>
        <v>664625</v>
      </c>
      <c r="I69" s="215" t="s">
        <v>270</v>
      </c>
      <c r="J69" s="288" t="str">
        <f>IFERROR(J68/Data!$D71,"")</f>
        <v/>
      </c>
      <c r="K69" s="288" t="str">
        <f>IFERROR(K68/Data!$D72,"")</f>
        <v/>
      </c>
      <c r="L69" s="289">
        <f>IFERROR(L68/Data!$D62,"")</f>
        <v>0.62661863868892298</v>
      </c>
    </row>
    <row r="70" spans="1:14" s="28" customFormat="1" ht="15" customHeight="1" x14ac:dyDescent="0.35">
      <c r="D70" s="285" t="s">
        <v>542</v>
      </c>
      <c r="E70" s="235" t="str">
        <f>IFERROR(E69/Data!$D71,"")</f>
        <v/>
      </c>
      <c r="F70" s="235" t="str">
        <f>IFERROR(F69/Data!$D72,"")</f>
        <v/>
      </c>
      <c r="G70" s="205">
        <f>IFERROR(G69/Data!$D62,"")</f>
        <v>0.90137221501923104</v>
      </c>
      <c r="I70" s="82" t="s">
        <v>283</v>
      </c>
      <c r="J70" s="80" t="str">
        <f>Data!J71</f>
        <v/>
      </c>
      <c r="K70" s="80" t="str">
        <f>Data!J72</f>
        <v/>
      </c>
      <c r="L70" s="114">
        <f>Data!J62</f>
        <v>359593</v>
      </c>
    </row>
    <row r="71" spans="1:14" s="28" customFormat="1" ht="15" customHeight="1" x14ac:dyDescent="0.35">
      <c r="D71" s="275"/>
      <c r="E71" s="238"/>
      <c r="F71" s="238"/>
      <c r="G71" s="377"/>
      <c r="I71" s="22" t="s">
        <v>254</v>
      </c>
      <c r="J71" s="126" t="str">
        <f>IFERROR(J70/Data!$Y71,"")</f>
        <v/>
      </c>
      <c r="K71" s="126" t="str">
        <f>IFERROR(K70/Data!$Y72,"")</f>
        <v/>
      </c>
      <c r="L71" s="205">
        <f>IFERROR(L70/Data!$Y62,"")</f>
        <v>0.56183860418824771</v>
      </c>
    </row>
    <row r="72" spans="1:14" s="28" customFormat="1" x14ac:dyDescent="0.35"/>
    <row r="73" spans="1:14" s="28" customFormat="1" x14ac:dyDescent="0.35">
      <c r="A73"/>
      <c r="B73"/>
      <c r="C73"/>
      <c r="D73"/>
      <c r="E73"/>
      <c r="F73"/>
      <c r="G73"/>
      <c r="H73"/>
      <c r="I73"/>
      <c r="J73"/>
      <c r="K73"/>
      <c r="L73"/>
      <c r="M73"/>
      <c r="N73"/>
    </row>
    <row r="75" spans="1:14" x14ac:dyDescent="0.35">
      <c r="B75" s="28"/>
      <c r="C75" s="28"/>
      <c r="D75" s="28"/>
      <c r="E75" s="28"/>
      <c r="F75" s="28"/>
      <c r="G75" s="28"/>
      <c r="H75" s="28"/>
      <c r="I75" s="28"/>
      <c r="J75" s="28"/>
      <c r="K75" s="28"/>
      <c r="L75" s="28"/>
      <c r="M75" s="28"/>
    </row>
    <row r="76" spans="1:14" x14ac:dyDescent="0.35">
      <c r="B76" s="28"/>
      <c r="C76" s="28"/>
      <c r="D76" s="28"/>
      <c r="E76" s="28"/>
      <c r="F76" s="28"/>
      <c r="G76" s="28"/>
      <c r="H76" s="28"/>
      <c r="I76" s="28"/>
      <c r="J76" s="28"/>
      <c r="K76" s="28"/>
      <c r="L76" s="28"/>
      <c r="M76" s="28"/>
    </row>
    <row r="77" spans="1:14" x14ac:dyDescent="0.35">
      <c r="B77" s="28"/>
      <c r="C77" s="28"/>
      <c r="D77" s="28"/>
      <c r="E77" s="28"/>
      <c r="F77" s="28"/>
      <c r="G77" s="28"/>
      <c r="H77" s="28"/>
      <c r="I77" s="28"/>
      <c r="J77" s="28"/>
      <c r="K77" s="28"/>
      <c r="L77" s="28"/>
      <c r="M77" s="28"/>
    </row>
    <row r="78" spans="1:14" ht="15.5" x14ac:dyDescent="0.35">
      <c r="A78" s="62" t="s">
        <v>289</v>
      </c>
      <c r="C78" s="28"/>
      <c r="D78" s="28"/>
      <c r="E78" s="28"/>
      <c r="F78" s="28"/>
      <c r="G78" s="28"/>
      <c r="H78" s="28"/>
      <c r="I78" s="28"/>
      <c r="J78" s="28"/>
      <c r="K78" s="28"/>
      <c r="L78" s="28"/>
      <c r="M78" s="28"/>
    </row>
    <row r="79" spans="1:14" ht="15.5" x14ac:dyDescent="0.35">
      <c r="A79" s="27" t="s">
        <v>295</v>
      </c>
      <c r="C79" s="27"/>
      <c r="D79" s="28"/>
      <c r="E79" s="28"/>
      <c r="F79" s="28"/>
      <c r="G79" s="28"/>
      <c r="H79" s="28"/>
      <c r="I79" s="28"/>
      <c r="J79" s="28"/>
      <c r="K79" s="28"/>
      <c r="L79" s="28"/>
      <c r="M79" s="28"/>
    </row>
    <row r="80" spans="1:14" x14ac:dyDescent="0.35">
      <c r="B80" s="28"/>
      <c r="C80" s="28"/>
      <c r="D80" s="28"/>
      <c r="E80" s="28"/>
      <c r="F80" s="28"/>
      <c r="G80" s="28"/>
      <c r="H80" s="28"/>
      <c r="I80" s="28"/>
      <c r="J80" s="28"/>
      <c r="K80" s="28"/>
      <c r="L80" s="28"/>
      <c r="M80" s="28"/>
    </row>
    <row r="81" spans="2:13" x14ac:dyDescent="0.35">
      <c r="B81" s="28"/>
      <c r="C81" s="28"/>
      <c r="D81" s="28"/>
      <c r="E81" s="28"/>
      <c r="F81" s="28"/>
      <c r="G81" s="28"/>
      <c r="H81" s="28"/>
      <c r="I81" s="28"/>
      <c r="J81" s="28"/>
      <c r="K81" s="28"/>
      <c r="L81" s="28"/>
      <c r="M81" s="28"/>
    </row>
    <row r="82" spans="2:13" x14ac:dyDescent="0.35">
      <c r="B82" s="28"/>
      <c r="C82" s="28"/>
      <c r="D82" s="28"/>
      <c r="E82" s="28"/>
      <c r="F82" s="28"/>
      <c r="G82" s="28"/>
      <c r="H82" s="28"/>
      <c r="I82" s="28"/>
      <c r="J82" s="28"/>
      <c r="K82" s="28"/>
      <c r="L82" s="28"/>
      <c r="M82" s="28"/>
    </row>
    <row r="83" spans="2:13" x14ac:dyDescent="0.35">
      <c r="B83" s="28"/>
      <c r="C83" s="28"/>
      <c r="D83" s="28"/>
      <c r="E83" s="28"/>
      <c r="F83" s="28"/>
      <c r="G83" s="28"/>
      <c r="H83" s="28"/>
      <c r="I83" s="28"/>
      <c r="J83" s="28"/>
      <c r="K83" s="28"/>
      <c r="L83" s="28"/>
      <c r="M83" s="28"/>
    </row>
    <row r="84" spans="2:13" x14ac:dyDescent="0.35">
      <c r="B84" s="28"/>
      <c r="C84" s="28"/>
      <c r="D84" s="28"/>
      <c r="E84" s="28"/>
      <c r="F84" s="28"/>
      <c r="G84" s="28"/>
      <c r="H84" s="28"/>
      <c r="I84" s="28"/>
      <c r="J84" s="28"/>
      <c r="K84" s="28"/>
      <c r="L84" s="28"/>
      <c r="M84" s="28"/>
    </row>
    <row r="85" spans="2:13" x14ac:dyDescent="0.35">
      <c r="B85" s="28"/>
      <c r="C85" s="28"/>
      <c r="D85" s="28"/>
      <c r="E85" s="28"/>
      <c r="F85" s="28"/>
      <c r="G85" s="28"/>
      <c r="H85" s="28"/>
      <c r="I85" s="28"/>
      <c r="J85" s="28"/>
      <c r="K85" s="28"/>
      <c r="L85" s="28"/>
      <c r="M85" s="28"/>
    </row>
    <row r="86" spans="2:13" x14ac:dyDescent="0.35">
      <c r="B86" s="28"/>
      <c r="C86" s="28"/>
      <c r="D86" s="28"/>
      <c r="E86" s="28"/>
      <c r="F86" s="28"/>
      <c r="G86" s="28"/>
      <c r="H86" s="28"/>
      <c r="I86" s="28"/>
      <c r="J86" s="28"/>
      <c r="K86" s="28"/>
      <c r="L86" s="28"/>
      <c r="M86" s="28"/>
    </row>
    <row r="87" spans="2:13" x14ac:dyDescent="0.35">
      <c r="B87" s="28"/>
      <c r="C87" s="28"/>
      <c r="D87" s="28"/>
      <c r="E87" s="28"/>
      <c r="F87" s="28"/>
      <c r="G87" s="28"/>
      <c r="H87" s="28"/>
      <c r="I87" s="28"/>
      <c r="J87" s="28"/>
      <c r="K87" s="28"/>
      <c r="L87" s="28"/>
      <c r="M87" s="28"/>
    </row>
    <row r="88" spans="2:13" x14ac:dyDescent="0.35">
      <c r="B88" s="28"/>
      <c r="C88" s="28"/>
      <c r="D88" s="28"/>
      <c r="E88" s="28"/>
      <c r="F88" s="28"/>
      <c r="G88" s="28"/>
      <c r="H88" s="28"/>
      <c r="I88" s="28"/>
      <c r="J88" s="28"/>
      <c r="K88" s="28"/>
      <c r="L88" s="28"/>
      <c r="M88" s="28"/>
    </row>
    <row r="89" spans="2:13" ht="31.5" x14ac:dyDescent="0.4">
      <c r="B89" s="28"/>
      <c r="C89" s="28"/>
      <c r="D89" s="596" t="s">
        <v>739</v>
      </c>
      <c r="E89" s="381"/>
      <c r="F89" s="381"/>
      <c r="G89" s="382"/>
      <c r="H89" s="597"/>
      <c r="I89" s="596" t="s">
        <v>740</v>
      </c>
      <c r="J89" s="381"/>
      <c r="K89" s="381"/>
      <c r="L89" s="382"/>
      <c r="M89" s="28"/>
    </row>
    <row r="90" spans="2:13" ht="15.5" x14ac:dyDescent="0.35">
      <c r="B90" s="28"/>
      <c r="C90" s="28"/>
      <c r="D90" s="598" t="s">
        <v>741</v>
      </c>
      <c r="E90" s="384" t="str">
        <f>Data!A71</f>
        <v/>
      </c>
      <c r="F90" s="599" t="str">
        <f>Data!A72</f>
        <v/>
      </c>
      <c r="G90" s="385" t="str">
        <f>LEFT(Data!A62,9)</f>
        <v>Statewide</v>
      </c>
      <c r="H90" s="28"/>
      <c r="I90" s="598" t="s">
        <v>742</v>
      </c>
      <c r="J90" s="384" t="str">
        <f>$E$90</f>
        <v/>
      </c>
      <c r="K90" s="599" t="str">
        <f>$F$90</f>
        <v/>
      </c>
      <c r="L90" s="385" t="str">
        <f>$G$90</f>
        <v>Statewide</v>
      </c>
      <c r="M90" s="28"/>
    </row>
    <row r="91" spans="2:13" ht="15.5" x14ac:dyDescent="0.35">
      <c r="B91" s="28"/>
      <c r="C91" s="28"/>
      <c r="D91" s="600" t="s">
        <v>241</v>
      </c>
      <c r="E91" s="601" t="str">
        <f>Data!$AE$71</f>
        <v/>
      </c>
      <c r="F91" s="601" t="str">
        <f>Data!$AE$72</f>
        <v/>
      </c>
      <c r="G91" s="602">
        <f>Data!$AE$62</f>
        <v>332329</v>
      </c>
      <c r="H91" s="28"/>
      <c r="I91" s="600" t="s">
        <v>443</v>
      </c>
      <c r="J91" s="603" t="str">
        <f>Data!$AF$71</f>
        <v/>
      </c>
      <c r="K91" s="603" t="str">
        <f>Data!$AF$72</f>
        <v/>
      </c>
      <c r="L91" s="604">
        <f>Data!$AF$62</f>
        <v>24109188.699999999</v>
      </c>
      <c r="M91" s="28"/>
    </row>
    <row r="92" spans="2:13" ht="15.5" x14ac:dyDescent="0.35">
      <c r="B92" s="28"/>
      <c r="C92" s="28"/>
      <c r="D92" s="605" t="s">
        <v>270</v>
      </c>
      <c r="E92" s="606" t="str">
        <f>IFERROR($E$91/Data!$D$71,"")</f>
        <v/>
      </c>
      <c r="F92" s="606" t="str">
        <f>IFERROR($F$91/Data!$D$72,"")</f>
        <v/>
      </c>
      <c r="G92" s="607">
        <f>IFERROR($G$91/Data!$D$62,"")</f>
        <v>0.45070848500301081</v>
      </c>
      <c r="H92" s="28"/>
      <c r="I92" s="605" t="s">
        <v>306</v>
      </c>
      <c r="J92" s="608" t="str">
        <f>IFERROR(Data!$AF$71/$E$91,"")</f>
        <v/>
      </c>
      <c r="K92" s="608" t="str">
        <f>IFERROR(Data!$AF$72/$F$91,"")</f>
        <v/>
      </c>
      <c r="L92" s="609">
        <f>IFERROR(Data!$AF$62/$G$91,"")</f>
        <v>72.546147642847899</v>
      </c>
      <c r="M92" s="28"/>
    </row>
    <row r="93" spans="2:13" ht="15.5" x14ac:dyDescent="0.35">
      <c r="B93" s="28"/>
      <c r="C93" s="28"/>
      <c r="D93" s="600" t="s">
        <v>242</v>
      </c>
      <c r="E93" s="601" t="str">
        <f>Data!$AG$71</f>
        <v/>
      </c>
      <c r="F93" s="601" t="str">
        <f>Data!$AG$72</f>
        <v/>
      </c>
      <c r="G93" s="602">
        <f>Data!$AG$62</f>
        <v>365069</v>
      </c>
      <c r="H93" s="28"/>
      <c r="I93" s="600" t="s">
        <v>444</v>
      </c>
      <c r="J93" s="603" t="str">
        <f>Data!$AH$71</f>
        <v/>
      </c>
      <c r="K93" s="603" t="str">
        <f>Data!$AH$72</f>
        <v/>
      </c>
      <c r="L93" s="604">
        <f>Data!$AH$62</f>
        <v>58333213.799999997</v>
      </c>
      <c r="M93" s="28"/>
    </row>
    <row r="94" spans="2:13" ht="15.5" x14ac:dyDescent="0.35">
      <c r="B94" s="28"/>
      <c r="C94" s="28"/>
      <c r="D94" s="605" t="s">
        <v>270</v>
      </c>
      <c r="E94" s="606" t="str">
        <f>IFERROR($E$93/Data!$D$71,"")</f>
        <v/>
      </c>
      <c r="F94" s="606" t="str">
        <f>IFERROR($F$93/Data!$D$72,"")</f>
        <v/>
      </c>
      <c r="G94" s="607">
        <f>IFERROR($G$93/Data!$D$62,"")</f>
        <v>0.49511085674606836</v>
      </c>
      <c r="H94" s="50"/>
      <c r="I94" s="605" t="s">
        <v>306</v>
      </c>
      <c r="J94" s="608" t="str">
        <f>IFERROR(Data!$AH$71/$E$93,"")</f>
        <v/>
      </c>
      <c r="K94" s="608" t="str">
        <f>IFERROR(Data!$AH$72/$F$93,"")</f>
        <v/>
      </c>
      <c r="L94" s="609">
        <f>IFERROR(Data!$AH$62/$G$93,"")</f>
        <v>159.78681783443676</v>
      </c>
      <c r="M94" s="50"/>
    </row>
    <row r="95" spans="2:13" ht="15.5" x14ac:dyDescent="0.35">
      <c r="B95" s="28"/>
      <c r="C95" s="28"/>
      <c r="D95" s="600" t="s">
        <v>243</v>
      </c>
      <c r="E95" s="601" t="str">
        <f>Data!$AI$71</f>
        <v/>
      </c>
      <c r="F95" s="601" t="str">
        <f>Data!$AI$72</f>
        <v/>
      </c>
      <c r="G95" s="602">
        <f>Data!$AI$62</f>
        <v>20117</v>
      </c>
      <c r="H95" s="50"/>
      <c r="I95" s="600" t="s">
        <v>445</v>
      </c>
      <c r="J95" s="603" t="str">
        <f>Data!$AJ$71</f>
        <v/>
      </c>
      <c r="K95" s="603" t="str">
        <f>Data!$AJ$72</f>
        <v/>
      </c>
      <c r="L95" s="604">
        <f>Data!$AJ$62</f>
        <v>911951.9</v>
      </c>
      <c r="M95" s="50"/>
    </row>
    <row r="96" spans="2:13" ht="15.5" x14ac:dyDescent="0.35">
      <c r="B96" s="28"/>
      <c r="C96" s="28"/>
      <c r="D96" s="605" t="s">
        <v>270</v>
      </c>
      <c r="E96" s="606" t="str">
        <f>IFERROR($E$95/Data!$D$71,"")</f>
        <v/>
      </c>
      <c r="F96" s="606" t="str">
        <f>IFERROR($F$95/Data!$D$72,"")</f>
        <v/>
      </c>
      <c r="G96" s="607">
        <f>IFERROR($G$95/Data!$D$62,"")</f>
        <v>2.7282911189831668E-2</v>
      </c>
      <c r="H96" s="50"/>
      <c r="I96" s="605" t="s">
        <v>306</v>
      </c>
      <c r="J96" s="608" t="str">
        <f>IF(E90="","",IFERROR(Data!$AJ$71/$E$95,"0.0"))</f>
        <v/>
      </c>
      <c r="K96" s="608" t="str">
        <f>IF(E90="","",IFERROR(Data!$AJ$72/$F$95,"0.0"))</f>
        <v/>
      </c>
      <c r="L96" s="609">
        <f>IFERROR(Data!$AJ$62/$G$95,"")</f>
        <v>45.332400457324653</v>
      </c>
      <c r="M96" s="50"/>
    </row>
    <row r="97" spans="2:13" ht="15.5" x14ac:dyDescent="0.35">
      <c r="B97" s="28"/>
      <c r="C97" s="28"/>
      <c r="D97" s="600" t="s">
        <v>271</v>
      </c>
      <c r="E97" s="601" t="str">
        <f>Data!$AK$71</f>
        <v/>
      </c>
      <c r="F97" s="601" t="str">
        <f>Data!$AK$72</f>
        <v/>
      </c>
      <c r="G97" s="602">
        <f>Data!$AK$62</f>
        <v>17402</v>
      </c>
      <c r="H97" s="50"/>
      <c r="I97" s="600" t="s">
        <v>446</v>
      </c>
      <c r="J97" s="603" t="str">
        <f>Data!$AL$71</f>
        <v/>
      </c>
      <c r="K97" s="603" t="str">
        <f>Data!$AL$72</f>
        <v/>
      </c>
      <c r="L97" s="604">
        <f>Data!$AL$62</f>
        <v>1835389</v>
      </c>
      <c r="M97" s="50"/>
    </row>
    <row r="98" spans="2:13" ht="15.5" x14ac:dyDescent="0.35">
      <c r="B98" s="28"/>
      <c r="C98" s="28"/>
      <c r="D98" s="610" t="s">
        <v>270</v>
      </c>
      <c r="E98" s="611" t="str">
        <f>IFERROR($E$97/Data!$D$71,"")</f>
        <v/>
      </c>
      <c r="F98" s="611" t="str">
        <f>IFERROR($F$97/Data!$D$72,"")</f>
        <v/>
      </c>
      <c r="G98" s="612">
        <f>IFERROR($G$97/Data!$D$62,"")</f>
        <v>2.3600796367522527E-2</v>
      </c>
      <c r="H98" s="50"/>
      <c r="I98" s="610" t="s">
        <v>306</v>
      </c>
      <c r="J98" s="613" t="str">
        <f>IF(E90="","",IFERROR(Data!$AL$71/$E$97,"0.0"))</f>
        <v/>
      </c>
      <c r="K98" s="613" t="str">
        <f>IF(E90="","",IFERROR(Data!$AL$72/$F$97,"0.0"))</f>
        <v/>
      </c>
      <c r="L98" s="614">
        <f>IFERROR(Data!$AL$62/$G$97,"")</f>
        <v>105.47000344787955</v>
      </c>
      <c r="M98" s="50"/>
    </row>
    <row r="99" spans="2:13" x14ac:dyDescent="0.35">
      <c r="B99" s="28"/>
      <c r="C99" s="28"/>
      <c r="D99" s="28"/>
      <c r="E99" s="28"/>
      <c r="F99" s="28"/>
      <c r="G99" s="50"/>
      <c r="H99" s="50"/>
      <c r="I99" s="50"/>
      <c r="J99" s="50"/>
      <c r="K99" s="50"/>
      <c r="L99" s="50"/>
      <c r="M99" s="50"/>
    </row>
  </sheetData>
  <sheetProtection algorithmName="SHA-512" hashValue="WG7eLs4WFH1VZTAvFdDCHjuKoq0g/hZ1Rf3w/xPUy0Po0wYdD51GL5EaFbjx+StldRwYNJRziIrxAfL+liBM1Q==" saltValue="D+pdMbiUIzJQ7FmifDxqVA==" spinCount="100000" sheet="1" objects="1" scenarios="1"/>
  <sortState xmlns:xlrd2="http://schemas.microsoft.com/office/spreadsheetml/2017/richdata2" ref="A2:L3">
    <sortCondition descending="1" ref="F2"/>
  </sortState>
  <hyperlinks>
    <hyperlink ref="A29:C29" location="Appen_NSI" tooltip="Go to Non-Severly Impaired Definition" display="Non-Severly Impaired" xr:uid="{00000000-0004-0000-0200-000002000000}"/>
    <hyperlink ref="G25" location="Navigation!C13" tooltip="Back to Table Selection" display="Navigation!C13" xr:uid="{00000000-0004-0000-0200-000005000000}"/>
    <hyperlink ref="L26" location="Navigation!C14" tooltip="Back to Table Selection" display="Navigation!C14" xr:uid="{00000000-0004-0000-0200-000006000000}"/>
    <hyperlink ref="G48" location="Navigation!C15" tooltip="Back to Table Selection" display="Navigation!C15" xr:uid="{00000000-0004-0000-0200-000007000000}"/>
    <hyperlink ref="L48" location="Navigation!C16" tooltip="Back to Table Selection" display="Navigation!C16" xr:uid="{00000000-0004-0000-0200-000008000000}"/>
    <hyperlink ref="A2" location="COUNTY_SELECT" tooltip="Back to County Selection" display="COUNTY_SELECT" xr:uid="{00000000-0004-0000-0200-000009000000}"/>
    <hyperlink ref="A1" location="Navigation!C11" display="General Data page (current page/cell A1): select the hyperlink to the Navigation table, in cell A1, to review tables in the General Data page.  To select a county for review, go to the hyperlink in cell A2, you will be sent to the Navigation page cell A2 " xr:uid="{00000000-0004-0000-0200-00000C000000}"/>
    <hyperlink ref="G70" location="Navigation!C17" tooltip="Back to Table Selection" display="Navigation!C17" xr:uid="{DB847423-0918-467B-9D8B-0F431B3670C9}"/>
    <hyperlink ref="A51:C51" location="Appen_REASSESS" tooltip="Go to Reassessment Rate Definition" display="Reassessment Rate" xr:uid="{29D37A4E-88FD-4848-A1C0-8F6969F98163}"/>
    <hyperlink ref="A28:B28" location="Appen_SI" tooltip="Go to Severly Impaired definition" display="Severly Impaired" xr:uid="{2FBB2DB5-81DB-4554-A22E-8571C17A8BA6}"/>
    <hyperlink ref="A12" location="Appen_ETS" tooltip="Go to Electronic Timesheet - Enrolled definition" display="Electronic Timesheet" xr:uid="{48E9FC2A-B7DD-4818-BAF7-886673028690}"/>
    <hyperlink ref="B12" location="Appen_ETS" tooltip="Go to Electronic Timesheet System - Enrolled definition" display="Appen_ETS" xr:uid="{8606780F-B512-4859-8B2E-7CFE0715B913}"/>
    <hyperlink ref="A12:B12" location="Appen_ETS" tooltip="Go to Electronic Timesheet - Enrolled definition" display="Electronic Timesheet" xr:uid="{B7DA1DE5-B16A-4E89-AE23-800CB44098E0}"/>
    <hyperlink ref="L71" location="Navigation!C18" tooltip="Back to Table Selection" display="Navigation!C18" xr:uid="{5DD04E5E-1F59-4167-827E-881159E57097}"/>
    <hyperlink ref="A52:C53" location="Appen_EVV" display="Electronic Visit -" xr:uid="{1FA5AC9C-E361-4866-9379-3BACF03D993C}"/>
    <hyperlink ref="A52:B53" location="Appen_EVV" tooltip="Go to Electronic Visit Verification Definition" display="Electronic Visit -" xr:uid="{8C177124-F9E4-45E9-AA41-193AEBB44DDD}"/>
    <hyperlink ref="A79:C79" location="Appen_PROGRAMS" tooltip="Go to IHSS Programs definition" display="IHSS Programs" xr:uid="{027E2C45-B457-4F62-993C-0F697D40D51E}"/>
    <hyperlink ref="G98" location="Navigation!C19" tooltip="Back to Table Selection" display="Navigation!C19" xr:uid="{883A2395-622D-4140-8A7D-094EB92EE6E0}"/>
    <hyperlink ref="L98" location="Navigation!C20" tooltip="Back to Table Selection" display="Navigation!C20" xr:uid="{2B0735B8-9344-47B6-BF23-9CF278E43E18}"/>
    <hyperlink ref="A10:B10" location="Appen_Recip" tooltip="Go to Recipient Definition" display="Recipient" xr:uid="{D835F813-B75D-488E-B722-2C13611A26F0}"/>
    <hyperlink ref="A11:C11" location="Appen_Auth_Recip" tooltip="Go to Total Authorized Recipient Hours definition" display="Total Auth. Recipient Hours" xr:uid="{B8AA7C60-1FEE-41BD-9ED3-2979019EB692}"/>
    <hyperlink ref="A13:C13" location="Appen_AUTH_HRS_RECIP" display="Avg. Hours per Recipient" xr:uid="{C3784366-051F-4B63-8A8F-528A3DF143E9}"/>
  </hyperlinks>
  <printOptions horizontalCentered="1"/>
  <pageMargins left="0.7" right="0.7" top="0.75" bottom="0.75" header="0.3" footer="0.3"/>
  <pageSetup scale="45" orientation="landscape" horizontalDpi="1200" verticalDpi="1200" r:id="rId1"/>
  <ignoredErrors>
    <ignoredError sqref="D47:L47 E66:H67 D70 D48 H48:I48 D50:L65 D68 H68 D69 H69 H70"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P85"/>
  <sheetViews>
    <sheetView showGridLines="0" showRowColHeaders="0" zoomScale="90" zoomScaleNormal="90" workbookViewId="0">
      <pane ySplit="4" topLeftCell="A5" activePane="bottomLeft" state="frozen"/>
      <selection pane="bottomLeft" activeCell="A5" sqref="A5"/>
    </sheetView>
  </sheetViews>
  <sheetFormatPr defaultColWidth="0" defaultRowHeight="14.5" zeroHeight="1" x14ac:dyDescent="0.35"/>
  <cols>
    <col min="1" max="2" width="9.1796875" style="28" customWidth="1"/>
    <col min="3" max="3" width="15" style="28" customWidth="1"/>
    <col min="4" max="4" width="31.453125" style="28" customWidth="1"/>
    <col min="5" max="5" width="19.54296875" style="28" bestFit="1" customWidth="1"/>
    <col min="6" max="6" width="19.54296875" style="28" customWidth="1"/>
    <col min="7" max="7" width="18.1796875" style="28" customWidth="1"/>
    <col min="8" max="8" width="4.453125" style="28" customWidth="1"/>
    <col min="9" max="9" width="31.453125" style="28" customWidth="1"/>
    <col min="10" max="11" width="19.54296875" style="28" customWidth="1"/>
    <col min="12" max="12" width="18.1796875" style="28" customWidth="1"/>
    <col min="13" max="13" width="9.1796875" style="28" customWidth="1"/>
    <col min="14" max="14" width="10.54296875" style="28" customWidth="1"/>
    <col min="15" max="15" width="9.1796875" style="28" customWidth="1"/>
    <col min="16" max="16" width="4.81640625" style="28" customWidth="1"/>
    <col min="17" max="16384" width="9.1796875" style="28" hidden="1"/>
  </cols>
  <sheetData>
    <row r="1" spans="1:16" ht="0.75" customHeight="1" x14ac:dyDescent="0.35">
      <c r="A1" s="27" t="s">
        <v>357</v>
      </c>
      <c r="B1" s="26"/>
      <c r="C1" s="26"/>
      <c r="D1" s="259"/>
      <c r="E1" s="58"/>
      <c r="F1" s="58"/>
      <c r="G1" s="58"/>
      <c r="H1" s="58"/>
      <c r="I1" s="58"/>
      <c r="J1" s="58"/>
      <c r="K1" s="58"/>
      <c r="L1" s="30"/>
      <c r="M1" s="30"/>
      <c r="N1" s="30"/>
    </row>
    <row r="2" spans="1:16" ht="24.75" customHeight="1" x14ac:dyDescent="0.35">
      <c r="A2" s="29" t="str">
        <f>COUNTY_SELECT&amp;" County"</f>
        <v>County Name County</v>
      </c>
      <c r="B2" s="57"/>
      <c r="C2" s="57"/>
      <c r="D2" s="30"/>
      <c r="E2" s="58"/>
      <c r="F2" s="59"/>
      <c r="G2" s="59"/>
      <c r="H2" s="59"/>
      <c r="I2" s="59"/>
      <c r="J2" s="59"/>
      <c r="K2" s="58"/>
      <c r="L2" s="30"/>
      <c r="M2" s="30"/>
      <c r="N2" s="30"/>
    </row>
    <row r="3" spans="1:16" ht="16.5" customHeight="1" x14ac:dyDescent="0.35">
      <c r="A3" s="153" t="str">
        <f>Navigation!A3</f>
        <v xml:space="preserve"> Size County</v>
      </c>
      <c r="B3" s="153"/>
      <c r="C3" s="153"/>
    </row>
    <row r="4" spans="1:16" ht="12" customHeight="1" thickBot="1" x14ac:dyDescent="0.4">
      <c r="A4" s="32"/>
      <c r="B4" s="32"/>
      <c r="C4" s="32"/>
      <c r="D4" s="61"/>
      <c r="E4" s="32"/>
      <c r="F4" s="32"/>
      <c r="G4" s="32"/>
      <c r="H4" s="32"/>
      <c r="I4" s="32"/>
      <c r="J4" s="32"/>
      <c r="K4" s="32"/>
      <c r="L4" s="32"/>
      <c r="M4" s="32"/>
      <c r="N4" s="32"/>
      <c r="O4" s="32"/>
      <c r="P4" s="32"/>
    </row>
    <row r="5" spans="1:16" ht="12" customHeight="1" thickTop="1" x14ac:dyDescent="0.35">
      <c r="A5" s="457" t="s">
        <v>435</v>
      </c>
      <c r="B5" s="454"/>
      <c r="C5" s="454"/>
      <c r="D5" s="458"/>
      <c r="E5" s="454"/>
      <c r="F5" s="454"/>
      <c r="G5" s="454"/>
      <c r="H5" s="454"/>
      <c r="I5" s="454"/>
      <c r="J5" s="454"/>
      <c r="K5" s="454"/>
      <c r="L5" s="454"/>
      <c r="M5" s="454"/>
      <c r="N5" s="454"/>
      <c r="O5" s="454"/>
      <c r="P5" s="454"/>
    </row>
    <row r="6" spans="1:16" ht="20.25" customHeight="1" x14ac:dyDescent="0.35">
      <c r="D6" s="260"/>
    </row>
    <row r="7" spans="1:16" ht="20" x14ac:dyDescent="0.35">
      <c r="D7" s="260"/>
    </row>
    <row r="8" spans="1:16" ht="20" x14ac:dyDescent="0.35">
      <c r="A8" s="62" t="s">
        <v>289</v>
      </c>
      <c r="D8" s="260"/>
    </row>
    <row r="9" spans="1:16" ht="20" x14ac:dyDescent="0.35">
      <c r="A9" s="27" t="s">
        <v>292</v>
      </c>
      <c r="B9" s="27"/>
      <c r="C9" s="27"/>
      <c r="D9" s="260"/>
    </row>
    <row r="10" spans="1:16" ht="20" x14ac:dyDescent="0.35">
      <c r="D10" s="260"/>
    </row>
    <row r="11" spans="1:16" ht="20" x14ac:dyDescent="0.35">
      <c r="D11" s="260"/>
    </row>
    <row r="12" spans="1:16" ht="20" x14ac:dyDescent="0.35">
      <c r="D12" s="260"/>
    </row>
    <row r="13" spans="1:16" ht="20" x14ac:dyDescent="0.35">
      <c r="D13" s="260"/>
    </row>
    <row r="14" spans="1:16" ht="15" customHeight="1" x14ac:dyDescent="0.35">
      <c r="A14" s="257"/>
    </row>
    <row r="15" spans="1:16" ht="15" customHeight="1" x14ac:dyDescent="0.35"/>
    <row r="16" spans="1:16" ht="15" customHeight="1" x14ac:dyDescent="0.35"/>
    <row r="17" spans="1:13" s="31" customFormat="1" ht="15.5" x14ac:dyDescent="0.35">
      <c r="E17" s="131"/>
      <c r="F17" s="131"/>
      <c r="G17" s="131"/>
      <c r="H17" s="132"/>
      <c r="I17" s="132"/>
      <c r="J17" s="132"/>
      <c r="K17" s="132"/>
      <c r="L17" s="132"/>
    </row>
    <row r="18" spans="1:13" s="31" customFormat="1" ht="15" customHeight="1" x14ac:dyDescent="0.35">
      <c r="E18" s="131"/>
      <c r="F18" s="131"/>
      <c r="G18" s="131"/>
      <c r="H18" s="132"/>
      <c r="I18" s="132"/>
      <c r="J18" s="132"/>
      <c r="K18" s="132"/>
      <c r="L18" s="132"/>
    </row>
    <row r="19" spans="1:13" ht="31.5" x14ac:dyDescent="0.4">
      <c r="D19" s="63" t="s">
        <v>360</v>
      </c>
      <c r="E19" s="64"/>
      <c r="F19" s="64"/>
      <c r="G19" s="65"/>
      <c r="I19" s="223" t="s">
        <v>361</v>
      </c>
      <c r="J19" s="158"/>
      <c r="K19" s="158"/>
      <c r="L19" s="224"/>
    </row>
    <row r="20" spans="1:13" ht="15.5" x14ac:dyDescent="0.35">
      <c r="D20" s="107" t="s">
        <v>322</v>
      </c>
      <c r="E20" s="104" t="str">
        <f>Data!A71</f>
        <v/>
      </c>
      <c r="F20" s="104" t="str">
        <f>Data!A72</f>
        <v/>
      </c>
      <c r="G20" s="106" t="str">
        <f>LEFT(Data!A62,9)</f>
        <v>Statewide</v>
      </c>
      <c r="I20" s="261" t="s">
        <v>312</v>
      </c>
      <c r="J20" s="262" t="str">
        <f>E20</f>
        <v/>
      </c>
      <c r="K20" s="262" t="str">
        <f>F20</f>
        <v/>
      </c>
      <c r="L20" s="263" t="str">
        <f>G20</f>
        <v>Statewide</v>
      </c>
    </row>
    <row r="21" spans="1:13" ht="15" customHeight="1" x14ac:dyDescent="0.35">
      <c r="D21" s="184" t="s">
        <v>263</v>
      </c>
      <c r="E21" s="264" t="str">
        <f>Data!S71</f>
        <v/>
      </c>
      <c r="F21" s="264" t="str">
        <f>Data!S72</f>
        <v/>
      </c>
      <c r="G21" s="195">
        <f>Data!S62</f>
        <v>265217</v>
      </c>
      <c r="I21" s="184" t="s">
        <v>264</v>
      </c>
      <c r="J21" s="265" t="str">
        <f>Data!T71</f>
        <v/>
      </c>
      <c r="K21" s="265" t="str">
        <f>Data!T72</f>
        <v/>
      </c>
      <c r="L21" s="197">
        <f>Data!T62</f>
        <v>27770167.399999999</v>
      </c>
    </row>
    <row r="22" spans="1:13" ht="15" customHeight="1" x14ac:dyDescent="0.35">
      <c r="D22" s="266" t="s">
        <v>270</v>
      </c>
      <c r="E22" s="199" t="str">
        <f>IFERROR(E21/Data!$D$71,"")</f>
        <v/>
      </c>
      <c r="F22" s="199" t="str">
        <f>IFERROR(F21/Data!$D$72,"")</f>
        <v/>
      </c>
      <c r="G22" s="200">
        <f>IFERROR(G21/Data!$D$62,"")</f>
        <v>0.35969040398834745</v>
      </c>
      <c r="H22" s="50"/>
      <c r="I22" s="229" t="s">
        <v>306</v>
      </c>
      <c r="J22" s="267" t="str">
        <f>IFERROR(J21/E21,"0.0")</f>
        <v>0.0</v>
      </c>
      <c r="K22" s="267" t="str">
        <f>IFERROR(K21/F21,"0.0")</f>
        <v>0.0</v>
      </c>
      <c r="L22" s="268">
        <f>IFERROR(L21/G21,"")</f>
        <v>104.70734304362088</v>
      </c>
      <c r="M22" s="50"/>
    </row>
    <row r="23" spans="1:13" ht="15" customHeight="1" x14ac:dyDescent="0.35">
      <c r="D23" s="184" t="s">
        <v>265</v>
      </c>
      <c r="E23" s="264" t="str">
        <f>Data!U71</f>
        <v/>
      </c>
      <c r="F23" s="264" t="str">
        <f>Data!U72</f>
        <v/>
      </c>
      <c r="G23" s="195">
        <f>Data!U62</f>
        <v>8728</v>
      </c>
      <c r="H23" s="50"/>
      <c r="I23" s="184" t="s">
        <v>266</v>
      </c>
      <c r="J23" s="265" t="str">
        <f>Data!V71</f>
        <v/>
      </c>
      <c r="K23" s="265" t="str">
        <f>Data!V72</f>
        <v/>
      </c>
      <c r="L23" s="197">
        <f>Data!V62</f>
        <v>1143231.8</v>
      </c>
      <c r="M23" s="50"/>
    </row>
    <row r="24" spans="1:13" ht="15" customHeight="1" x14ac:dyDescent="0.35">
      <c r="D24" s="266" t="s">
        <v>270</v>
      </c>
      <c r="E24" s="199" t="str">
        <f>IFERROR(E23/Data!$D$71,"")</f>
        <v/>
      </c>
      <c r="F24" s="199" t="str">
        <f>IFERROR(F23/Data!$D$72,"")</f>
        <v/>
      </c>
      <c r="G24" s="200">
        <f>IFERROR(G23/Data!$D$62,"")</f>
        <v>1.1837015900226216E-2</v>
      </c>
      <c r="H24" s="50"/>
      <c r="I24" s="229" t="s">
        <v>256</v>
      </c>
      <c r="J24" s="267" t="str">
        <f>IFERROR(J23/E23,"0.0")</f>
        <v>0.0</v>
      </c>
      <c r="K24" s="267" t="str">
        <f>IFERROR(K23/F23,"0.0")</f>
        <v>0.0</v>
      </c>
      <c r="L24" s="268">
        <f>IFERROR(L23/G23,"")</f>
        <v>130.98439505041247</v>
      </c>
      <c r="M24" s="50"/>
    </row>
    <row r="25" spans="1:13" ht="15" customHeight="1" x14ac:dyDescent="0.35">
      <c r="D25" s="269" t="s">
        <v>267</v>
      </c>
      <c r="E25" s="270" t="str">
        <f>Data!W71</f>
        <v/>
      </c>
      <c r="F25" s="270" t="str">
        <f>Data!W72</f>
        <v/>
      </c>
      <c r="G25" s="271">
        <f>Data!W62</f>
        <v>463403</v>
      </c>
      <c r="H25" s="50"/>
      <c r="I25" s="184" t="s">
        <v>268</v>
      </c>
      <c r="J25" s="265" t="str">
        <f>Data!X71</f>
        <v/>
      </c>
      <c r="K25" s="265" t="str">
        <f>Data!X72</f>
        <v/>
      </c>
      <c r="L25" s="197">
        <f>Data!X62</f>
        <v>56276344.200000003</v>
      </c>
      <c r="M25" s="50"/>
    </row>
    <row r="26" spans="1:13" ht="15" customHeight="1" x14ac:dyDescent="0.35">
      <c r="D26" s="272" t="s">
        <v>270</v>
      </c>
      <c r="E26" s="204" t="str">
        <f>IFERROR(E25/Data!$D$71,"")</f>
        <v/>
      </c>
      <c r="F26" s="204" t="str">
        <f>IFERROR(F25/Data!$D$72,"")</f>
        <v/>
      </c>
      <c r="G26" s="440">
        <f>IFERROR(G25/Data!$D$62,"")</f>
        <v>0.62847258011142637</v>
      </c>
      <c r="H26" s="50"/>
      <c r="I26" s="234" t="s">
        <v>306</v>
      </c>
      <c r="J26" s="273" t="str">
        <f>IFERROR(J25/E25,"")</f>
        <v/>
      </c>
      <c r="K26" s="273" t="str">
        <f>IFERROR(K25/F25,"")</f>
        <v/>
      </c>
      <c r="L26" s="441">
        <f>IFERROR(L25/G25,"")</f>
        <v>121.44147577810243</v>
      </c>
      <c r="M26" s="50"/>
    </row>
    <row r="27" spans="1:13" ht="15.5" x14ac:dyDescent="0.35">
      <c r="D27" s="275"/>
      <c r="E27" s="276"/>
      <c r="F27" s="276"/>
      <c r="G27" s="276"/>
      <c r="I27" s="237"/>
      <c r="J27" s="277"/>
      <c r="K27" s="277"/>
      <c r="L27" s="277"/>
    </row>
    <row r="28" spans="1:13" ht="15.5" x14ac:dyDescent="0.35">
      <c r="D28" s="275"/>
      <c r="E28" s="276"/>
      <c r="F28" s="276"/>
      <c r="G28" s="276"/>
      <c r="I28" s="237"/>
      <c r="J28" s="277"/>
      <c r="K28" s="277"/>
      <c r="L28" s="277"/>
    </row>
    <row r="29" spans="1:13" ht="15.5" x14ac:dyDescent="0.35">
      <c r="A29" s="62" t="s">
        <v>289</v>
      </c>
      <c r="D29" s="275"/>
      <c r="E29" s="276"/>
      <c r="F29" s="276"/>
      <c r="G29" s="276"/>
      <c r="I29" s="237"/>
      <c r="J29" s="277"/>
      <c r="K29" s="277"/>
      <c r="L29" s="277"/>
    </row>
    <row r="30" spans="1:13" ht="15.5" x14ac:dyDescent="0.35">
      <c r="A30" s="27" t="s">
        <v>293</v>
      </c>
      <c r="B30" s="27"/>
      <c r="C30" s="27"/>
      <c r="D30" s="275"/>
      <c r="E30" s="276"/>
      <c r="F30" s="276"/>
      <c r="G30" s="276"/>
      <c r="I30" s="237"/>
      <c r="J30" s="277"/>
      <c r="K30" s="277"/>
      <c r="L30" s="277"/>
    </row>
    <row r="31" spans="1:13" ht="15.5" x14ac:dyDescent="0.35">
      <c r="D31" s="275"/>
      <c r="E31" s="276"/>
      <c r="F31" s="276"/>
      <c r="G31" s="276"/>
      <c r="I31" s="237"/>
      <c r="J31" s="277"/>
      <c r="K31" s="277"/>
      <c r="L31" s="277"/>
    </row>
    <row r="32" spans="1:13" ht="15.5" x14ac:dyDescent="0.35">
      <c r="D32" s="275"/>
      <c r="E32" s="276"/>
      <c r="F32" s="276"/>
      <c r="G32" s="276"/>
      <c r="I32" s="237"/>
      <c r="J32" s="277"/>
      <c r="K32" s="277"/>
      <c r="L32" s="277"/>
    </row>
    <row r="33" spans="4:12" ht="15.5" x14ac:dyDescent="0.35">
      <c r="D33" s="275"/>
      <c r="E33" s="276"/>
      <c r="F33" s="276"/>
      <c r="G33" s="276"/>
      <c r="I33" s="237"/>
      <c r="J33" s="277"/>
      <c r="K33" s="277"/>
      <c r="L33" s="277"/>
    </row>
    <row r="34" spans="4:12" ht="15.5" x14ac:dyDescent="0.35">
      <c r="D34" s="275"/>
      <c r="E34" s="276"/>
      <c r="F34" s="276"/>
      <c r="G34" s="276"/>
      <c r="I34" s="237"/>
      <c r="J34" s="277"/>
      <c r="K34" s="277"/>
      <c r="L34" s="277"/>
    </row>
    <row r="35" spans="4:12" ht="15.5" x14ac:dyDescent="0.35">
      <c r="D35" s="275"/>
      <c r="E35" s="276"/>
      <c r="F35" s="276"/>
      <c r="G35" s="276"/>
      <c r="I35" s="237"/>
      <c r="J35" s="277"/>
      <c r="K35" s="277"/>
      <c r="L35" s="277"/>
    </row>
    <row r="36" spans="4:12" ht="15.5" x14ac:dyDescent="0.35">
      <c r="D36" s="275"/>
      <c r="E36" s="276"/>
      <c r="F36" s="276"/>
      <c r="G36" s="276"/>
      <c r="I36" s="237"/>
      <c r="J36" s="277"/>
      <c r="K36" s="277"/>
      <c r="L36" s="277"/>
    </row>
    <row r="37" spans="4:12" ht="15.5" x14ac:dyDescent="0.35">
      <c r="D37" s="275"/>
      <c r="E37" s="276"/>
      <c r="F37" s="276"/>
      <c r="G37" s="276"/>
      <c r="I37" s="237"/>
      <c r="J37" s="277"/>
      <c r="K37" s="277"/>
      <c r="L37" s="277"/>
    </row>
    <row r="38" spans="4:12" ht="15.5" x14ac:dyDescent="0.35">
      <c r="D38" s="275"/>
      <c r="E38" s="276"/>
      <c r="F38" s="276"/>
      <c r="G38" s="276"/>
      <c r="I38" s="237"/>
      <c r="J38" s="277"/>
      <c r="K38" s="277"/>
      <c r="L38" s="277"/>
    </row>
    <row r="39" spans="4:12" ht="24" customHeight="1" x14ac:dyDescent="0.35">
      <c r="D39" s="275"/>
      <c r="E39" s="276"/>
      <c r="F39" s="276"/>
      <c r="G39" s="276"/>
      <c r="I39" s="237"/>
      <c r="J39" s="277"/>
      <c r="K39" s="277"/>
      <c r="L39" s="277"/>
    </row>
    <row r="40" spans="4:12" ht="15.5" x14ac:dyDescent="0.35">
      <c r="D40" s="275"/>
      <c r="E40" s="276"/>
      <c r="F40" s="276"/>
      <c r="G40" s="276"/>
      <c r="I40" s="237"/>
      <c r="J40" s="277"/>
      <c r="K40" s="277"/>
      <c r="L40" s="277"/>
    </row>
    <row r="41" spans="4:12" ht="15.5" x14ac:dyDescent="0.35">
      <c r="D41" s="275"/>
      <c r="E41" s="276"/>
      <c r="F41" s="276"/>
      <c r="G41" s="276"/>
    </row>
    <row r="42" spans="4:12" ht="15" customHeight="1" x14ac:dyDescent="0.4">
      <c r="D42" s="278" t="s">
        <v>362</v>
      </c>
      <c r="E42" s="279"/>
      <c r="F42" s="279"/>
      <c r="G42" s="280"/>
    </row>
    <row r="43" spans="4:12" ht="15.5" x14ac:dyDescent="0.35">
      <c r="D43" s="107" t="s">
        <v>323</v>
      </c>
      <c r="E43" s="281" t="str">
        <f>Data!A71</f>
        <v/>
      </c>
      <c r="F43" s="281" t="str">
        <f>Data!A72</f>
        <v/>
      </c>
      <c r="G43" s="282" t="str">
        <f>LEFT(Data!A62,9)</f>
        <v>Statewide</v>
      </c>
    </row>
    <row r="44" spans="4:12" ht="15.5" x14ac:dyDescent="0.35">
      <c r="D44" s="9" t="s">
        <v>279</v>
      </c>
      <c r="E44" s="283" t="str">
        <f>Data!$GM$71</f>
        <v/>
      </c>
      <c r="F44" s="283" t="str">
        <f>Data!$GM$72</f>
        <v/>
      </c>
      <c r="G44" s="284">
        <f>Data!$GM$62</f>
        <v>237186</v>
      </c>
      <c r="H44" s="50"/>
      <c r="I44" s="50"/>
    </row>
    <row r="45" spans="4:12" ht="15.5" x14ac:dyDescent="0.35">
      <c r="D45" s="285" t="s">
        <v>270</v>
      </c>
      <c r="E45" s="235" t="str">
        <f>IFERROR(E44/Data!$D$71,"")</f>
        <v/>
      </c>
      <c r="F45" s="235" t="str">
        <f>IFERROR(F44/Data!$D$72,"")</f>
        <v/>
      </c>
      <c r="G45" s="442">
        <f>IFERROR(G44/Data!$D$62,"")</f>
        <v>0.32167443323912182</v>
      </c>
      <c r="H45" s="50"/>
      <c r="I45" s="50"/>
    </row>
    <row r="46" spans="4:12" x14ac:dyDescent="0.35"/>
    <row r="47" spans="4:12" x14ac:dyDescent="0.35"/>
    <row r="48" spans="4:12" x14ac:dyDescent="0.35"/>
    <row r="49" spans="1:3" ht="15.5" x14ac:dyDescent="0.35">
      <c r="A49" s="62" t="s">
        <v>289</v>
      </c>
    </row>
    <row r="50" spans="1:3" ht="15.5" x14ac:dyDescent="0.35">
      <c r="A50" s="27" t="s">
        <v>579</v>
      </c>
      <c r="B50" s="27"/>
      <c r="C50" s="27"/>
    </row>
    <row r="51" spans="1:3" ht="15.5" x14ac:dyDescent="0.35">
      <c r="A51" s="27" t="s">
        <v>294</v>
      </c>
      <c r="B51" s="27"/>
      <c r="C51" s="27"/>
    </row>
    <row r="52" spans="1:3" ht="15.5" x14ac:dyDescent="0.35">
      <c r="A52" s="27" t="s">
        <v>302</v>
      </c>
      <c r="B52" s="27"/>
      <c r="C52" s="27"/>
    </row>
    <row r="53" spans="1:3" x14ac:dyDescent="0.35"/>
    <row r="54" spans="1:3" x14ac:dyDescent="0.35"/>
    <row r="55" spans="1:3" x14ac:dyDescent="0.35"/>
    <row r="56" spans="1:3" x14ac:dyDescent="0.35"/>
    <row r="57" spans="1:3" x14ac:dyDescent="0.35"/>
    <row r="58" spans="1:3" x14ac:dyDescent="0.35"/>
    <row r="59" spans="1:3" x14ac:dyDescent="0.35"/>
    <row r="60" spans="1:3" x14ac:dyDescent="0.35"/>
    <row r="61" spans="1:3" x14ac:dyDescent="0.35"/>
    <row r="62" spans="1:3" x14ac:dyDescent="0.35"/>
    <row r="63" spans="1:3" x14ac:dyDescent="0.35"/>
    <row r="64" spans="1:3" x14ac:dyDescent="0.35"/>
    <row r="65" spans="4:13" x14ac:dyDescent="0.35"/>
    <row r="66" spans="4:13" x14ac:dyDescent="0.35"/>
    <row r="67" spans="4:13" x14ac:dyDescent="0.35"/>
    <row r="68" spans="4:13" x14ac:dyDescent="0.35"/>
    <row r="69" spans="4:13" x14ac:dyDescent="0.35"/>
    <row r="70" spans="4:13" ht="30.75" customHeight="1" x14ac:dyDescent="0.4">
      <c r="D70" s="380" t="s">
        <v>363</v>
      </c>
      <c r="E70" s="381"/>
      <c r="F70" s="381"/>
      <c r="G70" s="382"/>
      <c r="I70" s="223" t="s">
        <v>364</v>
      </c>
      <c r="J70" s="158"/>
      <c r="K70" s="158"/>
      <c r="L70" s="224"/>
    </row>
    <row r="71" spans="4:13" ht="15" customHeight="1" x14ac:dyDescent="0.35">
      <c r="D71" s="383" t="s">
        <v>320</v>
      </c>
      <c r="E71" s="384" t="str">
        <f>Data!A71</f>
        <v/>
      </c>
      <c r="F71" s="384" t="str">
        <f>Data!A72</f>
        <v/>
      </c>
      <c r="G71" s="385" t="str">
        <f>LEFT(Data!A62,9)</f>
        <v>Statewide</v>
      </c>
      <c r="I71" s="286" t="s">
        <v>321</v>
      </c>
      <c r="J71" s="262" t="str">
        <f>E71</f>
        <v/>
      </c>
      <c r="K71" s="262" t="str">
        <f>F71</f>
        <v/>
      </c>
      <c r="L71" s="263" t="str">
        <f>G71</f>
        <v>Statewide</v>
      </c>
    </row>
    <row r="72" spans="4:13" ht="15" customHeight="1" x14ac:dyDescent="0.35">
      <c r="D72" s="287" t="s">
        <v>274</v>
      </c>
      <c r="E72" s="264" t="str">
        <f>Data!$GG$71</f>
        <v/>
      </c>
      <c r="F72" s="264" t="str">
        <f>Data!$GG$72</f>
        <v/>
      </c>
      <c r="G72" s="195">
        <f>Data!$GG$62</f>
        <v>687</v>
      </c>
      <c r="I72" s="184" t="str">
        <f>Data!$GD$3</f>
        <v>Telephone Timesheet System (TTS)</v>
      </c>
      <c r="J72" s="264" t="str">
        <f>Data!$GD$71</f>
        <v/>
      </c>
      <c r="K72" s="264" t="str">
        <f>Data!$GD$72</f>
        <v/>
      </c>
      <c r="L72" s="195">
        <f>Data!$GD$62</f>
        <v>2131</v>
      </c>
    </row>
    <row r="73" spans="4:13" ht="15" customHeight="1" x14ac:dyDescent="0.35">
      <c r="D73" s="266" t="s">
        <v>299</v>
      </c>
      <c r="E73" s="199" t="str">
        <f>IFERROR(E72/Data!$GM$71,"")</f>
        <v/>
      </c>
      <c r="F73" s="199" t="str">
        <f>IFERROR(F72/Data!$GM$72,"")</f>
        <v/>
      </c>
      <c r="G73" s="200">
        <f>G72/Data!$GM$62</f>
        <v>2.8964610052869899E-3</v>
      </c>
      <c r="I73" s="266" t="s">
        <v>299</v>
      </c>
      <c r="J73" s="52" t="str">
        <f>IFERROR(J72/Data!$GM$71,"")</f>
        <v/>
      </c>
      <c r="K73" s="52" t="str">
        <f>IFERROR(K72/Data!$GM$72,"")</f>
        <v/>
      </c>
      <c r="L73" s="12">
        <f>IFERROR(L72/Data!$GM$62,"")</f>
        <v>8.9845100469673582E-3</v>
      </c>
      <c r="M73" s="52"/>
    </row>
    <row r="74" spans="4:13" ht="15" customHeight="1" x14ac:dyDescent="0.35">
      <c r="D74" s="287" t="s">
        <v>275</v>
      </c>
      <c r="E74" s="264" t="str">
        <f>Data!$GH$71</f>
        <v/>
      </c>
      <c r="F74" s="264" t="str">
        <f>Data!$GH$72</f>
        <v/>
      </c>
      <c r="G74" s="195">
        <f>Data!$GH$62</f>
        <v>266</v>
      </c>
      <c r="I74" s="184" t="str">
        <f>Data!$GE$3</f>
        <v>Large Font Timesheet</v>
      </c>
      <c r="J74" s="264" t="str">
        <f>Data!$GE$71</f>
        <v/>
      </c>
      <c r="K74" s="264" t="str">
        <f>Data!$GE$72</f>
        <v/>
      </c>
      <c r="L74" s="195">
        <f>Data!$GE$62</f>
        <v>17208</v>
      </c>
    </row>
    <row r="75" spans="4:13" ht="15" customHeight="1" x14ac:dyDescent="0.35">
      <c r="D75" s="266" t="s">
        <v>299</v>
      </c>
      <c r="E75" s="199" t="str">
        <f>IFERROR(E74/Data!$GM$71,"")</f>
        <v/>
      </c>
      <c r="F75" s="199" t="str">
        <f>IFERROR(F74/Data!$GM$72,"")</f>
        <v/>
      </c>
      <c r="G75" s="200">
        <f>G74/Data!$GM$62</f>
        <v>1.1214827182042784E-3</v>
      </c>
      <c r="I75" s="266" t="s">
        <v>299</v>
      </c>
      <c r="J75" s="288" t="str">
        <f>IFERROR(J74/Data!$GM$71,"")</f>
        <v/>
      </c>
      <c r="K75" s="288" t="str">
        <f>IFERROR(K74/Data!$GM$72,"")</f>
        <v/>
      </c>
      <c r="L75" s="289">
        <f>IFERROR(L74/Data!$GM$62,"")</f>
        <v>7.2550656446839196E-2</v>
      </c>
    </row>
    <row r="76" spans="4:13" ht="15" customHeight="1" x14ac:dyDescent="0.35">
      <c r="D76" s="287" t="s">
        <v>272</v>
      </c>
      <c r="E76" s="264" t="str">
        <f>Data!$GI$71</f>
        <v/>
      </c>
      <c r="F76" s="264" t="str">
        <f>Data!$GI$72</f>
        <v/>
      </c>
      <c r="G76" s="195">
        <f>Data!$GI$62</f>
        <v>612</v>
      </c>
      <c r="I76" s="184" t="str">
        <f>Data!$GF$3</f>
        <v>No Accommodation Needed</v>
      </c>
      <c r="J76" s="264" t="str">
        <f>Data!$GF$71</f>
        <v/>
      </c>
      <c r="K76" s="264" t="str">
        <f>Data!$GF$72</f>
        <v/>
      </c>
      <c r="L76" s="195">
        <f>Data!$GF$62</f>
        <v>217847</v>
      </c>
    </row>
    <row r="77" spans="4:13" ht="15" customHeight="1" x14ac:dyDescent="0.35">
      <c r="D77" s="266" t="s">
        <v>299</v>
      </c>
      <c r="E77" s="199" t="str">
        <f>IFERROR(E76/Data!$GM$71,"")</f>
        <v/>
      </c>
      <c r="F77" s="199" t="str">
        <f>IFERROR(F76/Data!$GM$72,"")</f>
        <v/>
      </c>
      <c r="G77" s="200">
        <f>G76/Data!$GM$62</f>
        <v>2.5802534719587158E-3</v>
      </c>
      <c r="H77" s="50"/>
      <c r="I77" s="272" t="s">
        <v>299</v>
      </c>
      <c r="J77" s="126" t="str">
        <f>IFERROR(J76/Data!$GM$71,"")</f>
        <v/>
      </c>
      <c r="K77" s="126" t="str">
        <f>IFERROR(K76/Data!$GM$72,"")</f>
        <v/>
      </c>
      <c r="L77" s="101">
        <f>IFERROR(L76/Data!$GM$62,"")</f>
        <v>0.91846483350619346</v>
      </c>
      <c r="M77" s="50"/>
    </row>
    <row r="78" spans="4:13" ht="15" customHeight="1" x14ac:dyDescent="0.35">
      <c r="D78" s="287" t="s">
        <v>276</v>
      </c>
      <c r="E78" s="264" t="str">
        <f>Data!$GJ$71</f>
        <v/>
      </c>
      <c r="F78" s="264" t="str">
        <f>Data!$GJ$72</f>
        <v/>
      </c>
      <c r="G78" s="195">
        <f>Data!$GJ$62</f>
        <v>41</v>
      </c>
      <c r="H78" s="50"/>
      <c r="I78" s="50"/>
      <c r="J78" s="50"/>
      <c r="K78" s="50"/>
      <c r="L78" s="50"/>
      <c r="M78" s="50"/>
    </row>
    <row r="79" spans="4:13" ht="15" customHeight="1" x14ac:dyDescent="0.35">
      <c r="D79" s="266" t="s">
        <v>299</v>
      </c>
      <c r="E79" s="199" t="str">
        <f>IFERROR(E78/Data!$GM$71,"")</f>
        <v/>
      </c>
      <c r="F79" s="199" t="str">
        <f>IFERROR(F78/Data!$GM$72,"")</f>
        <v/>
      </c>
      <c r="G79" s="200">
        <f>G78/Data!$GM$62</f>
        <v>1.7286011821945646E-4</v>
      </c>
      <c r="H79" s="50"/>
      <c r="I79" s="50"/>
      <c r="J79" s="50"/>
      <c r="K79" s="50"/>
      <c r="L79" s="50"/>
      <c r="M79" s="50"/>
    </row>
    <row r="80" spans="4:13" ht="15" customHeight="1" x14ac:dyDescent="0.35">
      <c r="D80" s="287" t="s">
        <v>277</v>
      </c>
      <c r="E80" s="264" t="str">
        <f>Data!$GK$71</f>
        <v/>
      </c>
      <c r="F80" s="264" t="str">
        <f>Data!$GK$72</f>
        <v/>
      </c>
      <c r="G80" s="195">
        <f>Data!$GK$62</f>
        <v>88455</v>
      </c>
      <c r="H80" s="50"/>
      <c r="I80" s="50"/>
      <c r="J80" s="50"/>
      <c r="K80" s="50"/>
      <c r="L80" s="50"/>
      <c r="M80" s="50"/>
    </row>
    <row r="81" spans="4:13" ht="15" customHeight="1" x14ac:dyDescent="0.35">
      <c r="D81" s="266" t="s">
        <v>299</v>
      </c>
      <c r="E81" s="199" t="str">
        <f>IFERROR(E80/Data!$GM$71,"")</f>
        <v/>
      </c>
      <c r="F81" s="199" t="str">
        <f>IFERROR(F80/Data!$GM$72,"")</f>
        <v/>
      </c>
      <c r="G81" s="200">
        <f>G80/Data!$GM$62</f>
        <v>0.37293516480736638</v>
      </c>
      <c r="H81" s="50"/>
      <c r="I81" s="50"/>
      <c r="J81" s="50"/>
      <c r="K81" s="50"/>
      <c r="L81" s="50"/>
      <c r="M81" s="50"/>
    </row>
    <row r="82" spans="4:13" ht="19.5" customHeight="1" x14ac:dyDescent="0.35">
      <c r="D82" s="287" t="s">
        <v>280</v>
      </c>
      <c r="E82" s="264" t="str">
        <f>Data!$GL$71</f>
        <v/>
      </c>
      <c r="F82" s="264" t="str">
        <f>Data!$GL$72</f>
        <v/>
      </c>
      <c r="G82" s="195">
        <f>Data!$GL$62</f>
        <v>147125</v>
      </c>
      <c r="H82" s="50"/>
      <c r="I82" s="50"/>
      <c r="J82" s="50"/>
      <c r="K82" s="50"/>
      <c r="L82" s="50"/>
      <c r="M82" s="50"/>
    </row>
    <row r="83" spans="4:13" ht="15.5" hidden="1" x14ac:dyDescent="0.35">
      <c r="D83" s="388" t="s">
        <v>299</v>
      </c>
      <c r="E83" s="238" t="str">
        <f>IFERROR(E82/Data!$GM$71,"")</f>
        <v/>
      </c>
      <c r="F83" s="238" t="str">
        <f>IFERROR(F82/Data!$GM$72,"")</f>
        <v/>
      </c>
      <c r="G83" s="389">
        <f>G82/Data!$GM$62</f>
        <v>0.62029377787896423</v>
      </c>
      <c r="H83" s="50"/>
      <c r="M83" s="50"/>
    </row>
    <row r="84" spans="4:13" ht="15.5" x14ac:dyDescent="0.35">
      <c r="D84" s="392" t="s">
        <v>299</v>
      </c>
      <c r="E84" s="235" t="str">
        <f>IFERROR(E82/Data!$GM$71,"")</f>
        <v/>
      </c>
      <c r="F84" s="235" t="str">
        <f>IFERROR(F82/Data!$GM$72,"")</f>
        <v/>
      </c>
      <c r="G84" s="442">
        <f>G82/Data!$GM$62</f>
        <v>0.62029377787896423</v>
      </c>
      <c r="H84" s="50"/>
      <c r="M84" s="50"/>
    </row>
    <row r="85" spans="4:13" x14ac:dyDescent="0.35"/>
  </sheetData>
  <sheetProtection algorithmName="SHA-512" hashValue="wTT851UCb4hFyO3isTxVkOBCMdOPAmFzOs63fiFzPKXfZBAv5Yn2zNlbhM+CPAGbENajSmmWsUODxB5lg0mXkA==" saltValue="fYTbtoMEZveHIoksWrTHeA==" spinCount="100000" sheet="1" objects="1" scenarios="1"/>
  <sortState xmlns:xlrd2="http://schemas.microsoft.com/office/spreadsheetml/2017/richdata2" ref="A2:K3">
    <sortCondition descending="1" ref="A2"/>
  </sortState>
  <hyperlinks>
    <hyperlink ref="A30:C30" location="Appen_BVI" tooltip="Go to Blind and Visually Impaired definition" display="Blind and Visually Impaired" xr:uid="{00000000-0004-0000-0300-000000000000}"/>
    <hyperlink ref="A9:C9" location="Appen_AgedBD" tooltip="Go to Aged, Blind, or Disabled definition" display="Aged, Blind, or Disabled" xr:uid="{00000000-0004-0000-0300-000001000000}"/>
    <hyperlink ref="A50:C50" location="Appen_BVI_DELIVERY" tooltip="Go to BVI Delivery Options definition" display="BVI Delivery Options" xr:uid="{00000000-0004-0000-0300-000002000000}"/>
    <hyperlink ref="A51:C51" location="Appen_BVI_TIMESHEET" tooltip="Go to BVI Timesheet Delivery Options definition" display="BVI Timesheet Delivery Options" xr:uid="{00000000-0004-0000-0300-000004000000}"/>
    <hyperlink ref="A52:C52" location="Appen_NOA" tooltip="Go to Notice of Action (NOA) definition" display="Notice of Action (NOA)" xr:uid="{00000000-0004-0000-0300-000005000000}"/>
    <hyperlink ref="G26" location="Navigation!E13" tooltip="Back to Table Selection" display="Navigation!E13" xr:uid="{00000000-0004-0000-0300-000006000000}"/>
    <hyperlink ref="L26" location="Navigation!E14" tooltip="Back to Table Selection" display="Navigation!E14" xr:uid="{00000000-0004-0000-0300-000007000000}"/>
    <hyperlink ref="G45" location="Navigation!E15" tooltip="Back to Table Selection" display="Navigation!E15" xr:uid="{00000000-0004-0000-0300-000008000000}"/>
    <hyperlink ref="L77" location="Navigation!E17" tooltip="Back to Table Selection" display="Navigation!E17" xr:uid="{00000000-0004-0000-0300-000009000000}"/>
    <hyperlink ref="G83" location="Navigation!D16" tooltip="Back to Table Selection" display="Navigation!D16" xr:uid="{00000000-0004-0000-0300-00000A000000}"/>
    <hyperlink ref="A2" location="COUNTY_SELECT" tooltip="Back to County Selection" display="COUNTY_SELECT" xr:uid="{00000000-0004-0000-0300-00000B000000}"/>
    <hyperlink ref="A1" location="Nav_AgedBlDis" display="The In-Home Supportive Services (IHSS) Public Facing Data workbook (Microsoft Excel) contains several pages of data concerning IHSS recipients and IHSS programs.  It has been categorized into separate Pages (groups) for easier navigation.  To select a cou" xr:uid="{00000000-0004-0000-0300-00000C000000}"/>
    <hyperlink ref="G84" location="Navigation!E16" tooltip="Back to Table Selection" display="Navigation!E16" xr:uid="{E1DE635F-73A3-405D-94BC-59DD726FFBAD}"/>
  </hyperlinks>
  <pageMargins left="0.7" right="0.7" top="0.75" bottom="0.75" header="0.3" footer="0.3"/>
  <pageSetup scale="37" orientation="portrait" horizontalDpi="1200" verticalDpi="1200" r:id="rId1"/>
  <ignoredErrors>
    <ignoredError sqref="E23:L23 E72:L72 E71:H71 J71:L71 E74:L74 G73:I73 E76:L76 G75:I75 E78:L78 G77:I77 E80:L80 G79:L79 E82:L82 G81:L81 E85:L1048576 H84:L84 E25:L25 H24:I24 E27:L44 H26:I26 E46:L70 H45:L45 G83:L83"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pageSetUpPr fitToPage="1"/>
  </sheetPr>
  <dimension ref="A1:U342"/>
  <sheetViews>
    <sheetView showGridLines="0" showRowColHeaders="0" zoomScale="90" zoomScaleNormal="90" zoomScalePageLayoutView="160" workbookViewId="0">
      <pane ySplit="4" topLeftCell="A5" activePane="bottomLeft" state="frozen"/>
      <selection pane="bottomLeft" activeCell="A5" sqref="A5"/>
    </sheetView>
  </sheetViews>
  <sheetFormatPr defaultColWidth="0" defaultRowHeight="14.5" zeroHeight="1" x14ac:dyDescent="0.35"/>
  <cols>
    <col min="1" max="1" width="8.7265625" style="28" customWidth="1"/>
    <col min="2" max="2" width="8.26953125" style="28" customWidth="1"/>
    <col min="3" max="3" width="6.1796875" style="28" customWidth="1"/>
    <col min="4" max="4" width="33.7265625" style="28" customWidth="1"/>
    <col min="5" max="9" width="16.453125" style="28" customWidth="1"/>
    <col min="10" max="10" width="7.1796875" style="28" customWidth="1"/>
    <col min="11" max="11" width="33.81640625" style="28" customWidth="1"/>
    <col min="12" max="16" width="16.453125" style="28" customWidth="1"/>
    <col min="17" max="17" width="10.26953125" style="28" customWidth="1"/>
    <col min="18" max="21" width="0" style="28" hidden="1" customWidth="1"/>
    <col min="22" max="16384" width="9.1796875" hidden="1"/>
  </cols>
  <sheetData>
    <row r="1" spans="1:16" ht="0.75" customHeight="1" x14ac:dyDescent="0.35">
      <c r="A1" s="27" t="s">
        <v>794</v>
      </c>
      <c r="B1" s="253"/>
      <c r="C1" s="253"/>
      <c r="D1" s="253"/>
      <c r="E1" s="253"/>
      <c r="F1" s="253"/>
      <c r="G1" s="253"/>
      <c r="H1" s="253"/>
      <c r="I1" s="253"/>
      <c r="J1" s="253"/>
      <c r="K1" s="253"/>
      <c r="L1" s="253"/>
      <c r="M1" s="253"/>
      <c r="N1" s="254"/>
      <c r="O1" s="254"/>
      <c r="P1" s="254"/>
    </row>
    <row r="2" spans="1:16" ht="24.75" customHeight="1" x14ac:dyDescent="0.35">
      <c r="A2" s="255" t="str">
        <f>COUNTY_SELECT&amp;" County"</f>
        <v>County Name County</v>
      </c>
      <c r="B2" s="256"/>
      <c r="F2" s="257"/>
      <c r="G2" s="26"/>
      <c r="H2" s="59"/>
      <c r="I2" s="258"/>
      <c r="J2" s="26"/>
      <c r="K2" s="60"/>
      <c r="L2" s="60"/>
      <c r="M2" s="60"/>
      <c r="N2" s="60"/>
      <c r="O2" s="60"/>
      <c r="P2" s="60"/>
    </row>
    <row r="3" spans="1:16" ht="16.5" customHeight="1" x14ac:dyDescent="0.35">
      <c r="A3" s="153" t="str">
        <f>Navigation!A3</f>
        <v xml:space="preserve"> Size County</v>
      </c>
      <c r="B3" s="153"/>
    </row>
    <row r="4" spans="1:16" ht="12" customHeight="1" thickBot="1" x14ac:dyDescent="0.4">
      <c r="A4" s="32"/>
      <c r="B4" s="32"/>
      <c r="C4" s="61"/>
      <c r="D4" s="61"/>
      <c r="E4" s="61"/>
      <c r="F4" s="32"/>
      <c r="G4" s="32"/>
      <c r="H4" s="32"/>
      <c r="I4" s="32"/>
      <c r="J4" s="32"/>
      <c r="K4" s="32"/>
      <c r="L4" s="32"/>
      <c r="M4" s="32"/>
      <c r="N4" s="32"/>
      <c r="O4" s="32"/>
      <c r="P4" s="32"/>
    </row>
    <row r="5" spans="1:16" ht="12" customHeight="1" thickTop="1" x14ac:dyDescent="0.35">
      <c r="A5" s="457" t="s">
        <v>745</v>
      </c>
      <c r="B5" s="454"/>
      <c r="C5" s="458"/>
      <c r="D5" s="458"/>
      <c r="E5" s="458"/>
      <c r="F5" s="454"/>
      <c r="G5" s="454"/>
      <c r="H5" s="454"/>
      <c r="I5" s="454"/>
      <c r="J5" s="454"/>
      <c r="K5" s="454"/>
      <c r="L5" s="454"/>
      <c r="M5" s="454"/>
      <c r="N5" s="454"/>
      <c r="O5" s="454"/>
    </row>
    <row r="6" spans="1:16" ht="12" customHeight="1" x14ac:dyDescent="0.35">
      <c r="A6" s="30"/>
      <c r="C6" s="260"/>
      <c r="D6" s="260"/>
      <c r="E6" s="260"/>
    </row>
    <row r="7" spans="1:16" ht="25" customHeight="1" x14ac:dyDescent="0.35">
      <c r="A7" s="30"/>
      <c r="C7" s="260"/>
      <c r="D7" s="655" t="s">
        <v>765</v>
      </c>
      <c r="E7" s="655"/>
      <c r="F7" s="655"/>
      <c r="G7" s="655"/>
      <c r="H7" s="655"/>
      <c r="I7" s="655"/>
      <c r="J7" s="655"/>
      <c r="K7" s="655"/>
      <c r="L7" s="655"/>
      <c r="M7" s="655"/>
      <c r="N7" s="655"/>
      <c r="O7" s="655"/>
      <c r="P7" s="655"/>
    </row>
    <row r="8" spans="1:16" ht="15" customHeight="1" x14ac:dyDescent="0.35">
      <c r="A8"/>
      <c r="B8"/>
      <c r="C8"/>
      <c r="D8"/>
      <c r="E8"/>
      <c r="F8"/>
      <c r="G8"/>
      <c r="H8"/>
      <c r="I8"/>
      <c r="J8"/>
      <c r="K8"/>
      <c r="L8"/>
      <c r="M8"/>
      <c r="N8"/>
      <c r="O8"/>
    </row>
    <row r="9" spans="1:16" ht="15.5" x14ac:dyDescent="0.35">
      <c r="A9" s="62" t="s">
        <v>289</v>
      </c>
      <c r="B9" s="660"/>
      <c r="C9"/>
      <c r="D9"/>
      <c r="E9"/>
      <c r="F9"/>
      <c r="G9"/>
      <c r="H9"/>
      <c r="I9"/>
    </row>
    <row r="10" spans="1:16" ht="15.5" x14ac:dyDescent="0.35">
      <c r="A10" s="373" t="s">
        <v>792</v>
      </c>
      <c r="B10" s="27"/>
      <c r="C10"/>
      <c r="D10"/>
      <c r="E10"/>
      <c r="F10"/>
      <c r="G10"/>
      <c r="H10"/>
      <c r="I10"/>
    </row>
    <row r="11" spans="1:16" x14ac:dyDescent="0.35">
      <c r="A11"/>
      <c r="B11"/>
      <c r="C11"/>
      <c r="D11"/>
      <c r="E11"/>
      <c r="F11"/>
      <c r="G11"/>
      <c r="H11"/>
      <c r="I11"/>
    </row>
    <row r="12" spans="1:16" x14ac:dyDescent="0.35">
      <c r="A12"/>
      <c r="B12"/>
      <c r="C12"/>
      <c r="D12"/>
      <c r="E12"/>
      <c r="F12"/>
      <c r="G12"/>
      <c r="H12"/>
      <c r="I12"/>
    </row>
    <row r="13" spans="1:16" x14ac:dyDescent="0.35">
      <c r="A13"/>
      <c r="B13"/>
      <c r="C13"/>
      <c r="D13"/>
      <c r="E13"/>
      <c r="F13"/>
      <c r="G13"/>
      <c r="H13"/>
      <c r="I13"/>
    </row>
    <row r="14" spans="1:16" x14ac:dyDescent="0.35">
      <c r="A14"/>
      <c r="B14"/>
      <c r="C14"/>
      <c r="D14"/>
      <c r="E14"/>
      <c r="F14"/>
      <c r="G14"/>
      <c r="H14"/>
      <c r="I14"/>
    </row>
    <row r="15" spans="1:16" x14ac:dyDescent="0.35">
      <c r="A15"/>
      <c r="B15"/>
      <c r="C15"/>
      <c r="D15"/>
      <c r="E15"/>
      <c r="F15"/>
      <c r="G15"/>
      <c r="H15"/>
      <c r="I15"/>
    </row>
    <row r="16" spans="1:16" x14ac:dyDescent="0.35">
      <c r="A16"/>
      <c r="B16"/>
      <c r="C16"/>
      <c r="D16"/>
      <c r="E16"/>
      <c r="F16"/>
      <c r="G16"/>
      <c r="H16"/>
      <c r="I16"/>
    </row>
    <row r="17" spans="1:21" x14ac:dyDescent="0.35">
      <c r="A17"/>
      <c r="B17"/>
      <c r="C17"/>
      <c r="D17"/>
      <c r="E17"/>
      <c r="F17"/>
      <c r="G17"/>
      <c r="H17"/>
      <c r="I17"/>
    </row>
    <row r="18" spans="1:21" x14ac:dyDescent="0.35">
      <c r="A18"/>
      <c r="B18"/>
      <c r="C18"/>
      <c r="D18"/>
      <c r="E18"/>
      <c r="F18"/>
      <c r="G18"/>
      <c r="H18"/>
      <c r="I18"/>
    </row>
    <row r="19" spans="1:21" x14ac:dyDescent="0.35">
      <c r="A19"/>
      <c r="B19"/>
      <c r="C19"/>
      <c r="D19"/>
      <c r="E19"/>
      <c r="F19"/>
      <c r="G19"/>
      <c r="H19"/>
      <c r="I19"/>
    </row>
    <row r="20" spans="1:21" x14ac:dyDescent="0.35">
      <c r="A20"/>
      <c r="B20"/>
      <c r="C20"/>
      <c r="D20"/>
      <c r="E20"/>
      <c r="F20"/>
      <c r="G20"/>
      <c r="H20"/>
      <c r="I20"/>
    </row>
    <row r="21" spans="1:21" x14ac:dyDescent="0.35">
      <c r="A21"/>
      <c r="B21"/>
      <c r="C21"/>
      <c r="D21"/>
      <c r="E21"/>
      <c r="F21"/>
      <c r="G21"/>
      <c r="H21"/>
      <c r="I21"/>
    </row>
    <row r="22" spans="1:21" x14ac:dyDescent="0.35">
      <c r="A22"/>
      <c r="B22"/>
      <c r="C22"/>
      <c r="D22"/>
      <c r="E22"/>
      <c r="F22"/>
      <c r="G22"/>
      <c r="H22"/>
      <c r="I22"/>
    </row>
    <row r="23" spans="1:21" x14ac:dyDescent="0.35">
      <c r="A23"/>
      <c r="B23"/>
      <c r="C23"/>
      <c r="D23"/>
      <c r="E23"/>
      <c r="F23"/>
      <c r="G23"/>
      <c r="H23"/>
      <c r="I23"/>
    </row>
    <row r="24" spans="1:21" x14ac:dyDescent="0.35">
      <c r="A24"/>
      <c r="B24"/>
      <c r="C24"/>
      <c r="D24"/>
      <c r="E24"/>
      <c r="F24"/>
      <c r="G24"/>
      <c r="H24"/>
      <c r="I24"/>
    </row>
    <row r="25" spans="1:21" x14ac:dyDescent="0.35">
      <c r="A25"/>
      <c r="B25"/>
      <c r="C25"/>
      <c r="D25"/>
      <c r="E25"/>
      <c r="F25"/>
      <c r="G25"/>
      <c r="H25"/>
      <c r="I25"/>
    </row>
    <row r="26" spans="1:21" x14ac:dyDescent="0.35">
      <c r="A26"/>
      <c r="B26"/>
      <c r="C26"/>
      <c r="D26"/>
      <c r="E26"/>
      <c r="F26"/>
      <c r="G26"/>
      <c r="H26"/>
      <c r="I26"/>
    </row>
    <row r="27" spans="1:21" x14ac:dyDescent="0.35">
      <c r="A27"/>
      <c r="B27"/>
      <c r="C27"/>
      <c r="D27"/>
      <c r="E27"/>
      <c r="F27"/>
      <c r="G27"/>
      <c r="H27"/>
      <c r="I27"/>
    </row>
    <row r="28" spans="1:21" ht="15" customHeight="1" x14ac:dyDescent="0.35">
      <c r="A28"/>
      <c r="B28"/>
      <c r="C28"/>
      <c r="D28"/>
      <c r="E28"/>
      <c r="F28"/>
      <c r="G28"/>
      <c r="H28"/>
      <c r="I28"/>
    </row>
    <row r="29" spans="1:21" ht="15" customHeight="1" x14ac:dyDescent="0.35">
      <c r="A29"/>
      <c r="B29"/>
      <c r="C29"/>
      <c r="D29"/>
      <c r="E29"/>
      <c r="F29"/>
      <c r="G29"/>
      <c r="H29"/>
      <c r="I29"/>
    </row>
    <row r="30" spans="1:21" ht="15" customHeight="1" x14ac:dyDescent="0.35">
      <c r="A30"/>
      <c r="B30"/>
      <c r="C30"/>
      <c r="D30"/>
      <c r="E30"/>
      <c r="F30"/>
      <c r="G30"/>
      <c r="H30"/>
      <c r="I30"/>
      <c r="O30"/>
      <c r="P30"/>
      <c r="Q30"/>
    </row>
    <row r="31" spans="1:21" ht="32.15" customHeight="1" x14ac:dyDescent="0.35">
      <c r="A31"/>
      <c r="C31"/>
      <c r="D31" s="438" t="s">
        <v>766</v>
      </c>
      <c r="E31" s="656"/>
      <c r="F31" s="656"/>
      <c r="G31" s="656"/>
      <c r="H31" s="656"/>
      <c r="I31" s="657"/>
      <c r="J31" s="75"/>
      <c r="K31" s="438" t="s">
        <v>767</v>
      </c>
      <c r="L31" s="656"/>
      <c r="M31" s="656"/>
      <c r="N31" s="656"/>
      <c r="O31" s="656"/>
      <c r="P31" s="657"/>
      <c r="Q31"/>
      <c r="R31"/>
    </row>
    <row r="32" spans="1:21" ht="32.15" customHeight="1" x14ac:dyDescent="0.35">
      <c r="B32" s="638"/>
      <c r="C32" s="641"/>
      <c r="D32" s="651" t="s">
        <v>766</v>
      </c>
      <c r="E32" s="652" t="str">
        <f>Data!$A$71 &amp; CHAR(10) &amp;" New Applications"</f>
        <v xml:space="preserve">
 New Applications</v>
      </c>
      <c r="F32" s="653"/>
      <c r="G32" s="652" t="str">
        <f>Data!$A$71&amp; CHAR(10) &amp;" Recipients"</f>
        <v xml:space="preserve">
 Recipients</v>
      </c>
      <c r="H32" s="653"/>
      <c r="I32" s="654" t="s">
        <v>762</v>
      </c>
      <c r="J32" s="638"/>
      <c r="K32" s="651" t="s">
        <v>767</v>
      </c>
      <c r="L32" s="652" t="str">
        <f>LEFT(Data!$A$62,9) &amp; CHAR(10) &amp; " New Applications"</f>
        <v>Statewide
 New Applications</v>
      </c>
      <c r="M32" s="653"/>
      <c r="N32" s="652" t="str">
        <f>LEFT(Data!$A$62,9)&amp; CHAR(10) &amp; " Recipients"</f>
        <v>Statewide
 Recipients</v>
      </c>
      <c r="O32" s="653"/>
      <c r="P32" s="654" t="s">
        <v>762</v>
      </c>
      <c r="Q32" s="639"/>
      <c r="R32" s="639"/>
      <c r="S32" s="638"/>
      <c r="T32" s="638"/>
      <c r="U32" s="638"/>
    </row>
    <row r="33" spans="1:18" ht="15" customHeight="1" x14ac:dyDescent="0.35">
      <c r="A33" s="638"/>
      <c r="C33"/>
      <c r="D33" s="9" t="str">
        <f>IFERROR('Demo Rank'!$B$130,"")</f>
        <v/>
      </c>
      <c r="E33" s="10" t="str">
        <f>IFERROR('Demo Rank'!$C$130,"")</f>
        <v/>
      </c>
      <c r="F33" s="11" t="str">
        <f>IFERROR('Demo Rank'!$D$130,"0.0%")</f>
        <v>0.0%</v>
      </c>
      <c r="G33" s="10" t="str">
        <f>IFERROR('Demo Rank'!$E$130,"")</f>
        <v/>
      </c>
      <c r="H33" s="12" t="str">
        <f>IFERROR('Demo Rank'!$F$130,"0.0%")</f>
        <v>0.0%</v>
      </c>
      <c r="I33" s="12">
        <f t="shared" ref="I33:I51" si="0">IFERROR(F33-H33,"&lt;11")</f>
        <v>0</v>
      </c>
      <c r="K33" s="9" t="str">
        <f>IFERROR('Demo Rank'!$B$130,"")</f>
        <v/>
      </c>
      <c r="L33" s="10" t="str">
        <f>IFERROR('Demo Rank'!$G$130,"")</f>
        <v/>
      </c>
      <c r="M33" s="11" t="str">
        <f>IFERROR('Demo Rank'!$H$130,"0.0%")</f>
        <v>0.0%</v>
      </c>
      <c r="N33" s="10" t="str">
        <f>IFERROR('Demo Rank'!$I$130,"")</f>
        <v/>
      </c>
      <c r="O33" s="12" t="str">
        <f>IFERROR('Demo Rank'!$J$130,"0.0%")</f>
        <v>0.0%</v>
      </c>
      <c r="P33" s="12">
        <f t="shared" ref="P33:P51" si="1">IFERROR(M33-O33,"&lt;11")</f>
        <v>0</v>
      </c>
      <c r="Q33"/>
      <c r="R33"/>
    </row>
    <row r="34" spans="1:18" ht="15" customHeight="1" x14ac:dyDescent="0.35">
      <c r="C34"/>
      <c r="D34" s="9" t="str">
        <f>IFERROR('Demo Rank'!$B$131,"")</f>
        <v/>
      </c>
      <c r="E34" s="10" t="str">
        <f>IFERROR('Demo Rank'!$C$131,"")</f>
        <v/>
      </c>
      <c r="F34" s="11" t="str">
        <f>IFERROR('Demo Rank'!$D$131,"0.0%")</f>
        <v>0.0%</v>
      </c>
      <c r="G34" s="10" t="str">
        <f>IFERROR('Demo Rank'!$E$131,"")</f>
        <v/>
      </c>
      <c r="H34" s="12" t="str">
        <f>IFERROR('Demo Rank'!$F$131,"0.0%")</f>
        <v>0.0%</v>
      </c>
      <c r="I34" s="12">
        <f t="shared" si="0"/>
        <v>0</v>
      </c>
      <c r="K34" s="9" t="str">
        <f>IFERROR('Demo Rank'!$B$131,"")</f>
        <v/>
      </c>
      <c r="L34" s="10" t="str">
        <f>IFERROR('Demo Rank'!$G$131,"")</f>
        <v/>
      </c>
      <c r="M34" s="11" t="str">
        <f>IFERROR('Demo Rank'!$H$131,"0.0%")</f>
        <v>0.0%</v>
      </c>
      <c r="N34" s="10" t="str">
        <f>IFERROR('Demo Rank'!$I$131,"")</f>
        <v/>
      </c>
      <c r="O34" s="12" t="str">
        <f>IFERROR('Demo Rank'!$J$131,"0.0%")</f>
        <v>0.0%</v>
      </c>
      <c r="P34" s="12">
        <f t="shared" si="1"/>
        <v>0</v>
      </c>
      <c r="Q34"/>
      <c r="R34"/>
    </row>
    <row r="35" spans="1:18" ht="15" customHeight="1" x14ac:dyDescent="0.35">
      <c r="C35"/>
      <c r="D35" s="9" t="str">
        <f>IFERROR('Demo Rank'!$B$132,"")</f>
        <v/>
      </c>
      <c r="E35" s="10" t="str">
        <f>IFERROR('Demo Rank'!$C$132,"")</f>
        <v/>
      </c>
      <c r="F35" s="11" t="str">
        <f>IFERROR('Demo Rank'!$D$132,"0.0%")</f>
        <v>0.0%</v>
      </c>
      <c r="G35" s="10" t="str">
        <f>IFERROR('Demo Rank'!$E$132,"")</f>
        <v/>
      </c>
      <c r="H35" s="12" t="str">
        <f>IFERROR('Demo Rank'!$F$132,"0.0%")</f>
        <v>0.0%</v>
      </c>
      <c r="I35" s="12">
        <f t="shared" si="0"/>
        <v>0</v>
      </c>
      <c r="K35" s="9" t="str">
        <f>IFERROR('Demo Rank'!$B$132,"")</f>
        <v/>
      </c>
      <c r="L35" s="10" t="str">
        <f>IFERROR('Demo Rank'!$G$132,"")</f>
        <v/>
      </c>
      <c r="M35" s="11" t="str">
        <f>IFERROR('Demo Rank'!$H$132,"0.0%")</f>
        <v>0.0%</v>
      </c>
      <c r="N35" s="10" t="str">
        <f>IFERROR('Demo Rank'!$I$132,"")</f>
        <v/>
      </c>
      <c r="O35" s="12" t="str">
        <f>IFERROR('Demo Rank'!$J$132,"0.0%")</f>
        <v>0.0%</v>
      </c>
      <c r="P35" s="12">
        <f t="shared" si="1"/>
        <v>0</v>
      </c>
      <c r="Q35"/>
      <c r="R35"/>
    </row>
    <row r="36" spans="1:18" ht="15" customHeight="1" x14ac:dyDescent="0.35">
      <c r="C36"/>
      <c r="D36" s="9" t="str">
        <f>IFERROR('Demo Rank'!$B$133,"")</f>
        <v/>
      </c>
      <c r="E36" s="10" t="str">
        <f>IFERROR('Demo Rank'!$C$133,"")</f>
        <v/>
      </c>
      <c r="F36" s="11" t="str">
        <f>IFERROR('Demo Rank'!$D$133,"0.0%")</f>
        <v>0.0%</v>
      </c>
      <c r="G36" s="10" t="str">
        <f>IFERROR('Demo Rank'!$E$133,"")</f>
        <v/>
      </c>
      <c r="H36" s="12" t="str">
        <f>IFERROR('Demo Rank'!$F$133,"0.0%")</f>
        <v>0.0%</v>
      </c>
      <c r="I36" s="12">
        <f t="shared" si="0"/>
        <v>0</v>
      </c>
      <c r="K36" s="9" t="str">
        <f>IFERROR('Demo Rank'!$B$133,"")</f>
        <v/>
      </c>
      <c r="L36" s="10" t="str">
        <f>IFERROR('Demo Rank'!$G$133,"")</f>
        <v/>
      </c>
      <c r="M36" s="11" t="str">
        <f>IFERROR('Demo Rank'!$H$133,"0.0%")</f>
        <v>0.0%</v>
      </c>
      <c r="N36" s="10" t="str">
        <f>IFERROR('Demo Rank'!$I$133,"")</f>
        <v/>
      </c>
      <c r="O36" s="12" t="str">
        <f>IFERROR('Demo Rank'!$J$133,"0.0%")</f>
        <v>0.0%</v>
      </c>
      <c r="P36" s="12">
        <f t="shared" si="1"/>
        <v>0</v>
      </c>
      <c r="Q36"/>
      <c r="R36"/>
    </row>
    <row r="37" spans="1:18" ht="15" customHeight="1" x14ac:dyDescent="0.35">
      <c r="C37"/>
      <c r="D37" s="9" t="str">
        <f>IFERROR('Demo Rank'!$B$134,"")</f>
        <v/>
      </c>
      <c r="E37" s="10" t="str">
        <f>IFERROR('Demo Rank'!$C$134,"")</f>
        <v/>
      </c>
      <c r="F37" s="11" t="str">
        <f>IFERROR('Demo Rank'!$D$134,"0.0%")</f>
        <v>0.0%</v>
      </c>
      <c r="G37" s="10" t="str">
        <f>IFERROR('Demo Rank'!$E$134,"")</f>
        <v/>
      </c>
      <c r="H37" s="12" t="str">
        <f>IFERROR('Demo Rank'!$F$134,"0.0%")</f>
        <v>0.0%</v>
      </c>
      <c r="I37" s="12">
        <f t="shared" si="0"/>
        <v>0</v>
      </c>
      <c r="K37" s="9" t="str">
        <f>IFERROR('Demo Rank'!$B$134,"")</f>
        <v/>
      </c>
      <c r="L37" s="10" t="str">
        <f>IFERROR('Demo Rank'!$G$134,"")</f>
        <v/>
      </c>
      <c r="M37" s="11" t="str">
        <f>IFERROR('Demo Rank'!$H$134,"0.0%")</f>
        <v>0.0%</v>
      </c>
      <c r="N37" s="10" t="str">
        <f>IFERROR('Demo Rank'!$I$134,"")</f>
        <v/>
      </c>
      <c r="O37" s="12" t="str">
        <f>IFERROR('Demo Rank'!$J$134,"0.0%")</f>
        <v>0.0%</v>
      </c>
      <c r="P37" s="12">
        <f t="shared" si="1"/>
        <v>0</v>
      </c>
      <c r="Q37"/>
      <c r="R37"/>
    </row>
    <row r="38" spans="1:18" ht="15" customHeight="1" x14ac:dyDescent="0.35">
      <c r="C38"/>
      <c r="D38" s="9" t="str">
        <f>IFERROR('Demo Rank'!$B$135,"")</f>
        <v/>
      </c>
      <c r="E38" s="10" t="str">
        <f>IFERROR('Demo Rank'!$C$135,"")</f>
        <v/>
      </c>
      <c r="F38" s="11" t="str">
        <f>IFERROR('Demo Rank'!$D$135,"0.0%")</f>
        <v>0.0%</v>
      </c>
      <c r="G38" s="10" t="str">
        <f>IFERROR('Demo Rank'!$E$135,"")</f>
        <v/>
      </c>
      <c r="H38" s="12" t="str">
        <f>IFERROR('Demo Rank'!$F$135,"0.0%")</f>
        <v>0.0%</v>
      </c>
      <c r="I38" s="12">
        <f t="shared" si="0"/>
        <v>0</v>
      </c>
      <c r="K38" s="9" t="str">
        <f>IFERROR('Demo Rank'!$B$135,"")</f>
        <v/>
      </c>
      <c r="L38" s="10" t="str">
        <f>IFERROR('Demo Rank'!$G$135,"")</f>
        <v/>
      </c>
      <c r="M38" s="11" t="str">
        <f>IFERROR('Demo Rank'!$H$135,"0.0%")</f>
        <v>0.0%</v>
      </c>
      <c r="N38" s="10" t="str">
        <f>IFERROR('Demo Rank'!$I$135,"")</f>
        <v/>
      </c>
      <c r="O38" s="12" t="str">
        <f>IFERROR('Demo Rank'!$J$135,"0.0%")</f>
        <v>0.0%</v>
      </c>
      <c r="P38" s="12">
        <f t="shared" si="1"/>
        <v>0</v>
      </c>
      <c r="Q38"/>
      <c r="R38"/>
    </row>
    <row r="39" spans="1:18" ht="15" customHeight="1" x14ac:dyDescent="0.35">
      <c r="C39"/>
      <c r="D39" s="9" t="str">
        <f>IFERROR('Demo Rank'!$B$136,"")</f>
        <v/>
      </c>
      <c r="E39" s="10" t="str">
        <f>IFERROR('Demo Rank'!$C$136,"")</f>
        <v/>
      </c>
      <c r="F39" s="11" t="str">
        <f>IFERROR('Demo Rank'!$D$136,"0.0%")</f>
        <v>0.0%</v>
      </c>
      <c r="G39" s="10" t="str">
        <f>IFERROR('Demo Rank'!$E$136,"")</f>
        <v/>
      </c>
      <c r="H39" s="12" t="str">
        <f>IFERROR('Demo Rank'!$F$136,"0.0%")</f>
        <v>0.0%</v>
      </c>
      <c r="I39" s="12">
        <f t="shared" si="0"/>
        <v>0</v>
      </c>
      <c r="K39" s="9" t="str">
        <f>IFERROR('Demo Rank'!$B$136,"")</f>
        <v/>
      </c>
      <c r="L39" s="10" t="str">
        <f>IFERROR('Demo Rank'!$G$136,"")</f>
        <v/>
      </c>
      <c r="M39" s="11" t="str">
        <f>IFERROR('Demo Rank'!$H$136,"0.0%")</f>
        <v>0.0%</v>
      </c>
      <c r="N39" s="10" t="str">
        <f>IFERROR('Demo Rank'!$I$136,"")</f>
        <v/>
      </c>
      <c r="O39" s="12" t="str">
        <f>IFERROR('Demo Rank'!$J$136,"0.0%")</f>
        <v>0.0%</v>
      </c>
      <c r="P39" s="12">
        <f t="shared" si="1"/>
        <v>0</v>
      </c>
      <c r="Q39"/>
      <c r="R39"/>
    </row>
    <row r="40" spans="1:18" ht="15" customHeight="1" x14ac:dyDescent="0.35">
      <c r="C40"/>
      <c r="D40" s="9" t="str">
        <f>IFERROR('Demo Rank'!$B$137,"")</f>
        <v/>
      </c>
      <c r="E40" s="10" t="str">
        <f>IFERROR('Demo Rank'!$C$137,"")</f>
        <v/>
      </c>
      <c r="F40" s="11" t="str">
        <f>IFERROR('Demo Rank'!$D$137,"0.0%")</f>
        <v>0.0%</v>
      </c>
      <c r="G40" s="10" t="str">
        <f>IFERROR('Demo Rank'!$E$137,"")</f>
        <v/>
      </c>
      <c r="H40" s="12" t="str">
        <f>IFERROR('Demo Rank'!$F$137,"0.0%")</f>
        <v>0.0%</v>
      </c>
      <c r="I40" s="12">
        <f t="shared" si="0"/>
        <v>0</v>
      </c>
      <c r="K40" s="9" t="str">
        <f>IFERROR('Demo Rank'!$B$137,"")</f>
        <v/>
      </c>
      <c r="L40" s="10" t="str">
        <f>IFERROR('Demo Rank'!$G$137,"")</f>
        <v/>
      </c>
      <c r="M40" s="11" t="str">
        <f>IFERROR('Demo Rank'!$H$137,"0.0%")</f>
        <v>0.0%</v>
      </c>
      <c r="N40" s="10" t="str">
        <f>IFERROR('Demo Rank'!$I$137,"")</f>
        <v/>
      </c>
      <c r="O40" s="12" t="str">
        <f>IFERROR('Demo Rank'!$J$137,"0.0%")</f>
        <v>0.0%</v>
      </c>
      <c r="P40" s="12">
        <f t="shared" si="1"/>
        <v>0</v>
      </c>
      <c r="Q40"/>
      <c r="R40"/>
    </row>
    <row r="41" spans="1:18" ht="15" customHeight="1" x14ac:dyDescent="0.35">
      <c r="C41"/>
      <c r="D41" s="9" t="str">
        <f>IFERROR('Demo Rank'!$B$138,"")</f>
        <v/>
      </c>
      <c r="E41" s="10" t="str">
        <f>IFERROR('Demo Rank'!$C$138,"")</f>
        <v/>
      </c>
      <c r="F41" s="11" t="str">
        <f>IFERROR('Demo Rank'!$D$138,"0.0%")</f>
        <v>0.0%</v>
      </c>
      <c r="G41" s="10" t="str">
        <f>IFERROR('Demo Rank'!$E$138,"")</f>
        <v/>
      </c>
      <c r="H41" s="12" t="str">
        <f>IFERROR('Demo Rank'!$F$138,"0.0%")</f>
        <v>0.0%</v>
      </c>
      <c r="I41" s="12">
        <f t="shared" si="0"/>
        <v>0</v>
      </c>
      <c r="K41" s="9" t="str">
        <f>IFERROR('Demo Rank'!$B$138,"")</f>
        <v/>
      </c>
      <c r="L41" s="10" t="str">
        <f>IFERROR('Demo Rank'!$G$138,"")</f>
        <v/>
      </c>
      <c r="M41" s="11" t="str">
        <f>IFERROR('Demo Rank'!$H$138,"0.0%")</f>
        <v>0.0%</v>
      </c>
      <c r="N41" s="10" t="str">
        <f>IFERROR('Demo Rank'!$I$138,"")</f>
        <v/>
      </c>
      <c r="O41" s="12" t="str">
        <f>IFERROR('Demo Rank'!$J$138,"0.0%")</f>
        <v>0.0%</v>
      </c>
      <c r="P41" s="12">
        <f t="shared" si="1"/>
        <v>0</v>
      </c>
      <c r="Q41"/>
      <c r="R41"/>
    </row>
    <row r="42" spans="1:18" ht="15" customHeight="1" x14ac:dyDescent="0.35">
      <c r="C42"/>
      <c r="D42" s="9" t="str">
        <f>IFERROR('Demo Rank'!$B$139,"")</f>
        <v/>
      </c>
      <c r="E42" s="10" t="str">
        <f>IFERROR('Demo Rank'!$C$139,"")</f>
        <v/>
      </c>
      <c r="F42" s="11" t="str">
        <f>IFERROR('Demo Rank'!$D$139,"0.0%")</f>
        <v>0.0%</v>
      </c>
      <c r="G42" s="10" t="str">
        <f>IFERROR('Demo Rank'!$E$139,"")</f>
        <v/>
      </c>
      <c r="H42" s="12" t="str">
        <f>IFERROR('Demo Rank'!$F$139,"0.0%")</f>
        <v>0.0%</v>
      </c>
      <c r="I42" s="12">
        <f t="shared" si="0"/>
        <v>0</v>
      </c>
      <c r="K42" s="9" t="str">
        <f>IFERROR('Demo Rank'!$B$139,"")</f>
        <v/>
      </c>
      <c r="L42" s="10" t="str">
        <f>IFERROR('Demo Rank'!$G$139,"")</f>
        <v/>
      </c>
      <c r="M42" s="11" t="str">
        <f>IFERROR('Demo Rank'!$H$139,"0.0%")</f>
        <v>0.0%</v>
      </c>
      <c r="N42" s="10" t="str">
        <f>IFERROR('Demo Rank'!$I$139,"")</f>
        <v/>
      </c>
      <c r="O42" s="12" t="str">
        <f>IFERROR('Demo Rank'!$J$139,"0.0%")</f>
        <v>0.0%</v>
      </c>
      <c r="P42" s="12">
        <f t="shared" si="1"/>
        <v>0</v>
      </c>
      <c r="Q42"/>
      <c r="R42"/>
    </row>
    <row r="43" spans="1:18" ht="15" customHeight="1" x14ac:dyDescent="0.35">
      <c r="C43"/>
      <c r="D43" s="9" t="str">
        <f>IFERROR('Demo Rank'!$B$140,"")</f>
        <v/>
      </c>
      <c r="E43" s="10" t="str">
        <f>IFERROR('Demo Rank'!$C$140,"")</f>
        <v/>
      </c>
      <c r="F43" s="11" t="str">
        <f>IFERROR('Demo Rank'!$D$140,"0.0%")</f>
        <v>0.0%</v>
      </c>
      <c r="G43" s="10" t="str">
        <f>IFERROR('Demo Rank'!$E$140,"")</f>
        <v/>
      </c>
      <c r="H43" s="12" t="str">
        <f>IFERROR('Demo Rank'!$F$140,"0.0%")</f>
        <v>0.0%</v>
      </c>
      <c r="I43" s="12">
        <f t="shared" si="0"/>
        <v>0</v>
      </c>
      <c r="K43" s="9" t="str">
        <f>IFERROR('Demo Rank'!$B$140,"")</f>
        <v/>
      </c>
      <c r="L43" s="10" t="str">
        <f>IFERROR('Demo Rank'!$G$140,"")</f>
        <v/>
      </c>
      <c r="M43" s="11" t="str">
        <f>IFERROR('Demo Rank'!$H$140,"0.0%")</f>
        <v>0.0%</v>
      </c>
      <c r="N43" s="10" t="str">
        <f>IFERROR('Demo Rank'!$I$140,"")</f>
        <v/>
      </c>
      <c r="O43" s="12" t="str">
        <f>IFERROR('Demo Rank'!$J$140,"0.0%")</f>
        <v>0.0%</v>
      </c>
      <c r="P43" s="12">
        <f t="shared" si="1"/>
        <v>0</v>
      </c>
      <c r="Q43"/>
      <c r="R43"/>
    </row>
    <row r="44" spans="1:18" ht="15" customHeight="1" x14ac:dyDescent="0.35">
      <c r="C44"/>
      <c r="D44" s="9" t="str">
        <f>IFERROR('Demo Rank'!$B$141,"")</f>
        <v/>
      </c>
      <c r="E44" s="10" t="str">
        <f>IFERROR('Demo Rank'!$C$141,"")</f>
        <v/>
      </c>
      <c r="F44" s="11" t="str">
        <f>IFERROR('Demo Rank'!$D$141,"0.0%")</f>
        <v>0.0%</v>
      </c>
      <c r="G44" s="10" t="str">
        <f>IFERROR('Demo Rank'!$E$141,"")</f>
        <v/>
      </c>
      <c r="H44" s="12" t="str">
        <f>IFERROR('Demo Rank'!$F$141,"0.0%")</f>
        <v>0.0%</v>
      </c>
      <c r="I44" s="12">
        <f t="shared" si="0"/>
        <v>0</v>
      </c>
      <c r="K44" s="9" t="str">
        <f>IFERROR('Demo Rank'!$B$141,"")</f>
        <v/>
      </c>
      <c r="L44" s="10" t="str">
        <f>IFERROR('Demo Rank'!$G$141,"")</f>
        <v/>
      </c>
      <c r="M44" s="11" t="str">
        <f>IFERROR('Demo Rank'!$H$141,"0.0%")</f>
        <v>0.0%</v>
      </c>
      <c r="N44" s="10" t="str">
        <f>IFERROR('Demo Rank'!$I$141,"")</f>
        <v/>
      </c>
      <c r="O44" s="12" t="str">
        <f>IFERROR('Demo Rank'!$J$141,"0.0%")</f>
        <v>0.0%</v>
      </c>
      <c r="P44" s="12">
        <f t="shared" si="1"/>
        <v>0</v>
      </c>
      <c r="Q44"/>
      <c r="R44"/>
    </row>
    <row r="45" spans="1:18" ht="15" customHeight="1" x14ac:dyDescent="0.35">
      <c r="C45"/>
      <c r="D45" s="9" t="str">
        <f>IFERROR('Demo Rank'!$B$142,"")</f>
        <v/>
      </c>
      <c r="E45" s="10" t="str">
        <f>IFERROR('Demo Rank'!$C$142,"")</f>
        <v/>
      </c>
      <c r="F45" s="11" t="str">
        <f>IFERROR('Demo Rank'!$D$142,"0.0%")</f>
        <v>0.0%</v>
      </c>
      <c r="G45" s="10" t="str">
        <f>IFERROR('Demo Rank'!$E$142,"")</f>
        <v/>
      </c>
      <c r="H45" s="12" t="str">
        <f>IFERROR('Demo Rank'!$F$142,"0.0%")</f>
        <v>0.0%</v>
      </c>
      <c r="I45" s="12">
        <f t="shared" si="0"/>
        <v>0</v>
      </c>
      <c r="K45" s="9" t="str">
        <f>IFERROR('Demo Rank'!$B$142,"")</f>
        <v/>
      </c>
      <c r="L45" s="10" t="str">
        <f>IFERROR('Demo Rank'!$G$142,"")</f>
        <v/>
      </c>
      <c r="M45" s="11" t="str">
        <f>IFERROR('Demo Rank'!$H$142,"0.0%")</f>
        <v>0.0%</v>
      </c>
      <c r="N45" s="10" t="str">
        <f>IFERROR('Demo Rank'!$I$142,"")</f>
        <v/>
      </c>
      <c r="O45" s="12" t="str">
        <f>IFERROR('Demo Rank'!$J$142,"0.0%")</f>
        <v>0.0%</v>
      </c>
      <c r="P45" s="12">
        <f t="shared" si="1"/>
        <v>0</v>
      </c>
      <c r="Q45"/>
      <c r="R45"/>
    </row>
    <row r="46" spans="1:18" ht="15" customHeight="1" x14ac:dyDescent="0.35">
      <c r="C46"/>
      <c r="D46" s="9" t="str">
        <f>IFERROR('Demo Rank'!$B$143,"")</f>
        <v/>
      </c>
      <c r="E46" s="10" t="str">
        <f>IFERROR('Demo Rank'!$C$143,"")</f>
        <v/>
      </c>
      <c r="F46" s="11" t="str">
        <f>IFERROR('Demo Rank'!$D$143,"0.0%")</f>
        <v>0.0%</v>
      </c>
      <c r="G46" s="10" t="str">
        <f>IFERROR('Demo Rank'!$E$143,"")</f>
        <v/>
      </c>
      <c r="H46" s="12" t="str">
        <f>IFERROR('Demo Rank'!$F$143,"0.0%")</f>
        <v>0.0%</v>
      </c>
      <c r="I46" s="12">
        <f t="shared" si="0"/>
        <v>0</v>
      </c>
      <c r="K46" s="9" t="str">
        <f>IFERROR('Demo Rank'!$B$143,"")</f>
        <v/>
      </c>
      <c r="L46" s="10" t="str">
        <f>IFERROR('Demo Rank'!$G$143,"")</f>
        <v/>
      </c>
      <c r="M46" s="11" t="str">
        <f>IFERROR('Demo Rank'!$H$143,"0.0%")</f>
        <v>0.0%</v>
      </c>
      <c r="N46" s="10" t="str">
        <f>IFERROR('Demo Rank'!$I$143,"")</f>
        <v/>
      </c>
      <c r="O46" s="12" t="str">
        <f>IFERROR('Demo Rank'!$J$143,"0.0%")</f>
        <v>0.0%</v>
      </c>
      <c r="P46" s="12">
        <f t="shared" si="1"/>
        <v>0</v>
      </c>
      <c r="Q46"/>
      <c r="R46"/>
    </row>
    <row r="47" spans="1:18" ht="15" customHeight="1" x14ac:dyDescent="0.35">
      <c r="C47"/>
      <c r="D47" s="9" t="str">
        <f>IFERROR('Demo Rank'!$B$144,"")</f>
        <v/>
      </c>
      <c r="E47" s="10" t="str">
        <f>IFERROR('Demo Rank'!$C$144,"")</f>
        <v/>
      </c>
      <c r="F47" s="11" t="str">
        <f>IFERROR('Demo Rank'!$D$144,"0.0%")</f>
        <v>0.0%</v>
      </c>
      <c r="G47" s="10" t="str">
        <f>IFERROR('Demo Rank'!$E$144,"")</f>
        <v/>
      </c>
      <c r="H47" s="12" t="str">
        <f>IFERROR('Demo Rank'!$F$144,"0.0%")</f>
        <v>0.0%</v>
      </c>
      <c r="I47" s="12">
        <f t="shared" si="0"/>
        <v>0</v>
      </c>
      <c r="K47" s="9" t="str">
        <f>IFERROR('Demo Rank'!$B$144,"")</f>
        <v/>
      </c>
      <c r="L47" s="10" t="str">
        <f>IFERROR('Demo Rank'!$G$144,"")</f>
        <v/>
      </c>
      <c r="M47" s="11" t="str">
        <f>IFERROR('Demo Rank'!$H$144,"0.0%")</f>
        <v>0.0%</v>
      </c>
      <c r="N47" s="10" t="str">
        <f>IFERROR('Demo Rank'!$I$144,"")</f>
        <v/>
      </c>
      <c r="O47" s="12" t="str">
        <f>IFERROR('Demo Rank'!$J$144,"0.0%")</f>
        <v>0.0%</v>
      </c>
      <c r="P47" s="12">
        <f t="shared" si="1"/>
        <v>0</v>
      </c>
      <c r="Q47"/>
      <c r="R47"/>
    </row>
    <row r="48" spans="1:18" ht="15" customHeight="1" x14ac:dyDescent="0.35">
      <c r="C48"/>
      <c r="D48" s="9" t="str">
        <f>IFERROR('Demo Rank'!$B$145,"")</f>
        <v/>
      </c>
      <c r="E48" s="10" t="str">
        <f>IFERROR('Demo Rank'!$C$145,"")</f>
        <v/>
      </c>
      <c r="F48" s="11" t="str">
        <f>IFERROR('Demo Rank'!$D$145,"0.0%")</f>
        <v>0.0%</v>
      </c>
      <c r="G48" s="10" t="str">
        <f>IFERROR('Demo Rank'!$E$145,"")</f>
        <v/>
      </c>
      <c r="H48" s="12" t="str">
        <f>IFERROR('Demo Rank'!$F$145,"0.0%")</f>
        <v>0.0%</v>
      </c>
      <c r="I48" s="12">
        <f t="shared" si="0"/>
        <v>0</v>
      </c>
      <c r="K48" s="9" t="str">
        <f>IFERROR('Demo Rank'!$B$145,"")</f>
        <v/>
      </c>
      <c r="L48" s="10" t="str">
        <f>IFERROR('Demo Rank'!$G$145,"")</f>
        <v/>
      </c>
      <c r="M48" s="11" t="str">
        <f>IFERROR('Demo Rank'!$H$145,"0.0%")</f>
        <v>0.0%</v>
      </c>
      <c r="N48" s="10" t="str">
        <f>IFERROR('Demo Rank'!$I$145,"")</f>
        <v/>
      </c>
      <c r="O48" s="12" t="str">
        <f>IFERROR('Demo Rank'!$J$145,"0.0%")</f>
        <v>0.0%</v>
      </c>
      <c r="P48" s="12">
        <f t="shared" si="1"/>
        <v>0</v>
      </c>
      <c r="Q48"/>
      <c r="R48"/>
    </row>
    <row r="49" spans="3:19" ht="15" customHeight="1" x14ac:dyDescent="0.35">
      <c r="C49"/>
      <c r="D49" s="9" t="str">
        <f>IFERROR('Demo Rank'!$B$146,"")</f>
        <v/>
      </c>
      <c r="E49" s="10" t="str">
        <f>IFERROR('Demo Rank'!$C$146,"")</f>
        <v/>
      </c>
      <c r="F49" s="11" t="str">
        <f>IFERROR('Demo Rank'!$D$146,"0.0%")</f>
        <v>0.0%</v>
      </c>
      <c r="G49" s="10" t="str">
        <f>IFERROR('Demo Rank'!$E$146,"")</f>
        <v/>
      </c>
      <c r="H49" s="12" t="str">
        <f>IFERROR('Demo Rank'!$F$146,"0.0%")</f>
        <v>0.0%</v>
      </c>
      <c r="I49" s="12">
        <f t="shared" si="0"/>
        <v>0</v>
      </c>
      <c r="K49" s="9" t="str">
        <f>IFERROR('Demo Rank'!$B$146,"")</f>
        <v/>
      </c>
      <c r="L49" s="10" t="str">
        <f>IFERROR('Demo Rank'!$G$146,"")</f>
        <v/>
      </c>
      <c r="M49" s="11" t="str">
        <f>IFERROR('Demo Rank'!$H$146,"0.0%")</f>
        <v>0.0%</v>
      </c>
      <c r="N49" s="10" t="str">
        <f>IFERROR('Demo Rank'!$I$146,"")</f>
        <v/>
      </c>
      <c r="O49" s="12" t="str">
        <f>IFERROR('Demo Rank'!$J$146,"0.0%")</f>
        <v>0.0%</v>
      </c>
      <c r="P49" s="12">
        <f t="shared" si="1"/>
        <v>0</v>
      </c>
      <c r="Q49"/>
      <c r="R49"/>
    </row>
    <row r="50" spans="3:19" ht="15" customHeight="1" x14ac:dyDescent="0.35">
      <c r="C50"/>
      <c r="D50" s="9" t="str">
        <f>IFERROR('Demo Rank'!$B$147,"")</f>
        <v/>
      </c>
      <c r="E50" s="10" t="str">
        <f>IFERROR('Demo Rank'!$C$147,"")</f>
        <v/>
      </c>
      <c r="F50" s="11" t="str">
        <f>IFERROR('Demo Rank'!$D$147,"0.0%")</f>
        <v>0.0%</v>
      </c>
      <c r="G50" s="10" t="str">
        <f>IFERROR('Demo Rank'!$E$147,"")</f>
        <v/>
      </c>
      <c r="H50" s="12" t="str">
        <f>IFERROR('Demo Rank'!$F$147,"0.0%")</f>
        <v>0.0%</v>
      </c>
      <c r="I50" s="12">
        <f t="shared" si="0"/>
        <v>0</v>
      </c>
      <c r="K50" s="9" t="str">
        <f>IFERROR('Demo Rank'!$B$147,"")</f>
        <v/>
      </c>
      <c r="L50" s="10" t="str">
        <f>IFERROR('Demo Rank'!$G$147,"")</f>
        <v/>
      </c>
      <c r="M50" s="11" t="str">
        <f>IFERROR('Demo Rank'!$H$147,"0.0%")</f>
        <v>0.0%</v>
      </c>
      <c r="N50" s="10" t="str">
        <f>IFERROR('Demo Rank'!$I$147,"")</f>
        <v/>
      </c>
      <c r="O50" s="12" t="str">
        <f>IFERROR('Demo Rank'!$J$147,"0.0%")</f>
        <v>0.0%</v>
      </c>
      <c r="P50" s="12">
        <f t="shared" si="1"/>
        <v>0</v>
      </c>
      <c r="Q50"/>
      <c r="R50"/>
    </row>
    <row r="51" spans="3:19" ht="15" customHeight="1" x14ac:dyDescent="0.35">
      <c r="C51"/>
      <c r="D51" s="22" t="str">
        <f>IFERROR('Demo Rank'!$B$148,"")</f>
        <v/>
      </c>
      <c r="E51" s="13" t="str">
        <f>IFERROR('Demo Rank'!$C$148,"")</f>
        <v/>
      </c>
      <c r="F51" s="24" t="str">
        <f>IFERROR('Demo Rank'!$D$148,"0.0%")</f>
        <v>0.0%</v>
      </c>
      <c r="G51" s="13" t="str">
        <f>IFERROR('Demo Rank'!$E$148,"")</f>
        <v/>
      </c>
      <c r="H51" s="640" t="str">
        <f>IFERROR('Demo Rank'!$F$148,"0.0%")</f>
        <v>0.0%</v>
      </c>
      <c r="I51" s="101">
        <f t="shared" si="0"/>
        <v>0</v>
      </c>
      <c r="K51" s="22" t="str">
        <f>IFERROR('Demo Rank'!$B$148,"")</f>
        <v/>
      </c>
      <c r="L51" s="13" t="str">
        <f>IFERROR('Demo Rank'!$G$148,"")</f>
        <v/>
      </c>
      <c r="M51" s="24" t="str">
        <f>IFERROR('Demo Rank'!$H$148,"0.0%")</f>
        <v>0.0%</v>
      </c>
      <c r="N51" s="13" t="str">
        <f>IFERROR('Demo Rank'!$I$148,"")</f>
        <v/>
      </c>
      <c r="O51" s="640" t="str">
        <f>IFERROR('Demo Rank'!$J$148,"0.0%")</f>
        <v>0.0%</v>
      </c>
      <c r="P51" s="101">
        <f t="shared" si="1"/>
        <v>0</v>
      </c>
      <c r="Q51"/>
      <c r="R51"/>
    </row>
    <row r="52" spans="3:19" ht="15" customHeight="1" x14ac:dyDescent="0.35">
      <c r="C52"/>
      <c r="D52"/>
      <c r="E52"/>
      <c r="F52"/>
      <c r="G52"/>
      <c r="H52"/>
      <c r="I52" s="48" t="s">
        <v>382</v>
      </c>
      <c r="J52"/>
      <c r="K52"/>
      <c r="L52"/>
      <c r="M52"/>
      <c r="N52"/>
      <c r="O52"/>
      <c r="P52" s="48" t="s">
        <v>382</v>
      </c>
      <c r="Q52"/>
      <c r="R52"/>
      <c r="S52"/>
    </row>
    <row r="53" spans="3:19" ht="15" customHeight="1" x14ac:dyDescent="0.35">
      <c r="C53"/>
      <c r="D53"/>
      <c r="E53"/>
      <c r="F53"/>
      <c r="G53"/>
      <c r="H53"/>
      <c r="I53" s="48"/>
      <c r="J53"/>
      <c r="K53"/>
      <c r="L53"/>
      <c r="M53"/>
      <c r="N53"/>
      <c r="O53"/>
      <c r="P53" s="48"/>
      <c r="Q53"/>
      <c r="R53"/>
      <c r="S53"/>
    </row>
    <row r="54" spans="3:19" ht="15" customHeight="1" x14ac:dyDescent="0.35">
      <c r="C54"/>
      <c r="D54"/>
      <c r="E54"/>
      <c r="F54"/>
      <c r="G54"/>
      <c r="H54"/>
      <c r="I54" s="48"/>
      <c r="J54"/>
      <c r="K54"/>
      <c r="L54"/>
      <c r="M54"/>
      <c r="N54"/>
      <c r="O54"/>
      <c r="P54" s="48"/>
      <c r="Q54"/>
      <c r="R54"/>
      <c r="S54"/>
    </row>
    <row r="55" spans="3:19" ht="25" customHeight="1" x14ac:dyDescent="0.35">
      <c r="C55"/>
      <c r="D55" s="655" t="s">
        <v>764</v>
      </c>
      <c r="E55" s="655"/>
      <c r="F55" s="655"/>
      <c r="G55" s="655"/>
      <c r="H55" s="655"/>
      <c r="I55" s="655"/>
      <c r="J55" s="655"/>
      <c r="K55" s="655"/>
      <c r="L55" s="655"/>
      <c r="M55" s="655"/>
      <c r="N55" s="655"/>
      <c r="O55" s="655"/>
      <c r="P55" s="655"/>
      <c r="Q55"/>
      <c r="R55"/>
      <c r="S55"/>
    </row>
    <row r="56" spans="3:19" ht="15" customHeight="1" x14ac:dyDescent="0.35">
      <c r="C56"/>
      <c r="D56"/>
      <c r="E56"/>
      <c r="F56"/>
      <c r="G56"/>
      <c r="H56"/>
      <c r="I56" s="48"/>
      <c r="J56"/>
      <c r="K56"/>
      <c r="L56"/>
      <c r="M56"/>
      <c r="N56"/>
      <c r="O56"/>
      <c r="P56" s="48"/>
      <c r="Q56"/>
      <c r="R56"/>
      <c r="S56"/>
    </row>
    <row r="57" spans="3:19" x14ac:dyDescent="0.35">
      <c r="N57"/>
      <c r="O57"/>
      <c r="P57"/>
      <c r="Q57"/>
    </row>
    <row r="58" spans="3:19" x14ac:dyDescent="0.35">
      <c r="N58"/>
      <c r="O58"/>
      <c r="P58"/>
      <c r="Q58"/>
    </row>
    <row r="59" spans="3:19" x14ac:dyDescent="0.35">
      <c r="N59"/>
      <c r="O59"/>
      <c r="P59"/>
      <c r="Q59"/>
    </row>
    <row r="60" spans="3:19" x14ac:dyDescent="0.35">
      <c r="N60"/>
      <c r="O60"/>
      <c r="P60"/>
      <c r="Q60"/>
    </row>
    <row r="61" spans="3:19" x14ac:dyDescent="0.35">
      <c r="N61"/>
      <c r="O61"/>
      <c r="P61"/>
      <c r="Q61"/>
    </row>
    <row r="62" spans="3:19" x14ac:dyDescent="0.35">
      <c r="N62"/>
      <c r="O62"/>
      <c r="P62"/>
      <c r="Q62"/>
    </row>
    <row r="63" spans="3:19" x14ac:dyDescent="0.35">
      <c r="N63"/>
      <c r="O63"/>
      <c r="P63"/>
      <c r="Q63"/>
    </row>
    <row r="64" spans="3:19" ht="15.5" x14ac:dyDescent="0.35">
      <c r="J64" s="56"/>
      <c r="K64" s="626"/>
      <c r="L64" s="52"/>
      <c r="M64" s="626"/>
      <c r="N64" s="52"/>
      <c r="O64" s="626"/>
      <c r="P64" s="52"/>
    </row>
    <row r="65" spans="1:21" ht="15.5" x14ac:dyDescent="0.35">
      <c r="J65" s="56"/>
      <c r="K65" s="626"/>
      <c r="L65" s="52"/>
      <c r="M65" s="626"/>
      <c r="N65" s="52"/>
      <c r="O65" s="626"/>
      <c r="P65" s="52"/>
    </row>
    <row r="66" spans="1:21" ht="15.5" x14ac:dyDescent="0.35">
      <c r="I66"/>
      <c r="J66"/>
      <c r="K66"/>
      <c r="L66"/>
      <c r="M66"/>
      <c r="N66"/>
      <c r="O66"/>
      <c r="P66" s="52"/>
    </row>
    <row r="67" spans="1:21" ht="15.5" x14ac:dyDescent="0.35">
      <c r="I67"/>
      <c r="J67"/>
      <c r="K67"/>
      <c r="L67"/>
      <c r="M67"/>
      <c r="N67"/>
      <c r="O67"/>
      <c r="P67" s="52"/>
    </row>
    <row r="68" spans="1:21" ht="15.5" x14ac:dyDescent="0.35">
      <c r="I68"/>
      <c r="J68"/>
      <c r="K68"/>
      <c r="L68"/>
      <c r="M68"/>
      <c r="N68"/>
      <c r="O68"/>
      <c r="P68" s="52"/>
    </row>
    <row r="69" spans="1:21" ht="15.5" x14ac:dyDescent="0.35">
      <c r="I69"/>
      <c r="J69"/>
      <c r="K69"/>
      <c r="L69"/>
      <c r="M69"/>
      <c r="N69"/>
      <c r="O69"/>
      <c r="P69" s="52"/>
    </row>
    <row r="70" spans="1:21" ht="15.5" x14ac:dyDescent="0.35">
      <c r="I70"/>
      <c r="J70"/>
      <c r="K70"/>
      <c r="L70"/>
      <c r="M70"/>
      <c r="N70"/>
      <c r="O70"/>
      <c r="P70" s="52"/>
    </row>
    <row r="71" spans="1:21" ht="15.5" x14ac:dyDescent="0.35">
      <c r="I71"/>
      <c r="J71"/>
      <c r="K71"/>
      <c r="L71"/>
      <c r="M71"/>
      <c r="N71"/>
      <c r="O71"/>
      <c r="P71" s="52"/>
    </row>
    <row r="72" spans="1:21" ht="15.5" x14ac:dyDescent="0.35">
      <c r="I72"/>
      <c r="J72"/>
      <c r="K72"/>
      <c r="L72"/>
      <c r="M72"/>
      <c r="N72"/>
      <c r="O72"/>
      <c r="P72" s="52"/>
    </row>
    <row r="73" spans="1:21" ht="15.5" x14ac:dyDescent="0.35">
      <c r="I73"/>
      <c r="J73"/>
      <c r="K73"/>
      <c r="L73"/>
      <c r="M73"/>
      <c r="N73"/>
      <c r="O73"/>
      <c r="P73" s="52"/>
    </row>
    <row r="74" spans="1:21" ht="15.5" x14ac:dyDescent="0.35">
      <c r="I74"/>
      <c r="J74"/>
      <c r="K74"/>
      <c r="L74"/>
      <c r="M74"/>
      <c r="N74"/>
      <c r="O74"/>
      <c r="P74" s="52"/>
    </row>
    <row r="75" spans="1:21" ht="15.5" x14ac:dyDescent="0.35">
      <c r="I75"/>
      <c r="J75"/>
      <c r="K75"/>
      <c r="L75"/>
      <c r="M75"/>
      <c r="N75"/>
      <c r="O75"/>
      <c r="P75" s="52"/>
    </row>
    <row r="76" spans="1:21" x14ac:dyDescent="0.35">
      <c r="I76"/>
      <c r="J76"/>
      <c r="K76"/>
      <c r="L76"/>
      <c r="M76"/>
      <c r="N76"/>
      <c r="O76"/>
      <c r="P76" s="48"/>
    </row>
    <row r="77" spans="1:21" x14ac:dyDescent="0.35">
      <c r="I77" s="48" t="s">
        <v>382</v>
      </c>
      <c r="J77"/>
      <c r="K77"/>
      <c r="L77"/>
      <c r="M77"/>
      <c r="N77"/>
      <c r="O77"/>
      <c r="P77" s="48" t="s">
        <v>382</v>
      </c>
    </row>
    <row r="78" spans="1:21" ht="32.15" customHeight="1" x14ac:dyDescent="0.35">
      <c r="D78" s="438" t="s">
        <v>768</v>
      </c>
      <c r="E78" s="656"/>
      <c r="F78" s="656"/>
      <c r="G78" s="656"/>
      <c r="H78" s="656"/>
      <c r="I78" s="657"/>
      <c r="J78" s="75"/>
      <c r="K78" s="438" t="s">
        <v>769</v>
      </c>
      <c r="L78" s="656"/>
      <c r="M78" s="656"/>
      <c r="N78" s="656"/>
      <c r="O78" s="656"/>
      <c r="P78" s="657"/>
    </row>
    <row r="79" spans="1:21" ht="32.15" customHeight="1" x14ac:dyDescent="0.35">
      <c r="B79" s="638"/>
      <c r="C79" s="641"/>
      <c r="D79" s="651" t="s">
        <v>768</v>
      </c>
      <c r="E79" s="652" t="str">
        <f>Data!$A$71 &amp; CHAR(10) &amp;" Denials"</f>
        <v xml:space="preserve">
 Denials</v>
      </c>
      <c r="F79" s="653"/>
      <c r="G79" s="652" t="str">
        <f>Data!$A$71&amp; CHAR(10) &amp;" Recipients"</f>
        <v xml:space="preserve">
 Recipients</v>
      </c>
      <c r="H79" s="653"/>
      <c r="I79" s="654" t="s">
        <v>762</v>
      </c>
      <c r="J79" s="638"/>
      <c r="K79" s="651" t="s">
        <v>769</v>
      </c>
      <c r="L79" s="652" t="str">
        <f>LEFT(Data!$A$62,9) &amp; CHAR(10) &amp; " Denials"</f>
        <v>Statewide
 Denials</v>
      </c>
      <c r="M79" s="653"/>
      <c r="N79" s="652" t="str">
        <f>LEFT(Data!$A$62,9)&amp; CHAR(10) &amp; " Recipients"</f>
        <v>Statewide
 Recipients</v>
      </c>
      <c r="O79" s="653"/>
      <c r="P79" s="654" t="s">
        <v>762</v>
      </c>
      <c r="Q79" s="639"/>
      <c r="R79" s="639"/>
      <c r="S79" s="638"/>
      <c r="T79" s="638"/>
      <c r="U79" s="638"/>
    </row>
    <row r="80" spans="1:21" ht="15.5" x14ac:dyDescent="0.35">
      <c r="A80" s="638"/>
      <c r="D80" s="9" t="str">
        <f>IFERROR('Demo Rank'!$B157,"")</f>
        <v/>
      </c>
      <c r="E80" s="10" t="str">
        <f>IFERROR('Demo Rank'!$C157,"")</f>
        <v/>
      </c>
      <c r="F80" s="11" t="str">
        <f>IFERROR('Demo Rank'!$D157,"0.0%")</f>
        <v>0.0%</v>
      </c>
      <c r="G80" s="10" t="str">
        <f>IFERROR('Demo Rank'!$E157,"")</f>
        <v/>
      </c>
      <c r="H80" s="12" t="str">
        <f>IFERROR('Demo Rank'!$F157,"0.0%")</f>
        <v>0.0%</v>
      </c>
      <c r="I80" s="12">
        <f t="shared" ref="I80:I98" si="2">IFERROR(F80-H80,"&lt;11")</f>
        <v>0</v>
      </c>
      <c r="K80" s="9" t="str">
        <f>IFERROR('Demo Rank'!$B157,"")</f>
        <v/>
      </c>
      <c r="L80" s="10" t="str">
        <f>IFERROR('Demo Rank'!$G157,"")</f>
        <v/>
      </c>
      <c r="M80" s="11" t="str">
        <f>IFERROR('Demo Rank'!$H157,"0.0%")</f>
        <v>0.0%</v>
      </c>
      <c r="N80" s="10" t="str">
        <f>IFERROR('Demo Rank'!$I157,"")</f>
        <v/>
      </c>
      <c r="O80" s="12" t="str">
        <f>IFERROR('Demo Rank'!$J157,"0.0%")</f>
        <v>0.0%</v>
      </c>
      <c r="P80" s="12">
        <f t="shared" ref="P80:P98" si="3">IFERROR(M80-O80,"&lt;11")</f>
        <v>0</v>
      </c>
    </row>
    <row r="81" spans="4:16" ht="15.5" x14ac:dyDescent="0.35">
      <c r="D81" s="9" t="str">
        <f>IFERROR('Demo Rank'!$B158,"")</f>
        <v/>
      </c>
      <c r="E81" s="10" t="str">
        <f>IFERROR('Demo Rank'!$C158,"")</f>
        <v/>
      </c>
      <c r="F81" s="11" t="str">
        <f>IFERROR('Demo Rank'!$D158,"0.0%")</f>
        <v>0.0%</v>
      </c>
      <c r="G81" s="10" t="str">
        <f>IFERROR('Demo Rank'!$E158,"")</f>
        <v/>
      </c>
      <c r="H81" s="12" t="str">
        <f>IFERROR('Demo Rank'!$F158,"0.0%")</f>
        <v>0.0%</v>
      </c>
      <c r="I81" s="12">
        <f t="shared" si="2"/>
        <v>0</v>
      </c>
      <c r="K81" s="9" t="str">
        <f>IFERROR('Demo Rank'!$B158,"")</f>
        <v/>
      </c>
      <c r="L81" s="10" t="str">
        <f>IFERROR('Demo Rank'!$G158,"")</f>
        <v/>
      </c>
      <c r="M81" s="11" t="str">
        <f>IFERROR('Demo Rank'!$H158,"0.0%")</f>
        <v>0.0%</v>
      </c>
      <c r="N81" s="10" t="str">
        <f>IFERROR('Demo Rank'!$I158,"")</f>
        <v/>
      </c>
      <c r="O81" s="637" t="str">
        <f>IFERROR('Demo Rank'!$J158,"0.0%")</f>
        <v>0.0%</v>
      </c>
      <c r="P81" s="12">
        <f t="shared" si="3"/>
        <v>0</v>
      </c>
    </row>
    <row r="82" spans="4:16" ht="15.5" x14ac:dyDescent="0.35">
      <c r="D82" s="9" t="str">
        <f>IFERROR('Demo Rank'!$B159,"")</f>
        <v/>
      </c>
      <c r="E82" s="10" t="str">
        <f>IFERROR('Demo Rank'!$C159,"")</f>
        <v/>
      </c>
      <c r="F82" s="11" t="str">
        <f>IFERROR('Demo Rank'!$D159,"0.0%")</f>
        <v>0.0%</v>
      </c>
      <c r="G82" s="10" t="str">
        <f>IFERROR('Demo Rank'!$E159,"")</f>
        <v/>
      </c>
      <c r="H82" s="12" t="str">
        <f>IFERROR('Demo Rank'!$F159,"0.0%")</f>
        <v>0.0%</v>
      </c>
      <c r="I82" s="12">
        <f t="shared" si="2"/>
        <v>0</v>
      </c>
      <c r="K82" s="9" t="str">
        <f>IFERROR('Demo Rank'!$B159,"")</f>
        <v/>
      </c>
      <c r="L82" s="10" t="str">
        <f>IFERROR('Demo Rank'!$G159,"")</f>
        <v/>
      </c>
      <c r="M82" s="11" t="str">
        <f>IFERROR('Demo Rank'!$H159,"0.0%")</f>
        <v>0.0%</v>
      </c>
      <c r="N82" s="10" t="str">
        <f>IFERROR('Demo Rank'!$I159,"")</f>
        <v/>
      </c>
      <c r="O82" s="12" t="str">
        <f>IFERROR('Demo Rank'!$J159,"0.0%")</f>
        <v>0.0%</v>
      </c>
      <c r="P82" s="12">
        <f t="shared" si="3"/>
        <v>0</v>
      </c>
    </row>
    <row r="83" spans="4:16" ht="15.5" x14ac:dyDescent="0.35">
      <c r="D83" s="9" t="str">
        <f>IFERROR('Demo Rank'!$B160,"")</f>
        <v/>
      </c>
      <c r="E83" s="10" t="str">
        <f>IFERROR('Demo Rank'!$C160,"")</f>
        <v/>
      </c>
      <c r="F83" s="11" t="str">
        <f>IFERROR('Demo Rank'!$D160,"0.0%")</f>
        <v>0.0%</v>
      </c>
      <c r="G83" s="10" t="str">
        <f>IFERROR('Demo Rank'!$E160,"")</f>
        <v/>
      </c>
      <c r="H83" s="12" t="str">
        <f>IFERROR('Demo Rank'!$F160,"0.0%")</f>
        <v>0.0%</v>
      </c>
      <c r="I83" s="12">
        <f t="shared" si="2"/>
        <v>0</v>
      </c>
      <c r="K83" s="9" t="str">
        <f>IFERROR('Demo Rank'!$B160,"")</f>
        <v/>
      </c>
      <c r="L83" s="10" t="str">
        <f>IFERROR('Demo Rank'!$G160,"")</f>
        <v/>
      </c>
      <c r="M83" s="11" t="str">
        <f>IFERROR('Demo Rank'!$H160,"0.0%")</f>
        <v>0.0%</v>
      </c>
      <c r="N83" s="10" t="str">
        <f>IFERROR('Demo Rank'!$I160,"")</f>
        <v/>
      </c>
      <c r="O83" s="12" t="str">
        <f>IFERROR('Demo Rank'!$J160,"0.0%")</f>
        <v>0.0%</v>
      </c>
      <c r="P83" s="12">
        <f t="shared" si="3"/>
        <v>0</v>
      </c>
    </row>
    <row r="84" spans="4:16" ht="15.5" x14ac:dyDescent="0.35">
      <c r="D84" s="9" t="str">
        <f>IFERROR('Demo Rank'!$B161,"")</f>
        <v/>
      </c>
      <c r="E84" s="10" t="str">
        <f>IFERROR('Demo Rank'!$C161,"")</f>
        <v/>
      </c>
      <c r="F84" s="11" t="str">
        <f>IFERROR('Demo Rank'!$D161,"0.0%")</f>
        <v>0.0%</v>
      </c>
      <c r="G84" s="10" t="str">
        <f>IFERROR('Demo Rank'!$E161,"")</f>
        <v/>
      </c>
      <c r="H84" s="12" t="str">
        <f>IFERROR('Demo Rank'!$F161,"0.0%")</f>
        <v>0.0%</v>
      </c>
      <c r="I84" s="12">
        <f t="shared" si="2"/>
        <v>0</v>
      </c>
      <c r="K84" s="9" t="str">
        <f>IFERROR('Demo Rank'!$B161,"")</f>
        <v/>
      </c>
      <c r="L84" s="10" t="str">
        <f>IFERROR('Demo Rank'!$G161,"")</f>
        <v/>
      </c>
      <c r="M84" s="11" t="str">
        <f>IFERROR('Demo Rank'!$H161,"0.0%")</f>
        <v>0.0%</v>
      </c>
      <c r="N84" s="10" t="str">
        <f>IFERROR('Demo Rank'!$I161,"")</f>
        <v/>
      </c>
      <c r="O84" s="12" t="str">
        <f>IFERROR('Demo Rank'!$J161,"0.0%")</f>
        <v>0.0%</v>
      </c>
      <c r="P84" s="12">
        <f t="shared" si="3"/>
        <v>0</v>
      </c>
    </row>
    <row r="85" spans="4:16" ht="15.5" x14ac:dyDescent="0.35">
      <c r="D85" s="9" t="str">
        <f>IFERROR('Demo Rank'!$B162,"")</f>
        <v/>
      </c>
      <c r="E85" s="10" t="str">
        <f>IFERROR('Demo Rank'!$C162,"")</f>
        <v/>
      </c>
      <c r="F85" s="11" t="str">
        <f>IFERROR('Demo Rank'!$D162,"0.0%")</f>
        <v>0.0%</v>
      </c>
      <c r="G85" s="10" t="str">
        <f>IFERROR('Demo Rank'!$E162,"")</f>
        <v/>
      </c>
      <c r="H85" s="12" t="str">
        <f>IFERROR('Demo Rank'!$F162,"0.0%")</f>
        <v>0.0%</v>
      </c>
      <c r="I85" s="12">
        <f t="shared" si="2"/>
        <v>0</v>
      </c>
      <c r="K85" s="9" t="str">
        <f>IFERROR('Demo Rank'!$B162,"")</f>
        <v/>
      </c>
      <c r="L85" s="10" t="str">
        <f>IFERROR('Demo Rank'!$G162,"")</f>
        <v/>
      </c>
      <c r="M85" s="11" t="str">
        <f>IFERROR('Demo Rank'!$H162,"0.0%")</f>
        <v>0.0%</v>
      </c>
      <c r="N85" s="10" t="str">
        <f>IFERROR('Demo Rank'!$I162,"")</f>
        <v/>
      </c>
      <c r="O85" s="12" t="str">
        <f>IFERROR('Demo Rank'!$J162,"0.0%")</f>
        <v>0.0%</v>
      </c>
      <c r="P85" s="12">
        <f t="shared" si="3"/>
        <v>0</v>
      </c>
    </row>
    <row r="86" spans="4:16" ht="15.5" x14ac:dyDescent="0.35">
      <c r="D86" s="9" t="str">
        <f>IFERROR('Demo Rank'!$B163,"")</f>
        <v/>
      </c>
      <c r="E86" s="10" t="str">
        <f>IFERROR('Demo Rank'!$C163,"")</f>
        <v/>
      </c>
      <c r="F86" s="11" t="str">
        <f>IFERROR('Demo Rank'!$D163,"0.0%")</f>
        <v>0.0%</v>
      </c>
      <c r="G86" s="10" t="str">
        <f>IFERROR('Demo Rank'!$E163,"")</f>
        <v/>
      </c>
      <c r="H86" s="12" t="str">
        <f>IFERROR('Demo Rank'!$F163,"0.0%")</f>
        <v>0.0%</v>
      </c>
      <c r="I86" s="12">
        <f t="shared" si="2"/>
        <v>0</v>
      </c>
      <c r="K86" s="9" t="str">
        <f>IFERROR('Demo Rank'!$B163,"")</f>
        <v/>
      </c>
      <c r="L86" s="10" t="str">
        <f>IFERROR('Demo Rank'!$G163,"")</f>
        <v/>
      </c>
      <c r="M86" s="11" t="str">
        <f>IFERROR('Demo Rank'!$H163,"0.0%")</f>
        <v>0.0%</v>
      </c>
      <c r="N86" s="10" t="str">
        <f>IFERROR('Demo Rank'!$I163,"")</f>
        <v/>
      </c>
      <c r="O86" s="12" t="str">
        <f>IFERROR('Demo Rank'!$J163,"0.0%")</f>
        <v>0.0%</v>
      </c>
      <c r="P86" s="12">
        <f t="shared" si="3"/>
        <v>0</v>
      </c>
    </row>
    <row r="87" spans="4:16" ht="15.5" x14ac:dyDescent="0.35">
      <c r="D87" s="9" t="str">
        <f>IFERROR('Demo Rank'!$B164,"")</f>
        <v/>
      </c>
      <c r="E87" s="10" t="str">
        <f>IFERROR('Demo Rank'!$C164,"")</f>
        <v/>
      </c>
      <c r="F87" s="11" t="str">
        <f>IFERROR('Demo Rank'!$D164,"0.0%")</f>
        <v>0.0%</v>
      </c>
      <c r="G87" s="10" t="str">
        <f>IFERROR('Demo Rank'!$E164,"")</f>
        <v/>
      </c>
      <c r="H87" s="12" t="str">
        <f>IFERROR('Demo Rank'!$F164,"0.0%")</f>
        <v>0.0%</v>
      </c>
      <c r="I87" s="12">
        <f t="shared" si="2"/>
        <v>0</v>
      </c>
      <c r="K87" s="9" t="str">
        <f>IFERROR('Demo Rank'!$B164,"")</f>
        <v/>
      </c>
      <c r="L87" s="10" t="str">
        <f>IFERROR('Demo Rank'!$G164,"")</f>
        <v/>
      </c>
      <c r="M87" s="11" t="str">
        <f>IFERROR('Demo Rank'!$H164,"0.0%")</f>
        <v>0.0%</v>
      </c>
      <c r="N87" s="10" t="str">
        <f>IFERROR('Demo Rank'!$I164,"")</f>
        <v/>
      </c>
      <c r="O87" s="12" t="str">
        <f>IFERROR('Demo Rank'!$J164,"0.0%")</f>
        <v>0.0%</v>
      </c>
      <c r="P87" s="12">
        <f t="shared" si="3"/>
        <v>0</v>
      </c>
    </row>
    <row r="88" spans="4:16" ht="15.5" x14ac:dyDescent="0.35">
      <c r="D88" s="9" t="str">
        <f>IFERROR('Demo Rank'!$B165,"")</f>
        <v/>
      </c>
      <c r="E88" s="10" t="str">
        <f>IFERROR('Demo Rank'!$C165,"")</f>
        <v/>
      </c>
      <c r="F88" s="11" t="str">
        <f>IFERROR('Demo Rank'!$D165,"0.0%")</f>
        <v>0.0%</v>
      </c>
      <c r="G88" s="10" t="str">
        <f>IFERROR('Demo Rank'!$E165,"")</f>
        <v/>
      </c>
      <c r="H88" s="12" t="str">
        <f>IFERROR('Demo Rank'!$F165,"0.0%")</f>
        <v>0.0%</v>
      </c>
      <c r="I88" s="12">
        <f t="shared" si="2"/>
        <v>0</v>
      </c>
      <c r="K88" s="9" t="str">
        <f>IFERROR('Demo Rank'!$B165,"")</f>
        <v/>
      </c>
      <c r="L88" s="10" t="str">
        <f>IFERROR('Demo Rank'!$G165,"")</f>
        <v/>
      </c>
      <c r="M88" s="11" t="str">
        <f>IFERROR('Demo Rank'!$H165,"0.0%")</f>
        <v>0.0%</v>
      </c>
      <c r="N88" s="10" t="str">
        <f>IFERROR('Demo Rank'!$I165,"")</f>
        <v/>
      </c>
      <c r="O88" s="12" t="str">
        <f>IFERROR('Demo Rank'!$J165,"0.0%")</f>
        <v>0.0%</v>
      </c>
      <c r="P88" s="12">
        <f t="shared" si="3"/>
        <v>0</v>
      </c>
    </row>
    <row r="89" spans="4:16" ht="15.5" x14ac:dyDescent="0.35">
      <c r="D89" s="9" t="str">
        <f>IFERROR('Demo Rank'!$B166,"")</f>
        <v/>
      </c>
      <c r="E89" s="10" t="str">
        <f>IFERROR('Demo Rank'!$C166,"")</f>
        <v/>
      </c>
      <c r="F89" s="11" t="str">
        <f>IFERROR('Demo Rank'!$D166,"0.0%")</f>
        <v>0.0%</v>
      </c>
      <c r="G89" s="10" t="str">
        <f>IFERROR('Demo Rank'!$E166,"")</f>
        <v/>
      </c>
      <c r="H89" s="12" t="str">
        <f>IFERROR('Demo Rank'!$F166,"0.0%")</f>
        <v>0.0%</v>
      </c>
      <c r="I89" s="12">
        <f t="shared" si="2"/>
        <v>0</v>
      </c>
      <c r="K89" s="9" t="str">
        <f>IFERROR('Demo Rank'!$B166,"")</f>
        <v/>
      </c>
      <c r="L89" s="10" t="str">
        <f>IFERROR('Demo Rank'!$G166,"")</f>
        <v/>
      </c>
      <c r="M89" s="11" t="str">
        <f>IFERROR('Demo Rank'!$H166,"0.0%")</f>
        <v>0.0%</v>
      </c>
      <c r="N89" s="10" t="str">
        <f>IFERROR('Demo Rank'!$I166,"")</f>
        <v/>
      </c>
      <c r="O89" s="12" t="str">
        <f>IFERROR('Demo Rank'!$J166,"0.0%")</f>
        <v>0.0%</v>
      </c>
      <c r="P89" s="12">
        <f t="shared" si="3"/>
        <v>0</v>
      </c>
    </row>
    <row r="90" spans="4:16" ht="15.5" x14ac:dyDescent="0.35">
      <c r="D90" s="9" t="str">
        <f>IFERROR('Demo Rank'!$B167,"")</f>
        <v/>
      </c>
      <c r="E90" s="10" t="str">
        <f>IFERROR('Demo Rank'!$C167,"")</f>
        <v/>
      </c>
      <c r="F90" s="11" t="str">
        <f>IFERROR('Demo Rank'!$D167,"0.0%")</f>
        <v>0.0%</v>
      </c>
      <c r="G90" s="10" t="str">
        <f>IFERROR('Demo Rank'!$E167,"")</f>
        <v/>
      </c>
      <c r="H90" s="12" t="str">
        <f>IFERROR('Demo Rank'!$F167,"0.0%")</f>
        <v>0.0%</v>
      </c>
      <c r="I90" s="12">
        <f t="shared" si="2"/>
        <v>0</v>
      </c>
      <c r="K90" s="9" t="str">
        <f>IFERROR('Demo Rank'!$B167,"")</f>
        <v/>
      </c>
      <c r="L90" s="10" t="str">
        <f>IFERROR('Demo Rank'!$G167,"")</f>
        <v/>
      </c>
      <c r="M90" s="11" t="str">
        <f>IFERROR('Demo Rank'!$H167,"0.0%")</f>
        <v>0.0%</v>
      </c>
      <c r="N90" s="10" t="str">
        <f>IFERROR('Demo Rank'!$I167,"")</f>
        <v/>
      </c>
      <c r="O90" s="12" t="str">
        <f>IFERROR('Demo Rank'!$J167,"0.0%")</f>
        <v>0.0%</v>
      </c>
      <c r="P90" s="12">
        <f t="shared" si="3"/>
        <v>0</v>
      </c>
    </row>
    <row r="91" spans="4:16" ht="15.5" x14ac:dyDescent="0.35">
      <c r="D91" s="9" t="str">
        <f>IFERROR('Demo Rank'!$B168,"")</f>
        <v/>
      </c>
      <c r="E91" s="10" t="str">
        <f>IFERROR('Demo Rank'!$C168,"")</f>
        <v/>
      </c>
      <c r="F91" s="11" t="str">
        <f>IFERROR('Demo Rank'!$D168,"0.0%")</f>
        <v>0.0%</v>
      </c>
      <c r="G91" s="10" t="str">
        <f>IFERROR('Demo Rank'!$E168,"")</f>
        <v/>
      </c>
      <c r="H91" s="12" t="str">
        <f>IFERROR('Demo Rank'!$F168,"0.0%")</f>
        <v>0.0%</v>
      </c>
      <c r="I91" s="12">
        <f t="shared" si="2"/>
        <v>0</v>
      </c>
      <c r="K91" s="9" t="str">
        <f>IFERROR('Demo Rank'!$B168,"")</f>
        <v/>
      </c>
      <c r="L91" s="10" t="str">
        <f>IFERROR('Demo Rank'!$G168,"")</f>
        <v/>
      </c>
      <c r="M91" s="11" t="str">
        <f>IFERROR('Demo Rank'!$H168,"0.0%")</f>
        <v>0.0%</v>
      </c>
      <c r="N91" s="10" t="str">
        <f>IFERROR('Demo Rank'!$I168,"")</f>
        <v/>
      </c>
      <c r="O91" s="12" t="str">
        <f>IFERROR('Demo Rank'!$J168,"0.0%")</f>
        <v>0.0%</v>
      </c>
      <c r="P91" s="12">
        <f t="shared" si="3"/>
        <v>0</v>
      </c>
    </row>
    <row r="92" spans="4:16" ht="15.5" x14ac:dyDescent="0.35">
      <c r="D92" s="9" t="str">
        <f>IFERROR('Demo Rank'!$B169,"")</f>
        <v/>
      </c>
      <c r="E92" s="10" t="str">
        <f>IFERROR('Demo Rank'!$C169,"")</f>
        <v/>
      </c>
      <c r="F92" s="11" t="str">
        <f>IFERROR('Demo Rank'!$D169,"0.0%")</f>
        <v>0.0%</v>
      </c>
      <c r="G92" s="10" t="str">
        <f>IFERROR('Demo Rank'!$E169,"")</f>
        <v/>
      </c>
      <c r="H92" s="12" t="str">
        <f>IFERROR('Demo Rank'!$F169,"0.0%")</f>
        <v>0.0%</v>
      </c>
      <c r="I92" s="12">
        <f t="shared" si="2"/>
        <v>0</v>
      </c>
      <c r="K92" s="9" t="str">
        <f>IFERROR('Demo Rank'!$B169,"")</f>
        <v/>
      </c>
      <c r="L92" s="10" t="str">
        <f>IFERROR('Demo Rank'!$G169,"")</f>
        <v/>
      </c>
      <c r="M92" s="11" t="str">
        <f>IFERROR('Demo Rank'!$H169,"0.0%")</f>
        <v>0.0%</v>
      </c>
      <c r="N92" s="10" t="str">
        <f>IFERROR('Demo Rank'!$I169,"")</f>
        <v/>
      </c>
      <c r="O92" s="12" t="str">
        <f>IFERROR('Demo Rank'!$J169,"0.0%")</f>
        <v>0.0%</v>
      </c>
      <c r="P92" s="12">
        <f t="shared" si="3"/>
        <v>0</v>
      </c>
    </row>
    <row r="93" spans="4:16" ht="15.5" x14ac:dyDescent="0.35">
      <c r="D93" s="9" t="str">
        <f>IFERROR('Demo Rank'!$B170,"")</f>
        <v/>
      </c>
      <c r="E93" s="10" t="str">
        <f>IFERROR('Demo Rank'!$C170,"")</f>
        <v/>
      </c>
      <c r="F93" s="11" t="str">
        <f>IFERROR('Demo Rank'!$D170,"0.0%")</f>
        <v>0.0%</v>
      </c>
      <c r="G93" s="10" t="str">
        <f>IFERROR('Demo Rank'!$E170,"")</f>
        <v/>
      </c>
      <c r="H93" s="12" t="str">
        <f>IFERROR('Demo Rank'!$F170,"0.0%")</f>
        <v>0.0%</v>
      </c>
      <c r="I93" s="12">
        <f t="shared" si="2"/>
        <v>0</v>
      </c>
      <c r="K93" s="9" t="str">
        <f>IFERROR('Demo Rank'!$B170,"")</f>
        <v/>
      </c>
      <c r="L93" s="10" t="str">
        <f>IFERROR('Demo Rank'!$G170,"")</f>
        <v/>
      </c>
      <c r="M93" s="11" t="str">
        <f>IFERROR('Demo Rank'!$H170,"0.0%")</f>
        <v>0.0%</v>
      </c>
      <c r="N93" s="10" t="str">
        <f>IFERROR('Demo Rank'!$I170,"")</f>
        <v/>
      </c>
      <c r="O93" s="12" t="str">
        <f>IFERROR('Demo Rank'!$J170,"0.0%")</f>
        <v>0.0%</v>
      </c>
      <c r="P93" s="12">
        <f t="shared" si="3"/>
        <v>0</v>
      </c>
    </row>
    <row r="94" spans="4:16" ht="15.5" x14ac:dyDescent="0.35">
      <c r="D94" s="9" t="str">
        <f>IFERROR('Demo Rank'!$B171,"")</f>
        <v/>
      </c>
      <c r="E94" s="10" t="str">
        <f>IFERROR('Demo Rank'!$C171,"")</f>
        <v/>
      </c>
      <c r="F94" s="11" t="str">
        <f>IFERROR('Demo Rank'!$D171,"0.0%")</f>
        <v>0.0%</v>
      </c>
      <c r="G94" s="10" t="str">
        <f>IFERROR('Demo Rank'!$E171,"")</f>
        <v/>
      </c>
      <c r="H94" s="12" t="str">
        <f>IFERROR('Demo Rank'!$F171,"0.0%")</f>
        <v>0.0%</v>
      </c>
      <c r="I94" s="12">
        <f t="shared" si="2"/>
        <v>0</v>
      </c>
      <c r="K94" s="9" t="str">
        <f>IFERROR('Demo Rank'!$B171,"")</f>
        <v/>
      </c>
      <c r="L94" s="10" t="str">
        <f>IFERROR('Demo Rank'!$G171,"")</f>
        <v/>
      </c>
      <c r="M94" s="11" t="str">
        <f>IFERROR('Demo Rank'!$H171,"0.0%")</f>
        <v>0.0%</v>
      </c>
      <c r="N94" s="10" t="str">
        <f>IFERROR('Demo Rank'!$I171,"")</f>
        <v/>
      </c>
      <c r="O94" s="12" t="str">
        <f>IFERROR('Demo Rank'!$J171,"0.0%")</f>
        <v>0.0%</v>
      </c>
      <c r="P94" s="12">
        <f t="shared" si="3"/>
        <v>0</v>
      </c>
    </row>
    <row r="95" spans="4:16" ht="15.5" x14ac:dyDescent="0.35">
      <c r="D95" s="9" t="str">
        <f>IFERROR('Demo Rank'!$B172,"")</f>
        <v/>
      </c>
      <c r="E95" s="10" t="str">
        <f>IFERROR('Demo Rank'!$C172,"")</f>
        <v/>
      </c>
      <c r="F95" s="11" t="str">
        <f>IFERROR('Demo Rank'!$D172,"0.0%")</f>
        <v>0.0%</v>
      </c>
      <c r="G95" s="10" t="str">
        <f>IFERROR('Demo Rank'!$E172,"")</f>
        <v/>
      </c>
      <c r="H95" s="12" t="str">
        <f>IFERROR('Demo Rank'!$F172,"0.0%")</f>
        <v>0.0%</v>
      </c>
      <c r="I95" s="12">
        <f t="shared" si="2"/>
        <v>0</v>
      </c>
      <c r="K95" s="9" t="str">
        <f>IFERROR('Demo Rank'!$B172,"")</f>
        <v/>
      </c>
      <c r="L95" s="10" t="str">
        <f>IFERROR('Demo Rank'!$G172,"")</f>
        <v/>
      </c>
      <c r="M95" s="11" t="str">
        <f>IFERROR('Demo Rank'!$H172,"0.0%")</f>
        <v>0.0%</v>
      </c>
      <c r="N95" s="10" t="str">
        <f>IFERROR('Demo Rank'!$I172,"")</f>
        <v/>
      </c>
      <c r="O95" s="12" t="str">
        <f>IFERROR('Demo Rank'!$J172,"0.0%")</f>
        <v>0.0%</v>
      </c>
      <c r="P95" s="12">
        <f t="shared" si="3"/>
        <v>0</v>
      </c>
    </row>
    <row r="96" spans="4:16" ht="15.5" x14ac:dyDescent="0.35">
      <c r="D96" s="9" t="str">
        <f>IFERROR('Demo Rank'!$B173,"")</f>
        <v/>
      </c>
      <c r="E96" s="10" t="str">
        <f>IFERROR('Demo Rank'!$C173,"")</f>
        <v/>
      </c>
      <c r="F96" s="11" t="str">
        <f>IFERROR('Demo Rank'!$D173,"0.0%")</f>
        <v>0.0%</v>
      </c>
      <c r="G96" s="10" t="str">
        <f>IFERROR('Demo Rank'!$E173,"")</f>
        <v/>
      </c>
      <c r="H96" s="12" t="str">
        <f>IFERROR('Demo Rank'!$F173,"0.0%")</f>
        <v>0.0%</v>
      </c>
      <c r="I96" s="12">
        <f t="shared" si="2"/>
        <v>0</v>
      </c>
      <c r="K96" s="9" t="str">
        <f>IFERROR('Demo Rank'!$B173,"")</f>
        <v/>
      </c>
      <c r="L96" s="10" t="str">
        <f>IFERROR('Demo Rank'!$G173,"")</f>
        <v/>
      </c>
      <c r="M96" s="11" t="str">
        <f>IFERROR('Demo Rank'!$H173,"0.0%")</f>
        <v>0.0%</v>
      </c>
      <c r="N96" s="10" t="str">
        <f>IFERROR('Demo Rank'!$I173,"")</f>
        <v/>
      </c>
      <c r="O96" s="12" t="str">
        <f>IFERROR('Demo Rank'!$J173,"0.0%")</f>
        <v>0.0%</v>
      </c>
      <c r="P96" s="12">
        <f t="shared" si="3"/>
        <v>0</v>
      </c>
    </row>
    <row r="97" spans="4:16" ht="15.5" x14ac:dyDescent="0.35">
      <c r="D97" s="9" t="str">
        <f>IFERROR('Demo Rank'!$B174,"")</f>
        <v/>
      </c>
      <c r="E97" s="10" t="str">
        <f>IFERROR('Demo Rank'!$C174,"")</f>
        <v/>
      </c>
      <c r="F97" s="11" t="str">
        <f>IFERROR('Demo Rank'!$D174,"0.0%")</f>
        <v>0.0%</v>
      </c>
      <c r="G97" s="10" t="str">
        <f>IFERROR('Demo Rank'!$E174,"")</f>
        <v/>
      </c>
      <c r="H97" s="12" t="str">
        <f>IFERROR('Demo Rank'!$F174,"0.0%")</f>
        <v>0.0%</v>
      </c>
      <c r="I97" s="12">
        <f t="shared" si="2"/>
        <v>0</v>
      </c>
      <c r="K97" s="9" t="str">
        <f>IFERROR('Demo Rank'!$B174,"")</f>
        <v/>
      </c>
      <c r="L97" s="10" t="str">
        <f>IFERROR('Demo Rank'!$G174,"")</f>
        <v/>
      </c>
      <c r="M97" s="11" t="str">
        <f>IFERROR('Demo Rank'!$H174,"0.0%")</f>
        <v>0.0%</v>
      </c>
      <c r="N97" s="10" t="str">
        <f>IFERROR('Demo Rank'!$I174,"")</f>
        <v/>
      </c>
      <c r="O97" s="12" t="str">
        <f>IFERROR('Demo Rank'!$J174,"0.0%")</f>
        <v>0.0%</v>
      </c>
      <c r="P97" s="12">
        <f t="shared" si="3"/>
        <v>0</v>
      </c>
    </row>
    <row r="98" spans="4:16" ht="15.5" x14ac:dyDescent="0.35">
      <c r="D98" s="22" t="str">
        <f>IFERROR('Demo Rank'!$B175,"")</f>
        <v/>
      </c>
      <c r="E98" s="13" t="str">
        <f>IFERROR('Demo Rank'!$C175,"")</f>
        <v/>
      </c>
      <c r="F98" s="24" t="str">
        <f>IFERROR('Demo Rank'!$D175,"0.0%")</f>
        <v>0.0%</v>
      </c>
      <c r="G98" s="13" t="str">
        <f>IFERROR('Demo Rank'!$E175,"")</f>
        <v/>
      </c>
      <c r="H98" s="640" t="str">
        <f>IFERROR('Demo Rank'!$F175,"0.0%")</f>
        <v>0.0%</v>
      </c>
      <c r="I98" s="101">
        <f t="shared" si="2"/>
        <v>0</v>
      </c>
      <c r="K98" s="22" t="str">
        <f>IFERROR('Demo Rank'!$B175,"")</f>
        <v/>
      </c>
      <c r="L98" s="13" t="str">
        <f>IFERROR('Demo Rank'!$G175,"")</f>
        <v/>
      </c>
      <c r="M98" s="24" t="str">
        <f>IFERROR('Demo Rank'!$H175,"0.0%")</f>
        <v>0.0%</v>
      </c>
      <c r="N98" s="13" t="str">
        <f>IFERROR('Demo Rank'!$I175,"")</f>
        <v/>
      </c>
      <c r="O98" s="640" t="str">
        <f>IFERROR('Demo Rank'!$J175,"0.0%")</f>
        <v>0.0%</v>
      </c>
      <c r="P98" s="101">
        <f t="shared" si="3"/>
        <v>0</v>
      </c>
    </row>
    <row r="99" spans="4:16" x14ac:dyDescent="0.35">
      <c r="I99" s="48" t="s">
        <v>382</v>
      </c>
      <c r="P99" s="48" t="s">
        <v>382</v>
      </c>
    </row>
    <row r="100" spans="4:16" x14ac:dyDescent="0.35">
      <c r="I100" s="48"/>
      <c r="P100" s="48"/>
    </row>
    <row r="101" spans="4:16" x14ac:dyDescent="0.35">
      <c r="I101" s="48"/>
      <c r="P101" s="48"/>
    </row>
    <row r="102" spans="4:16" ht="25" customHeight="1" x14ac:dyDescent="0.35">
      <c r="D102" s="655" t="s">
        <v>763</v>
      </c>
      <c r="E102" s="655"/>
      <c r="F102" s="655"/>
      <c r="G102" s="655"/>
      <c r="H102" s="655"/>
      <c r="I102" s="655"/>
      <c r="J102" s="655"/>
      <c r="K102" s="655"/>
      <c r="L102" s="655"/>
      <c r="M102" s="655"/>
      <c r="N102" s="655"/>
      <c r="O102" s="655"/>
      <c r="P102" s="655"/>
    </row>
    <row r="103" spans="4:16" x14ac:dyDescent="0.35">
      <c r="I103" s="48"/>
      <c r="P103" s="48"/>
    </row>
    <row r="104" spans="4:16" x14ac:dyDescent="0.35">
      <c r="I104" s="48"/>
      <c r="P104" s="48"/>
    </row>
    <row r="105" spans="4:16" x14ac:dyDescent="0.35"/>
    <row r="106" spans="4:16" x14ac:dyDescent="0.35"/>
    <row r="107" spans="4:16" x14ac:dyDescent="0.35"/>
    <row r="108" spans="4:16" x14ac:dyDescent="0.35"/>
    <row r="109" spans="4:16" x14ac:dyDescent="0.35"/>
    <row r="110" spans="4:16" x14ac:dyDescent="0.35"/>
    <row r="111" spans="4:16" x14ac:dyDescent="0.35"/>
    <row r="112" spans="4:16" x14ac:dyDescent="0.35"/>
    <row r="113" spans="2:21" x14ac:dyDescent="0.35"/>
    <row r="114" spans="2:21" x14ac:dyDescent="0.35"/>
    <row r="115" spans="2:21" x14ac:dyDescent="0.35"/>
    <row r="116" spans="2:21" x14ac:dyDescent="0.35"/>
    <row r="117" spans="2:21" x14ac:dyDescent="0.35"/>
    <row r="118" spans="2:21" x14ac:dyDescent="0.35"/>
    <row r="119" spans="2:21" x14ac:dyDescent="0.35"/>
    <row r="120" spans="2:21" x14ac:dyDescent="0.35"/>
    <row r="121" spans="2:21" x14ac:dyDescent="0.35"/>
    <row r="122" spans="2:21" x14ac:dyDescent="0.35"/>
    <row r="123" spans="2:21" x14ac:dyDescent="0.35"/>
    <row r="124" spans="2:21" x14ac:dyDescent="0.35"/>
    <row r="125" spans="2:21" x14ac:dyDescent="0.35"/>
    <row r="126" spans="2:21" x14ac:dyDescent="0.35">
      <c r="I126" s="48"/>
    </row>
    <row r="127" spans="2:21" ht="32.15" customHeight="1" x14ac:dyDescent="0.35">
      <c r="D127" s="438" t="s">
        <v>771</v>
      </c>
      <c r="E127" s="656"/>
      <c r="F127" s="656"/>
      <c r="G127" s="656"/>
      <c r="H127" s="656"/>
      <c r="I127" s="657"/>
      <c r="J127" s="75"/>
      <c r="K127" s="438" t="s">
        <v>770</v>
      </c>
      <c r="L127" s="656"/>
      <c r="M127" s="656"/>
      <c r="N127" s="656"/>
      <c r="O127" s="656"/>
      <c r="P127" s="657"/>
    </row>
    <row r="128" spans="2:21" ht="32.15" customHeight="1" x14ac:dyDescent="0.35">
      <c r="B128" s="638"/>
      <c r="C128" s="641"/>
      <c r="D128" s="651" t="s">
        <v>771</v>
      </c>
      <c r="E128" s="652" t="str">
        <f>Data!$A$71 &amp; CHAR(10) &amp;" Authorized Hours"</f>
        <v xml:space="preserve">
 Authorized Hours</v>
      </c>
      <c r="F128" s="653"/>
      <c r="G128" s="652" t="str">
        <f>Data!$A$71&amp; CHAR(10) &amp;" Recipients"</f>
        <v xml:space="preserve">
 Recipients</v>
      </c>
      <c r="H128" s="653"/>
      <c r="I128" s="654" t="s">
        <v>762</v>
      </c>
      <c r="J128" s="638"/>
      <c r="K128" s="651" t="s">
        <v>770</v>
      </c>
      <c r="L128" s="652" t="str">
        <f>LEFT(Data!$A$62,9) &amp; CHAR(10) &amp; " Authorized Hours"</f>
        <v>Statewide
 Authorized Hours</v>
      </c>
      <c r="M128" s="653"/>
      <c r="N128" s="652" t="str">
        <f>LEFT(Data!$A$62,9)&amp; CHAR(10) &amp; " Recipients"</f>
        <v>Statewide
 Recipients</v>
      </c>
      <c r="O128" s="653"/>
      <c r="P128" s="654" t="s">
        <v>762</v>
      </c>
      <c r="Q128" s="639"/>
      <c r="R128" s="639"/>
      <c r="S128" s="638"/>
      <c r="T128" s="638"/>
      <c r="U128" s="638"/>
    </row>
    <row r="129" spans="1:16" ht="15.5" x14ac:dyDescent="0.35">
      <c r="A129" s="638"/>
      <c r="D129" s="9" t="str">
        <f>IFERROR('Demo Rank'!$B181,"")</f>
        <v/>
      </c>
      <c r="E129" s="10" t="str">
        <f>IFERROR('Demo Rank'!$C181,"")</f>
        <v/>
      </c>
      <c r="F129" s="11" t="str">
        <f>IFERROR('Demo Rank'!$D181,"0.0%")</f>
        <v>0.0%</v>
      </c>
      <c r="G129" s="10" t="str">
        <f>IFERROR('Demo Rank'!$E181,"")</f>
        <v/>
      </c>
      <c r="H129" s="12" t="str">
        <f>IFERROR('Demo Rank'!$F181,"0.0%")</f>
        <v>0.0%</v>
      </c>
      <c r="I129" s="12">
        <f t="shared" ref="I129:I147" si="4">IFERROR(F129-H129,"&lt;11")</f>
        <v>0</v>
      </c>
      <c r="K129" s="9" t="str">
        <f>IFERROR('Demo Rank'!$B181,"")</f>
        <v/>
      </c>
      <c r="L129" s="10" t="str">
        <f>IFERROR('Demo Rank'!$G181,"")</f>
        <v/>
      </c>
      <c r="M129" s="11" t="str">
        <f>IFERROR('Demo Rank'!$H181,"0.0%")</f>
        <v>0.0%</v>
      </c>
      <c r="N129" s="10" t="str">
        <f>IFERROR('Demo Rank'!$I181,"")</f>
        <v/>
      </c>
      <c r="O129" s="12" t="str">
        <f>IFERROR('Demo Rank'!$J181,"0.0%")</f>
        <v>0.0%</v>
      </c>
      <c r="P129" s="12">
        <f t="shared" ref="P129:P147" si="5">IFERROR(M129-O129,"&lt;11")</f>
        <v>0</v>
      </c>
    </row>
    <row r="130" spans="1:16" ht="15.5" x14ac:dyDescent="0.35">
      <c r="D130" s="9" t="str">
        <f>IFERROR('Demo Rank'!$B182,"")</f>
        <v/>
      </c>
      <c r="E130" s="10" t="str">
        <f>IFERROR('Demo Rank'!$C182,"")</f>
        <v/>
      </c>
      <c r="F130" s="11" t="str">
        <f>IFERROR('Demo Rank'!$D182,"0.0%")</f>
        <v>0.0%</v>
      </c>
      <c r="G130" s="10" t="str">
        <f>IFERROR('Demo Rank'!$E182,"")</f>
        <v/>
      </c>
      <c r="H130" s="12" t="str">
        <f>IFERROR('Demo Rank'!$F182,"0.0%")</f>
        <v>0.0%</v>
      </c>
      <c r="I130" s="12">
        <f t="shared" si="4"/>
        <v>0</v>
      </c>
      <c r="K130" s="9" t="str">
        <f>IFERROR('Demo Rank'!$B182,"")</f>
        <v/>
      </c>
      <c r="L130" s="10" t="str">
        <f>IFERROR('Demo Rank'!$G182,"")</f>
        <v/>
      </c>
      <c r="M130" s="11" t="str">
        <f>IFERROR('Demo Rank'!$H182,"0.0%")</f>
        <v>0.0%</v>
      </c>
      <c r="N130" s="10" t="str">
        <f>IFERROR('Demo Rank'!$I182,"")</f>
        <v/>
      </c>
      <c r="O130" s="637" t="str">
        <f>IFERROR('Demo Rank'!$J182,"0.0%")</f>
        <v>0.0%</v>
      </c>
      <c r="P130" s="12">
        <f t="shared" si="5"/>
        <v>0</v>
      </c>
    </row>
    <row r="131" spans="1:16" ht="15.5" x14ac:dyDescent="0.35">
      <c r="D131" s="9" t="str">
        <f>IFERROR('Demo Rank'!$B183,"")</f>
        <v/>
      </c>
      <c r="E131" s="10" t="str">
        <f>IFERROR('Demo Rank'!$C183,"")</f>
        <v/>
      </c>
      <c r="F131" s="11" t="str">
        <f>IFERROR('Demo Rank'!$D183,"0.0%")</f>
        <v>0.0%</v>
      </c>
      <c r="G131" s="10" t="str">
        <f>IFERROR('Demo Rank'!$E183,"")</f>
        <v/>
      </c>
      <c r="H131" s="12" t="str">
        <f>IFERROR('Demo Rank'!$F183,"0.0%")</f>
        <v>0.0%</v>
      </c>
      <c r="I131" s="12">
        <f t="shared" si="4"/>
        <v>0</v>
      </c>
      <c r="K131" s="9" t="str">
        <f>IFERROR('Demo Rank'!$B183,"")</f>
        <v/>
      </c>
      <c r="L131" s="10" t="str">
        <f>IFERROR('Demo Rank'!$G183,"")</f>
        <v/>
      </c>
      <c r="M131" s="11" t="str">
        <f>IFERROR('Demo Rank'!$H183,"0.0%")</f>
        <v>0.0%</v>
      </c>
      <c r="N131" s="10" t="str">
        <f>IFERROR('Demo Rank'!$I183,"")</f>
        <v/>
      </c>
      <c r="O131" s="12" t="str">
        <f>IFERROR('Demo Rank'!$J183,"0.0%")</f>
        <v>0.0%</v>
      </c>
      <c r="P131" s="12">
        <f t="shared" si="5"/>
        <v>0</v>
      </c>
    </row>
    <row r="132" spans="1:16" ht="15.5" x14ac:dyDescent="0.35">
      <c r="D132" s="9" t="str">
        <f>IFERROR('Demo Rank'!$B184,"")</f>
        <v/>
      </c>
      <c r="E132" s="10" t="str">
        <f>IFERROR('Demo Rank'!$C184,"")</f>
        <v/>
      </c>
      <c r="F132" s="11" t="str">
        <f>IFERROR('Demo Rank'!$D184,"0.0%")</f>
        <v>0.0%</v>
      </c>
      <c r="G132" s="10" t="str">
        <f>IFERROR('Demo Rank'!$E184,"")</f>
        <v/>
      </c>
      <c r="H132" s="12" t="str">
        <f>IFERROR('Demo Rank'!$F184,"0.0%")</f>
        <v>0.0%</v>
      </c>
      <c r="I132" s="12">
        <f t="shared" si="4"/>
        <v>0</v>
      </c>
      <c r="K132" s="9" t="str">
        <f>IFERROR('Demo Rank'!$B184,"")</f>
        <v/>
      </c>
      <c r="L132" s="10" t="str">
        <f>IFERROR('Demo Rank'!$G184,"")</f>
        <v/>
      </c>
      <c r="M132" s="11" t="str">
        <f>IFERROR('Demo Rank'!$H184,"0.0%")</f>
        <v>0.0%</v>
      </c>
      <c r="N132" s="10" t="str">
        <f>IFERROR('Demo Rank'!$I184,"")</f>
        <v/>
      </c>
      <c r="O132" s="12" t="str">
        <f>IFERROR('Demo Rank'!$J184,"0.0%")</f>
        <v>0.0%</v>
      </c>
      <c r="P132" s="12">
        <f t="shared" si="5"/>
        <v>0</v>
      </c>
    </row>
    <row r="133" spans="1:16" ht="15.5" x14ac:dyDescent="0.35">
      <c r="D133" s="9" t="str">
        <f>IFERROR('Demo Rank'!$B185,"")</f>
        <v/>
      </c>
      <c r="E133" s="10" t="str">
        <f>IFERROR('Demo Rank'!$C185,"")</f>
        <v/>
      </c>
      <c r="F133" s="11" t="str">
        <f>IFERROR('Demo Rank'!$D185,"0.0%")</f>
        <v>0.0%</v>
      </c>
      <c r="G133" s="10" t="str">
        <f>IFERROR('Demo Rank'!$E185,"")</f>
        <v/>
      </c>
      <c r="H133" s="12" t="str">
        <f>IFERROR('Demo Rank'!$F185,"0.0%")</f>
        <v>0.0%</v>
      </c>
      <c r="I133" s="12">
        <f t="shared" si="4"/>
        <v>0</v>
      </c>
      <c r="K133" s="9" t="str">
        <f>IFERROR('Demo Rank'!$B185,"")</f>
        <v/>
      </c>
      <c r="L133" s="10" t="str">
        <f>IFERROR('Demo Rank'!$G185,"")</f>
        <v/>
      </c>
      <c r="M133" s="11" t="str">
        <f>IFERROR('Demo Rank'!$H185,"0.0%")</f>
        <v>0.0%</v>
      </c>
      <c r="N133" s="10" t="str">
        <f>IFERROR('Demo Rank'!$I185,"")</f>
        <v/>
      </c>
      <c r="O133" s="12" t="str">
        <f>IFERROR('Demo Rank'!$J185,"0.0%")</f>
        <v>0.0%</v>
      </c>
      <c r="P133" s="12">
        <f t="shared" si="5"/>
        <v>0</v>
      </c>
    </row>
    <row r="134" spans="1:16" ht="15.5" x14ac:dyDescent="0.35">
      <c r="D134" s="9" t="str">
        <f>IFERROR('Demo Rank'!$B186,"")</f>
        <v/>
      </c>
      <c r="E134" s="10" t="str">
        <f>IFERROR('Demo Rank'!$C186,"")</f>
        <v/>
      </c>
      <c r="F134" s="11" t="str">
        <f>IFERROR('Demo Rank'!$D186,"0.0%")</f>
        <v>0.0%</v>
      </c>
      <c r="G134" s="10" t="str">
        <f>IFERROR('Demo Rank'!$E186,"")</f>
        <v/>
      </c>
      <c r="H134" s="12" t="str">
        <f>IFERROR('Demo Rank'!$F186,"0.0%")</f>
        <v>0.0%</v>
      </c>
      <c r="I134" s="12">
        <f t="shared" si="4"/>
        <v>0</v>
      </c>
      <c r="K134" s="9" t="str">
        <f>IFERROR('Demo Rank'!$B186,"")</f>
        <v/>
      </c>
      <c r="L134" s="10" t="str">
        <f>IFERROR('Demo Rank'!$G186,"")</f>
        <v/>
      </c>
      <c r="M134" s="11" t="str">
        <f>IFERROR('Demo Rank'!$H186,"0.0%")</f>
        <v>0.0%</v>
      </c>
      <c r="N134" s="10" t="str">
        <f>IFERROR('Demo Rank'!$I186,"")</f>
        <v/>
      </c>
      <c r="O134" s="12" t="str">
        <f>IFERROR('Demo Rank'!$J186,"0.0%")</f>
        <v>0.0%</v>
      </c>
      <c r="P134" s="12">
        <f t="shared" si="5"/>
        <v>0</v>
      </c>
    </row>
    <row r="135" spans="1:16" ht="15.5" x14ac:dyDescent="0.35">
      <c r="D135" s="9" t="str">
        <f>IFERROR('Demo Rank'!$B187,"")</f>
        <v/>
      </c>
      <c r="E135" s="10" t="str">
        <f>IFERROR('Demo Rank'!$C187,"")</f>
        <v/>
      </c>
      <c r="F135" s="11" t="str">
        <f>IFERROR('Demo Rank'!$D187,"0.0%")</f>
        <v>0.0%</v>
      </c>
      <c r="G135" s="10" t="str">
        <f>IFERROR('Demo Rank'!$E187,"")</f>
        <v/>
      </c>
      <c r="H135" s="12" t="str">
        <f>IFERROR('Demo Rank'!$F187,"0.0%")</f>
        <v>0.0%</v>
      </c>
      <c r="I135" s="12">
        <f t="shared" si="4"/>
        <v>0</v>
      </c>
      <c r="K135" s="9" t="str">
        <f>IFERROR('Demo Rank'!$B187,"")</f>
        <v/>
      </c>
      <c r="L135" s="10" t="str">
        <f>IFERROR('Demo Rank'!$G187,"")</f>
        <v/>
      </c>
      <c r="M135" s="11" t="str">
        <f>IFERROR('Demo Rank'!$H187,"0.0%")</f>
        <v>0.0%</v>
      </c>
      <c r="N135" s="10" t="str">
        <f>IFERROR('Demo Rank'!$I187,"")</f>
        <v/>
      </c>
      <c r="O135" s="12" t="str">
        <f>IFERROR('Demo Rank'!$J187,"0.0%")</f>
        <v>0.0%</v>
      </c>
      <c r="P135" s="12">
        <f t="shared" si="5"/>
        <v>0</v>
      </c>
    </row>
    <row r="136" spans="1:16" ht="15.5" x14ac:dyDescent="0.35">
      <c r="D136" s="9" t="str">
        <f>IFERROR('Demo Rank'!$B188,"")</f>
        <v/>
      </c>
      <c r="E136" s="10" t="str">
        <f>IFERROR('Demo Rank'!$C188,"")</f>
        <v/>
      </c>
      <c r="F136" s="11" t="str">
        <f>IFERROR('Demo Rank'!$D188,"0.0%")</f>
        <v>0.0%</v>
      </c>
      <c r="G136" s="10" t="str">
        <f>IFERROR('Demo Rank'!$E188,"")</f>
        <v/>
      </c>
      <c r="H136" s="12" t="str">
        <f>IFERROR('Demo Rank'!$F188,"0.0%")</f>
        <v>0.0%</v>
      </c>
      <c r="I136" s="12">
        <f t="shared" si="4"/>
        <v>0</v>
      </c>
      <c r="K136" s="9" t="str">
        <f>IFERROR('Demo Rank'!$B188,"")</f>
        <v/>
      </c>
      <c r="L136" s="10" t="str">
        <f>IFERROR('Demo Rank'!$G188,"")</f>
        <v/>
      </c>
      <c r="M136" s="11" t="str">
        <f>IFERROR('Demo Rank'!$H188,"0.0%")</f>
        <v>0.0%</v>
      </c>
      <c r="N136" s="10" t="str">
        <f>IFERROR('Demo Rank'!$I188,"")</f>
        <v/>
      </c>
      <c r="O136" s="12" t="str">
        <f>IFERROR('Demo Rank'!$J188,"0.0%")</f>
        <v>0.0%</v>
      </c>
      <c r="P136" s="12">
        <f t="shared" si="5"/>
        <v>0</v>
      </c>
    </row>
    <row r="137" spans="1:16" ht="15.5" x14ac:dyDescent="0.35">
      <c r="D137" s="9" t="str">
        <f>IFERROR('Demo Rank'!$B189,"")</f>
        <v/>
      </c>
      <c r="E137" s="10" t="str">
        <f>IFERROR('Demo Rank'!$C189,"")</f>
        <v/>
      </c>
      <c r="F137" s="11" t="str">
        <f>IFERROR('Demo Rank'!$D189,"0.0%")</f>
        <v>0.0%</v>
      </c>
      <c r="G137" s="10" t="str">
        <f>IFERROR('Demo Rank'!$E189,"")</f>
        <v/>
      </c>
      <c r="H137" s="12" t="str">
        <f>IFERROR('Demo Rank'!$F189,"0.0%")</f>
        <v>0.0%</v>
      </c>
      <c r="I137" s="12">
        <f t="shared" si="4"/>
        <v>0</v>
      </c>
      <c r="K137" s="9" t="str">
        <f>IFERROR('Demo Rank'!$B189,"")</f>
        <v/>
      </c>
      <c r="L137" s="10" t="str">
        <f>IFERROR('Demo Rank'!$G189,"")</f>
        <v/>
      </c>
      <c r="M137" s="11" t="str">
        <f>IFERROR('Demo Rank'!$H189,"0.0%")</f>
        <v>0.0%</v>
      </c>
      <c r="N137" s="10" t="str">
        <f>IFERROR('Demo Rank'!$I189,"")</f>
        <v/>
      </c>
      <c r="O137" s="12" t="str">
        <f>IFERROR('Demo Rank'!$J189,"0.0%")</f>
        <v>0.0%</v>
      </c>
      <c r="P137" s="12">
        <f t="shared" si="5"/>
        <v>0</v>
      </c>
    </row>
    <row r="138" spans="1:16" ht="15.5" x14ac:dyDescent="0.35">
      <c r="D138" s="9" t="str">
        <f>IFERROR('Demo Rank'!$B190,"")</f>
        <v/>
      </c>
      <c r="E138" s="10" t="str">
        <f>IFERROR('Demo Rank'!$C190,"")</f>
        <v/>
      </c>
      <c r="F138" s="11" t="str">
        <f>IFERROR('Demo Rank'!$D190,"0.0%")</f>
        <v>0.0%</v>
      </c>
      <c r="G138" s="10" t="str">
        <f>IFERROR('Demo Rank'!$E190,"")</f>
        <v/>
      </c>
      <c r="H138" s="12" t="str">
        <f>IFERROR('Demo Rank'!$F190,"0.0%")</f>
        <v>0.0%</v>
      </c>
      <c r="I138" s="12">
        <f t="shared" si="4"/>
        <v>0</v>
      </c>
      <c r="K138" s="9" t="str">
        <f>IFERROR('Demo Rank'!$B190,"")</f>
        <v/>
      </c>
      <c r="L138" s="10" t="str">
        <f>IFERROR('Demo Rank'!$G190,"")</f>
        <v/>
      </c>
      <c r="M138" s="11" t="str">
        <f>IFERROR('Demo Rank'!$H190,"0.0%")</f>
        <v>0.0%</v>
      </c>
      <c r="N138" s="10" t="str">
        <f>IFERROR('Demo Rank'!$I190,"")</f>
        <v/>
      </c>
      <c r="O138" s="12" t="str">
        <f>IFERROR('Demo Rank'!$J190,"0.0%")</f>
        <v>0.0%</v>
      </c>
      <c r="P138" s="12">
        <f t="shared" si="5"/>
        <v>0</v>
      </c>
    </row>
    <row r="139" spans="1:16" ht="15.5" x14ac:dyDescent="0.35">
      <c r="D139" s="9" t="str">
        <f>IFERROR('Demo Rank'!$B191,"")</f>
        <v/>
      </c>
      <c r="E139" s="10" t="str">
        <f>IFERROR('Demo Rank'!$C191,"")</f>
        <v/>
      </c>
      <c r="F139" s="11" t="str">
        <f>IFERROR('Demo Rank'!$D191,"0.0%")</f>
        <v>0.0%</v>
      </c>
      <c r="G139" s="10" t="str">
        <f>IFERROR('Demo Rank'!$E191,"")</f>
        <v/>
      </c>
      <c r="H139" s="12" t="str">
        <f>IFERROR('Demo Rank'!$F191,"0.0%")</f>
        <v>0.0%</v>
      </c>
      <c r="I139" s="12">
        <f t="shared" si="4"/>
        <v>0</v>
      </c>
      <c r="K139" s="9" t="str">
        <f>IFERROR('Demo Rank'!$B191,"")</f>
        <v/>
      </c>
      <c r="L139" s="10" t="str">
        <f>IFERROR('Demo Rank'!$G191,"")</f>
        <v/>
      </c>
      <c r="M139" s="11" t="str">
        <f>IFERROR('Demo Rank'!$H191,"0.0%")</f>
        <v>0.0%</v>
      </c>
      <c r="N139" s="10" t="str">
        <f>IFERROR('Demo Rank'!$I191,"")</f>
        <v/>
      </c>
      <c r="O139" s="12" t="str">
        <f>IFERROR('Demo Rank'!$J191,"0.0%")</f>
        <v>0.0%</v>
      </c>
      <c r="P139" s="12">
        <f t="shared" si="5"/>
        <v>0</v>
      </c>
    </row>
    <row r="140" spans="1:16" ht="15.5" x14ac:dyDescent="0.35">
      <c r="D140" s="9" t="str">
        <f>IFERROR('Demo Rank'!$B192,"")</f>
        <v/>
      </c>
      <c r="E140" s="10" t="str">
        <f>IFERROR('Demo Rank'!$C192,"")</f>
        <v/>
      </c>
      <c r="F140" s="11" t="str">
        <f>IFERROR('Demo Rank'!$D192,"0.0%")</f>
        <v>0.0%</v>
      </c>
      <c r="G140" s="10" t="str">
        <f>IFERROR('Demo Rank'!$E192,"")</f>
        <v/>
      </c>
      <c r="H140" s="12" t="str">
        <f>IFERROR('Demo Rank'!$F192,"0.0%")</f>
        <v>0.0%</v>
      </c>
      <c r="I140" s="12">
        <f t="shared" si="4"/>
        <v>0</v>
      </c>
      <c r="K140" s="9" t="str">
        <f>IFERROR('Demo Rank'!$B192,"")</f>
        <v/>
      </c>
      <c r="L140" s="10" t="str">
        <f>IFERROR('Demo Rank'!$G192,"")</f>
        <v/>
      </c>
      <c r="M140" s="11" t="str">
        <f>IFERROR('Demo Rank'!$H192,"0.0%")</f>
        <v>0.0%</v>
      </c>
      <c r="N140" s="10" t="str">
        <f>IFERROR('Demo Rank'!$I192,"")</f>
        <v/>
      </c>
      <c r="O140" s="12" t="str">
        <f>IFERROR('Demo Rank'!$J192,"0.0%")</f>
        <v>0.0%</v>
      </c>
      <c r="P140" s="12">
        <f t="shared" si="5"/>
        <v>0</v>
      </c>
    </row>
    <row r="141" spans="1:16" ht="15.5" x14ac:dyDescent="0.35">
      <c r="D141" s="9" t="str">
        <f>IFERROR('Demo Rank'!$B193,"")</f>
        <v/>
      </c>
      <c r="E141" s="10" t="str">
        <f>IFERROR('Demo Rank'!$C193,"")</f>
        <v/>
      </c>
      <c r="F141" s="11" t="str">
        <f>IFERROR('Demo Rank'!$D193,"0.0%")</f>
        <v>0.0%</v>
      </c>
      <c r="G141" s="10" t="str">
        <f>IFERROR('Demo Rank'!$E193,"")</f>
        <v/>
      </c>
      <c r="H141" s="12" t="str">
        <f>IFERROR('Demo Rank'!$F193,"0.0%")</f>
        <v>0.0%</v>
      </c>
      <c r="I141" s="12">
        <f t="shared" si="4"/>
        <v>0</v>
      </c>
      <c r="K141" s="9" t="str">
        <f>IFERROR('Demo Rank'!$B193,"")</f>
        <v/>
      </c>
      <c r="L141" s="10" t="str">
        <f>IFERROR('Demo Rank'!$G193,"")</f>
        <v/>
      </c>
      <c r="M141" s="11" t="str">
        <f>IFERROR('Demo Rank'!$H193,"0.0%")</f>
        <v>0.0%</v>
      </c>
      <c r="N141" s="10" t="str">
        <f>IFERROR('Demo Rank'!$I193,"")</f>
        <v/>
      </c>
      <c r="O141" s="12" t="str">
        <f>IFERROR('Demo Rank'!$J193,"0.0%")</f>
        <v>0.0%</v>
      </c>
      <c r="P141" s="12">
        <f t="shared" si="5"/>
        <v>0</v>
      </c>
    </row>
    <row r="142" spans="1:16" ht="15.5" x14ac:dyDescent="0.35">
      <c r="D142" s="9" t="str">
        <f>IFERROR('Demo Rank'!$B194,"")</f>
        <v/>
      </c>
      <c r="E142" s="10" t="str">
        <f>IFERROR('Demo Rank'!$C194,"")</f>
        <v/>
      </c>
      <c r="F142" s="11" t="str">
        <f>IFERROR('Demo Rank'!$D194,"0.0%")</f>
        <v>0.0%</v>
      </c>
      <c r="G142" s="10" t="str">
        <f>IFERROR('Demo Rank'!$E194,"")</f>
        <v/>
      </c>
      <c r="H142" s="12" t="str">
        <f>IFERROR('Demo Rank'!$F194,"0.0%")</f>
        <v>0.0%</v>
      </c>
      <c r="I142" s="12">
        <f t="shared" si="4"/>
        <v>0</v>
      </c>
      <c r="K142" s="9" t="str">
        <f>IFERROR('Demo Rank'!$B194,"")</f>
        <v/>
      </c>
      <c r="L142" s="10" t="str">
        <f>IFERROR('Demo Rank'!$G194,"")</f>
        <v/>
      </c>
      <c r="M142" s="11" t="str">
        <f>IFERROR('Demo Rank'!$H194,"0.0%")</f>
        <v>0.0%</v>
      </c>
      <c r="N142" s="10" t="str">
        <f>IFERROR('Demo Rank'!$I194,"")</f>
        <v/>
      </c>
      <c r="O142" s="12" t="str">
        <f>IFERROR('Demo Rank'!$J194,"0.0%")</f>
        <v>0.0%</v>
      </c>
      <c r="P142" s="12">
        <f t="shared" si="5"/>
        <v>0</v>
      </c>
    </row>
    <row r="143" spans="1:16" ht="15.5" x14ac:dyDescent="0.35">
      <c r="D143" s="9" t="str">
        <f>IFERROR('Demo Rank'!$B195,"")</f>
        <v/>
      </c>
      <c r="E143" s="10" t="str">
        <f>IFERROR('Demo Rank'!$C195,"")</f>
        <v/>
      </c>
      <c r="F143" s="11" t="str">
        <f>IFERROR('Demo Rank'!$D195,"0.0%")</f>
        <v>0.0%</v>
      </c>
      <c r="G143" s="10" t="str">
        <f>IFERROR('Demo Rank'!$E195,"")</f>
        <v/>
      </c>
      <c r="H143" s="12" t="str">
        <f>IFERROR('Demo Rank'!$F195,"0.0%")</f>
        <v>0.0%</v>
      </c>
      <c r="I143" s="12">
        <f t="shared" si="4"/>
        <v>0</v>
      </c>
      <c r="K143" s="9" t="str">
        <f>IFERROR('Demo Rank'!$B195,"")</f>
        <v/>
      </c>
      <c r="L143" s="10" t="str">
        <f>IFERROR('Demo Rank'!$G195,"")</f>
        <v/>
      </c>
      <c r="M143" s="11" t="str">
        <f>IFERROR('Demo Rank'!$H195,"0.0%")</f>
        <v>0.0%</v>
      </c>
      <c r="N143" s="10" t="str">
        <f>IFERROR('Demo Rank'!$I195,"")</f>
        <v/>
      </c>
      <c r="O143" s="12" t="str">
        <f>IFERROR('Demo Rank'!$J195,"0.0%")</f>
        <v>0.0%</v>
      </c>
      <c r="P143" s="12">
        <f t="shared" si="5"/>
        <v>0</v>
      </c>
    </row>
    <row r="144" spans="1:16" ht="15.5" x14ac:dyDescent="0.35">
      <c r="D144" s="9" t="str">
        <f>IFERROR('Demo Rank'!$B196,"")</f>
        <v/>
      </c>
      <c r="E144" s="10" t="str">
        <f>IFERROR('Demo Rank'!$C196,"")</f>
        <v/>
      </c>
      <c r="F144" s="11" t="str">
        <f>IFERROR('Demo Rank'!$D196,"0.0%")</f>
        <v>0.0%</v>
      </c>
      <c r="G144" s="10" t="str">
        <f>IFERROR('Demo Rank'!$E196,"")</f>
        <v/>
      </c>
      <c r="H144" s="12" t="str">
        <f>IFERROR('Demo Rank'!$F196,"0.0%")</f>
        <v>0.0%</v>
      </c>
      <c r="I144" s="12">
        <f t="shared" si="4"/>
        <v>0</v>
      </c>
      <c r="K144" s="9" t="str">
        <f>IFERROR('Demo Rank'!$B196,"")</f>
        <v/>
      </c>
      <c r="L144" s="10" t="str">
        <f>IFERROR('Demo Rank'!$G196,"")</f>
        <v/>
      </c>
      <c r="M144" s="11" t="str">
        <f>IFERROR('Demo Rank'!$H196,"0.0%")</f>
        <v>0.0%</v>
      </c>
      <c r="N144" s="10" t="str">
        <f>IFERROR('Demo Rank'!$I196,"")</f>
        <v/>
      </c>
      <c r="O144" s="12" t="str">
        <f>IFERROR('Demo Rank'!$J196,"0.0%")</f>
        <v>0.0%</v>
      </c>
      <c r="P144" s="12">
        <f t="shared" si="5"/>
        <v>0</v>
      </c>
    </row>
    <row r="145" spans="4:16" ht="15.5" x14ac:dyDescent="0.35">
      <c r="D145" s="9" t="str">
        <f>IFERROR('Demo Rank'!$B197,"")</f>
        <v/>
      </c>
      <c r="E145" s="10" t="str">
        <f>IFERROR('Demo Rank'!$C197,"")</f>
        <v/>
      </c>
      <c r="F145" s="11" t="str">
        <f>IFERROR('Demo Rank'!$D197,"0.0%")</f>
        <v>0.0%</v>
      </c>
      <c r="G145" s="10" t="str">
        <f>IFERROR('Demo Rank'!$E197,"")</f>
        <v/>
      </c>
      <c r="H145" s="12" t="str">
        <f>IFERROR('Demo Rank'!$F197,"0.0%")</f>
        <v>0.0%</v>
      </c>
      <c r="I145" s="12">
        <f t="shared" si="4"/>
        <v>0</v>
      </c>
      <c r="K145" s="9" t="str">
        <f>IFERROR('Demo Rank'!$B197,"")</f>
        <v/>
      </c>
      <c r="L145" s="10" t="str">
        <f>IFERROR('Demo Rank'!$G197,"")</f>
        <v/>
      </c>
      <c r="M145" s="11" t="str">
        <f>IFERROR('Demo Rank'!$H197,"0.0%")</f>
        <v>0.0%</v>
      </c>
      <c r="N145" s="10" t="str">
        <f>IFERROR('Demo Rank'!$I197,"")</f>
        <v/>
      </c>
      <c r="O145" s="12" t="str">
        <f>IFERROR('Demo Rank'!$J197,"0.0%")</f>
        <v>0.0%</v>
      </c>
      <c r="P145" s="12">
        <f t="shared" si="5"/>
        <v>0</v>
      </c>
    </row>
    <row r="146" spans="4:16" ht="15.5" x14ac:dyDescent="0.35">
      <c r="D146" s="9" t="str">
        <f>IFERROR('Demo Rank'!$B198,"")</f>
        <v/>
      </c>
      <c r="E146" s="10" t="str">
        <f>IFERROR('Demo Rank'!$C198,"")</f>
        <v/>
      </c>
      <c r="F146" s="11" t="str">
        <f>IFERROR('Demo Rank'!$D198,"0.0%")</f>
        <v>0.0%</v>
      </c>
      <c r="G146" s="10" t="str">
        <f>IFERROR('Demo Rank'!$E198,"")</f>
        <v/>
      </c>
      <c r="H146" s="12" t="str">
        <f>IFERROR('Demo Rank'!$F198,"0.0%")</f>
        <v>0.0%</v>
      </c>
      <c r="I146" s="12">
        <f t="shared" si="4"/>
        <v>0</v>
      </c>
      <c r="K146" s="9" t="str">
        <f>IFERROR('Demo Rank'!$B198,"")</f>
        <v/>
      </c>
      <c r="L146" s="10" t="str">
        <f>IFERROR('Demo Rank'!$G198,"")</f>
        <v/>
      </c>
      <c r="M146" s="11" t="str">
        <f>IFERROR('Demo Rank'!$H198,"0.0%")</f>
        <v>0.0%</v>
      </c>
      <c r="N146" s="10" t="str">
        <f>IFERROR('Demo Rank'!$I198,"")</f>
        <v/>
      </c>
      <c r="O146" s="12" t="str">
        <f>IFERROR('Demo Rank'!$J198,"0.0%")</f>
        <v>0.0%</v>
      </c>
      <c r="P146" s="12">
        <f t="shared" si="5"/>
        <v>0</v>
      </c>
    </row>
    <row r="147" spans="4:16" ht="15.5" x14ac:dyDescent="0.35">
      <c r="D147" s="22" t="str">
        <f>IFERROR('Demo Rank'!$B199,"")</f>
        <v/>
      </c>
      <c r="E147" s="13" t="str">
        <f>IFERROR('Demo Rank'!$C199,"")</f>
        <v/>
      </c>
      <c r="F147" s="24" t="str">
        <f>IFERROR('Demo Rank'!$D199,"0.0%")</f>
        <v>0.0%</v>
      </c>
      <c r="G147" s="13" t="str">
        <f>IFERROR('Demo Rank'!$E199,"")</f>
        <v/>
      </c>
      <c r="H147" s="640" t="str">
        <f>IFERROR('Demo Rank'!$F199,"0.0%")</f>
        <v>0.0%</v>
      </c>
      <c r="I147" s="101">
        <f t="shared" si="4"/>
        <v>0</v>
      </c>
      <c r="K147" s="22" t="str">
        <f>IFERROR('Demo Rank'!$B199,"")</f>
        <v/>
      </c>
      <c r="L147" s="13" t="str">
        <f>IFERROR('Demo Rank'!$G199,"")</f>
        <v/>
      </c>
      <c r="M147" s="24" t="str">
        <f>IFERROR('Demo Rank'!$H199,"0.0%")</f>
        <v>0.0%</v>
      </c>
      <c r="N147" s="13" t="str">
        <f>IFERROR('Demo Rank'!$I199,"")</f>
        <v/>
      </c>
      <c r="O147" s="640" t="str">
        <f>IFERROR('Demo Rank'!$J199,"0.0%")</f>
        <v>0.0%</v>
      </c>
      <c r="P147" s="101">
        <f t="shared" si="5"/>
        <v>0</v>
      </c>
    </row>
    <row r="148" spans="4:16" x14ac:dyDescent="0.35">
      <c r="I148" s="48" t="s">
        <v>382</v>
      </c>
      <c r="P148" s="48" t="s">
        <v>382</v>
      </c>
    </row>
    <row r="149" spans="4:16" x14ac:dyDescent="0.35"/>
    <row r="150" spans="4:16" ht="25" customHeight="1" x14ac:dyDescent="0.35">
      <c r="D150" s="655" t="s">
        <v>772</v>
      </c>
      <c r="E150" s="655"/>
      <c r="F150" s="655"/>
      <c r="G150" s="655"/>
      <c r="H150" s="655"/>
      <c r="I150" s="655"/>
      <c r="J150" s="655"/>
      <c r="K150" s="655"/>
      <c r="L150" s="655"/>
      <c r="M150" s="655"/>
      <c r="N150" s="655"/>
      <c r="O150" s="655"/>
      <c r="P150" s="655"/>
    </row>
    <row r="151" spans="4:16" ht="13" customHeight="1" x14ac:dyDescent="0.35">
      <c r="D151" s="658"/>
      <c r="E151" s="658"/>
      <c r="F151" s="658"/>
      <c r="G151" s="658"/>
      <c r="H151" s="658"/>
      <c r="I151" s="658"/>
      <c r="J151" s="658"/>
      <c r="K151" s="658"/>
      <c r="L151" s="658"/>
      <c r="M151" s="658"/>
      <c r="N151" s="658"/>
      <c r="O151" s="658"/>
      <c r="P151" s="658"/>
    </row>
    <row r="152" spans="4:16" ht="12.65" customHeight="1" x14ac:dyDescent="0.35"/>
    <row r="153" spans="4:16" x14ac:dyDescent="0.35"/>
    <row r="154" spans="4:16" x14ac:dyDescent="0.35"/>
    <row r="155" spans="4:16" x14ac:dyDescent="0.35"/>
    <row r="156" spans="4:16" x14ac:dyDescent="0.35"/>
    <row r="157" spans="4:16" x14ac:dyDescent="0.35"/>
    <row r="158" spans="4:16" x14ac:dyDescent="0.35"/>
    <row r="159" spans="4:16" x14ac:dyDescent="0.35"/>
    <row r="160" spans="4:16" x14ac:dyDescent="0.35"/>
    <row r="161" spans="2:21" x14ac:dyDescent="0.35"/>
    <row r="162" spans="2:21" x14ac:dyDescent="0.35"/>
    <row r="163" spans="2:21" x14ac:dyDescent="0.35"/>
    <row r="164" spans="2:21" x14ac:dyDescent="0.35"/>
    <row r="165" spans="2:21" x14ac:dyDescent="0.35"/>
    <row r="166" spans="2:21" x14ac:dyDescent="0.35"/>
    <row r="167" spans="2:21" x14ac:dyDescent="0.35"/>
    <row r="168" spans="2:21" x14ac:dyDescent="0.35"/>
    <row r="169" spans="2:21" x14ac:dyDescent="0.35"/>
    <row r="170" spans="2:21" x14ac:dyDescent="0.35"/>
    <row r="171" spans="2:21" x14ac:dyDescent="0.35"/>
    <row r="172" spans="2:21" x14ac:dyDescent="0.35"/>
    <row r="173" spans="2:21" x14ac:dyDescent="0.35"/>
    <row r="174" spans="2:21" x14ac:dyDescent="0.35"/>
    <row r="175" spans="2:21" ht="32.15" customHeight="1" x14ac:dyDescent="0.35">
      <c r="D175" s="438" t="s">
        <v>773</v>
      </c>
      <c r="E175" s="656"/>
      <c r="F175" s="656"/>
      <c r="G175" s="656"/>
      <c r="H175" s="656"/>
      <c r="I175" s="657"/>
      <c r="J175" s="75"/>
      <c r="K175" s="438" t="s">
        <v>774</v>
      </c>
      <c r="L175" s="656"/>
      <c r="M175" s="656"/>
      <c r="N175" s="656"/>
      <c r="O175" s="656"/>
      <c r="P175" s="657"/>
    </row>
    <row r="176" spans="2:21" ht="32.15" customHeight="1" x14ac:dyDescent="0.35">
      <c r="B176" s="638"/>
      <c r="C176" s="641"/>
      <c r="D176" s="651" t="s">
        <v>773</v>
      </c>
      <c r="E176" s="652" t="str">
        <f>Data!$A$71 &amp; CHAR(10) &amp;" Protective Supervision"</f>
        <v xml:space="preserve">
 Protective Supervision</v>
      </c>
      <c r="F176" s="653"/>
      <c r="G176" s="652" t="str">
        <f>Data!$A$71&amp; CHAR(10) &amp;" Recipients"</f>
        <v xml:space="preserve">
 Recipients</v>
      </c>
      <c r="H176" s="653"/>
      <c r="I176" s="654" t="s">
        <v>762</v>
      </c>
      <c r="J176" s="638"/>
      <c r="K176" s="651" t="s">
        <v>774</v>
      </c>
      <c r="L176" s="652" t="str">
        <f>LEFT(Data!$A$62,9) &amp; CHAR(10) &amp; " Protective Supervision"</f>
        <v>Statewide
 Protective Supervision</v>
      </c>
      <c r="M176" s="653"/>
      <c r="N176" s="652" t="str">
        <f>LEFT(Data!$A$62,9)&amp; CHAR(10) &amp; " Recipients"</f>
        <v>Statewide
 Recipients</v>
      </c>
      <c r="O176" s="653"/>
      <c r="P176" s="654" t="s">
        <v>762</v>
      </c>
      <c r="Q176" s="639"/>
      <c r="R176" s="639"/>
      <c r="S176" s="638"/>
      <c r="T176" s="638"/>
      <c r="U176" s="638"/>
    </row>
    <row r="177" spans="1:16" ht="15.5" x14ac:dyDescent="0.35">
      <c r="A177" s="638"/>
      <c r="D177" s="9" t="str">
        <f>IFERROR('Demo Rank'!$B206,"")</f>
        <v/>
      </c>
      <c r="E177" s="10" t="str">
        <f>IFERROR('Demo Rank'!$C206,"")</f>
        <v/>
      </c>
      <c r="F177" s="11" t="str">
        <f>IFERROR('Demo Rank'!$D206,"0.0%")</f>
        <v>0.0%</v>
      </c>
      <c r="G177" s="10" t="str">
        <f>IFERROR('Demo Rank'!$E206,"")</f>
        <v/>
      </c>
      <c r="H177" s="12" t="str">
        <f>IFERROR('Demo Rank'!$F206,"0.0%")</f>
        <v>0.0%</v>
      </c>
      <c r="I177" s="12">
        <f t="shared" ref="I177:I195" si="6">IFERROR(F177-H177,"&lt;11")</f>
        <v>0</v>
      </c>
      <c r="K177" s="9" t="str">
        <f>IFERROR('Demo Rank'!$B206,"")</f>
        <v/>
      </c>
      <c r="L177" s="10" t="str">
        <f>IFERROR('Demo Rank'!$G206,"")</f>
        <v/>
      </c>
      <c r="M177" s="11" t="str">
        <f>IFERROR('Demo Rank'!$H206,"0.0%")</f>
        <v>0.0%</v>
      </c>
      <c r="N177" s="10" t="str">
        <f>IFERROR('Demo Rank'!$I206,"")</f>
        <v/>
      </c>
      <c r="O177" s="12" t="str">
        <f>IFERROR('Demo Rank'!$J206,"0.0%")</f>
        <v>0.0%</v>
      </c>
      <c r="P177" s="12">
        <f t="shared" ref="P177:P195" si="7">IFERROR(M177-O177,"&lt;11")</f>
        <v>0</v>
      </c>
    </row>
    <row r="178" spans="1:16" ht="15.5" x14ac:dyDescent="0.35">
      <c r="D178" s="9" t="str">
        <f>IFERROR('Demo Rank'!$B207,"")</f>
        <v/>
      </c>
      <c r="E178" s="10" t="str">
        <f>IFERROR('Demo Rank'!$C207,"")</f>
        <v/>
      </c>
      <c r="F178" s="11" t="str">
        <f>IFERROR('Demo Rank'!$D207,"0.0%")</f>
        <v>0.0%</v>
      </c>
      <c r="G178" s="10" t="str">
        <f>IFERROR('Demo Rank'!$E207,"")</f>
        <v/>
      </c>
      <c r="H178" s="12" t="str">
        <f>IFERROR('Demo Rank'!$F207,"0.0%")</f>
        <v>0.0%</v>
      </c>
      <c r="I178" s="12">
        <f t="shared" si="6"/>
        <v>0</v>
      </c>
      <c r="K178" s="9" t="str">
        <f>IFERROR('Demo Rank'!$B207,"")</f>
        <v/>
      </c>
      <c r="L178" s="10" t="str">
        <f>IFERROR('Demo Rank'!$G207,"")</f>
        <v/>
      </c>
      <c r="M178" s="11" t="str">
        <f>IFERROR('Demo Rank'!$H207,"0.0%")</f>
        <v>0.0%</v>
      </c>
      <c r="N178" s="10" t="str">
        <f>IFERROR('Demo Rank'!$I207,"")</f>
        <v/>
      </c>
      <c r="O178" s="637" t="str">
        <f>IFERROR('Demo Rank'!$J207,"0.0%")</f>
        <v>0.0%</v>
      </c>
      <c r="P178" s="12">
        <f t="shared" si="7"/>
        <v>0</v>
      </c>
    </row>
    <row r="179" spans="1:16" ht="15.5" x14ac:dyDescent="0.35">
      <c r="D179" s="9" t="str">
        <f>IFERROR('Demo Rank'!$B208,"")</f>
        <v/>
      </c>
      <c r="E179" s="10" t="str">
        <f>IFERROR('Demo Rank'!$C208,"")</f>
        <v/>
      </c>
      <c r="F179" s="11" t="str">
        <f>IFERROR('Demo Rank'!$D208,"0.0%")</f>
        <v>0.0%</v>
      </c>
      <c r="G179" s="10" t="str">
        <f>IFERROR('Demo Rank'!$E208,"")</f>
        <v/>
      </c>
      <c r="H179" s="12" t="str">
        <f>IFERROR('Demo Rank'!$F208,"0.0%")</f>
        <v>0.0%</v>
      </c>
      <c r="I179" s="12">
        <f t="shared" si="6"/>
        <v>0</v>
      </c>
      <c r="K179" s="9" t="str">
        <f>IFERROR('Demo Rank'!$B208,"")</f>
        <v/>
      </c>
      <c r="L179" s="10" t="str">
        <f>IFERROR('Demo Rank'!$G208,"")</f>
        <v/>
      </c>
      <c r="M179" s="11" t="str">
        <f>IFERROR('Demo Rank'!$H208,"0.0%")</f>
        <v>0.0%</v>
      </c>
      <c r="N179" s="10" t="str">
        <f>IFERROR('Demo Rank'!$I208,"")</f>
        <v/>
      </c>
      <c r="O179" s="12" t="str">
        <f>IFERROR('Demo Rank'!$J208,"0.0%")</f>
        <v>0.0%</v>
      </c>
      <c r="P179" s="12">
        <f t="shared" si="7"/>
        <v>0</v>
      </c>
    </row>
    <row r="180" spans="1:16" ht="15.5" x14ac:dyDescent="0.35">
      <c r="D180" s="9" t="str">
        <f>IFERROR('Demo Rank'!$B209,"")</f>
        <v/>
      </c>
      <c r="E180" s="10" t="str">
        <f>IFERROR('Demo Rank'!$C209,"")</f>
        <v/>
      </c>
      <c r="F180" s="11" t="str">
        <f>IFERROR('Demo Rank'!$D209,"0.0%")</f>
        <v>0.0%</v>
      </c>
      <c r="G180" s="10" t="str">
        <f>IFERROR('Demo Rank'!$E209,"")</f>
        <v/>
      </c>
      <c r="H180" s="12" t="str">
        <f>IFERROR('Demo Rank'!$F209,"0.0%")</f>
        <v>0.0%</v>
      </c>
      <c r="I180" s="12">
        <f t="shared" si="6"/>
        <v>0</v>
      </c>
      <c r="K180" s="9" t="str">
        <f>IFERROR('Demo Rank'!$B209,"")</f>
        <v/>
      </c>
      <c r="L180" s="10" t="str">
        <f>IFERROR('Demo Rank'!$G209,"")</f>
        <v/>
      </c>
      <c r="M180" s="11" t="str">
        <f>IFERROR('Demo Rank'!$H209,"0.0%")</f>
        <v>0.0%</v>
      </c>
      <c r="N180" s="10" t="str">
        <f>IFERROR('Demo Rank'!$I209,"")</f>
        <v/>
      </c>
      <c r="O180" s="12" t="str">
        <f>IFERROR('Demo Rank'!$J209,"0.0%")</f>
        <v>0.0%</v>
      </c>
      <c r="P180" s="12">
        <f t="shared" si="7"/>
        <v>0</v>
      </c>
    </row>
    <row r="181" spans="1:16" ht="15.5" x14ac:dyDescent="0.35">
      <c r="D181" s="9" t="str">
        <f>IFERROR('Demo Rank'!$B210,"")</f>
        <v/>
      </c>
      <c r="E181" s="10" t="str">
        <f>IFERROR('Demo Rank'!$C210,"")</f>
        <v/>
      </c>
      <c r="F181" s="11" t="str">
        <f>IFERROR('Demo Rank'!$D210,"0.0%")</f>
        <v>0.0%</v>
      </c>
      <c r="G181" s="10" t="str">
        <f>IFERROR('Demo Rank'!$E210,"")</f>
        <v/>
      </c>
      <c r="H181" s="12" t="str">
        <f>IFERROR('Demo Rank'!$F210,"0.0%")</f>
        <v>0.0%</v>
      </c>
      <c r="I181" s="12">
        <f t="shared" si="6"/>
        <v>0</v>
      </c>
      <c r="K181" s="9" t="str">
        <f>IFERROR('Demo Rank'!$B210,"")</f>
        <v/>
      </c>
      <c r="L181" s="10" t="str">
        <f>IFERROR('Demo Rank'!$G210,"")</f>
        <v/>
      </c>
      <c r="M181" s="11" t="str">
        <f>IFERROR('Demo Rank'!$H210,"0.0%")</f>
        <v>0.0%</v>
      </c>
      <c r="N181" s="10" t="str">
        <f>IFERROR('Demo Rank'!$I210,"")</f>
        <v/>
      </c>
      <c r="O181" s="12" t="str">
        <f>IFERROR('Demo Rank'!$J210,"0.0%")</f>
        <v>0.0%</v>
      </c>
      <c r="P181" s="12">
        <f t="shared" si="7"/>
        <v>0</v>
      </c>
    </row>
    <row r="182" spans="1:16" ht="15.5" x14ac:dyDescent="0.35">
      <c r="D182" s="9" t="str">
        <f>IFERROR('Demo Rank'!$B211,"")</f>
        <v/>
      </c>
      <c r="E182" s="10" t="str">
        <f>IFERROR('Demo Rank'!$C211,"")</f>
        <v/>
      </c>
      <c r="F182" s="11" t="str">
        <f>IFERROR('Demo Rank'!$D211,"0.0%")</f>
        <v>0.0%</v>
      </c>
      <c r="G182" s="10" t="str">
        <f>IFERROR('Demo Rank'!$E211,"")</f>
        <v/>
      </c>
      <c r="H182" s="12" t="str">
        <f>IFERROR('Demo Rank'!$F211,"0.0%")</f>
        <v>0.0%</v>
      </c>
      <c r="I182" s="12">
        <f t="shared" si="6"/>
        <v>0</v>
      </c>
      <c r="K182" s="9" t="str">
        <f>IFERROR('Demo Rank'!$B211,"")</f>
        <v/>
      </c>
      <c r="L182" s="10" t="str">
        <f>IFERROR('Demo Rank'!$G211,"")</f>
        <v/>
      </c>
      <c r="M182" s="11" t="str">
        <f>IFERROR('Demo Rank'!$H211,"0.0%")</f>
        <v>0.0%</v>
      </c>
      <c r="N182" s="10" t="str">
        <f>IFERROR('Demo Rank'!$I211,"")</f>
        <v/>
      </c>
      <c r="O182" s="12" t="str">
        <f>IFERROR('Demo Rank'!$J211,"0.0%")</f>
        <v>0.0%</v>
      </c>
      <c r="P182" s="12">
        <f t="shared" si="7"/>
        <v>0</v>
      </c>
    </row>
    <row r="183" spans="1:16" ht="15.5" x14ac:dyDescent="0.35">
      <c r="D183" s="9" t="str">
        <f>IFERROR('Demo Rank'!$B212,"")</f>
        <v/>
      </c>
      <c r="E183" s="10" t="str">
        <f>IFERROR('Demo Rank'!$C212,"")</f>
        <v/>
      </c>
      <c r="F183" s="11" t="str">
        <f>IFERROR('Demo Rank'!$D212,"0.0%")</f>
        <v>0.0%</v>
      </c>
      <c r="G183" s="10" t="str">
        <f>IFERROR('Demo Rank'!$E212,"")</f>
        <v/>
      </c>
      <c r="H183" s="12" t="str">
        <f>IFERROR('Demo Rank'!$F212,"0.0%")</f>
        <v>0.0%</v>
      </c>
      <c r="I183" s="12">
        <f t="shared" si="6"/>
        <v>0</v>
      </c>
      <c r="K183" s="9" t="str">
        <f>IFERROR('Demo Rank'!$B212,"")</f>
        <v/>
      </c>
      <c r="L183" s="10" t="str">
        <f>IFERROR('Demo Rank'!$G212,"")</f>
        <v/>
      </c>
      <c r="M183" s="11" t="str">
        <f>IFERROR('Demo Rank'!$H212,"0.0%")</f>
        <v>0.0%</v>
      </c>
      <c r="N183" s="10" t="str">
        <f>IFERROR('Demo Rank'!$I212,"")</f>
        <v/>
      </c>
      <c r="O183" s="12" t="str">
        <f>IFERROR('Demo Rank'!$J212,"0.0%")</f>
        <v>0.0%</v>
      </c>
      <c r="P183" s="12">
        <f t="shared" si="7"/>
        <v>0</v>
      </c>
    </row>
    <row r="184" spans="1:16" ht="15.5" x14ac:dyDescent="0.35">
      <c r="D184" s="9" t="str">
        <f>IFERROR('Demo Rank'!$B213,"")</f>
        <v/>
      </c>
      <c r="E184" s="10" t="str">
        <f>IFERROR('Demo Rank'!$C213,"")</f>
        <v/>
      </c>
      <c r="F184" s="11" t="str">
        <f>IFERROR('Demo Rank'!$D213,"0.0%")</f>
        <v>0.0%</v>
      </c>
      <c r="G184" s="10" t="str">
        <f>IFERROR('Demo Rank'!$E213,"")</f>
        <v/>
      </c>
      <c r="H184" s="12" t="str">
        <f>IFERROR('Demo Rank'!$F213,"0.0%")</f>
        <v>0.0%</v>
      </c>
      <c r="I184" s="12">
        <f t="shared" si="6"/>
        <v>0</v>
      </c>
      <c r="K184" s="9" t="str">
        <f>IFERROR('Demo Rank'!$B213,"")</f>
        <v/>
      </c>
      <c r="L184" s="10" t="str">
        <f>IFERROR('Demo Rank'!$G213,"")</f>
        <v/>
      </c>
      <c r="M184" s="11" t="str">
        <f>IFERROR('Demo Rank'!$H213,"0.0%")</f>
        <v>0.0%</v>
      </c>
      <c r="N184" s="10" t="str">
        <f>IFERROR('Demo Rank'!$I213,"")</f>
        <v/>
      </c>
      <c r="O184" s="12" t="str">
        <f>IFERROR('Demo Rank'!$J213,"0.0%")</f>
        <v>0.0%</v>
      </c>
      <c r="P184" s="12">
        <f t="shared" si="7"/>
        <v>0</v>
      </c>
    </row>
    <row r="185" spans="1:16" ht="15.5" x14ac:dyDescent="0.35">
      <c r="D185" s="9" t="str">
        <f>IFERROR('Demo Rank'!$B214,"")</f>
        <v/>
      </c>
      <c r="E185" s="10" t="str">
        <f>IFERROR('Demo Rank'!$C214,"")</f>
        <v/>
      </c>
      <c r="F185" s="11" t="str">
        <f>IFERROR('Demo Rank'!$D214,"0.0%")</f>
        <v>0.0%</v>
      </c>
      <c r="G185" s="10" t="str">
        <f>IFERROR('Demo Rank'!$E214,"")</f>
        <v/>
      </c>
      <c r="H185" s="12" t="str">
        <f>IFERROR('Demo Rank'!$F214,"0.0%")</f>
        <v>0.0%</v>
      </c>
      <c r="I185" s="12">
        <f t="shared" si="6"/>
        <v>0</v>
      </c>
      <c r="K185" s="9" t="str">
        <f>IFERROR('Demo Rank'!$B214,"")</f>
        <v/>
      </c>
      <c r="L185" s="10" t="str">
        <f>IFERROR('Demo Rank'!$G214,"")</f>
        <v/>
      </c>
      <c r="M185" s="11" t="str">
        <f>IFERROR('Demo Rank'!$H214,"0.0%")</f>
        <v>0.0%</v>
      </c>
      <c r="N185" s="10" t="str">
        <f>IFERROR('Demo Rank'!$I214,"")</f>
        <v/>
      </c>
      <c r="O185" s="12" t="str">
        <f>IFERROR('Demo Rank'!$J214,"0.0%")</f>
        <v>0.0%</v>
      </c>
      <c r="P185" s="12">
        <f t="shared" si="7"/>
        <v>0</v>
      </c>
    </row>
    <row r="186" spans="1:16" ht="15.5" x14ac:dyDescent="0.35">
      <c r="D186" s="9" t="str">
        <f>IFERROR('Demo Rank'!$B215,"")</f>
        <v/>
      </c>
      <c r="E186" s="10" t="str">
        <f>IFERROR('Demo Rank'!$C215,"")</f>
        <v/>
      </c>
      <c r="F186" s="11" t="str">
        <f>IFERROR('Demo Rank'!$D215,"0.0%")</f>
        <v>0.0%</v>
      </c>
      <c r="G186" s="10" t="str">
        <f>IFERROR('Demo Rank'!$E215,"")</f>
        <v/>
      </c>
      <c r="H186" s="12" t="str">
        <f>IFERROR('Demo Rank'!$F215,"0.0%")</f>
        <v>0.0%</v>
      </c>
      <c r="I186" s="12">
        <f t="shared" si="6"/>
        <v>0</v>
      </c>
      <c r="K186" s="9" t="str">
        <f>IFERROR('Demo Rank'!$B215,"")</f>
        <v/>
      </c>
      <c r="L186" s="10" t="str">
        <f>IFERROR('Demo Rank'!$G215,"")</f>
        <v/>
      </c>
      <c r="M186" s="11" t="str">
        <f>IFERROR('Demo Rank'!$H215,"0.0%")</f>
        <v>0.0%</v>
      </c>
      <c r="N186" s="10" t="str">
        <f>IFERROR('Demo Rank'!$I215,"")</f>
        <v/>
      </c>
      <c r="O186" s="12" t="str">
        <f>IFERROR('Demo Rank'!$J215,"0.0%")</f>
        <v>0.0%</v>
      </c>
      <c r="P186" s="12">
        <f t="shared" si="7"/>
        <v>0</v>
      </c>
    </row>
    <row r="187" spans="1:16" ht="15.5" x14ac:dyDescent="0.35">
      <c r="D187" s="9" t="str">
        <f>IFERROR('Demo Rank'!$B216,"")</f>
        <v/>
      </c>
      <c r="E187" s="10" t="str">
        <f>IFERROR('Demo Rank'!$C216,"")</f>
        <v/>
      </c>
      <c r="F187" s="11" t="str">
        <f>IFERROR('Demo Rank'!$D216,"0.0%")</f>
        <v>0.0%</v>
      </c>
      <c r="G187" s="10" t="str">
        <f>IFERROR('Demo Rank'!$E216,"")</f>
        <v/>
      </c>
      <c r="H187" s="12" t="str">
        <f>IFERROR('Demo Rank'!$F216,"0.0%")</f>
        <v>0.0%</v>
      </c>
      <c r="I187" s="12">
        <f t="shared" si="6"/>
        <v>0</v>
      </c>
      <c r="K187" s="9" t="str">
        <f>IFERROR('Demo Rank'!$B216,"")</f>
        <v/>
      </c>
      <c r="L187" s="10" t="str">
        <f>IFERROR('Demo Rank'!$G216,"")</f>
        <v/>
      </c>
      <c r="M187" s="11" t="str">
        <f>IFERROR('Demo Rank'!$H216,"0.0%")</f>
        <v>0.0%</v>
      </c>
      <c r="N187" s="10" t="str">
        <f>IFERROR('Demo Rank'!$I216,"")</f>
        <v/>
      </c>
      <c r="O187" s="12" t="str">
        <f>IFERROR('Demo Rank'!$J216,"0.0%")</f>
        <v>0.0%</v>
      </c>
      <c r="P187" s="12">
        <f t="shared" si="7"/>
        <v>0</v>
      </c>
    </row>
    <row r="188" spans="1:16" ht="15.5" x14ac:dyDescent="0.35">
      <c r="D188" s="9" t="str">
        <f>IFERROR('Demo Rank'!$B217,"")</f>
        <v/>
      </c>
      <c r="E188" s="10" t="str">
        <f>IFERROR('Demo Rank'!$C217,"")</f>
        <v/>
      </c>
      <c r="F188" s="11" t="str">
        <f>IFERROR('Demo Rank'!$D217,"0.0%")</f>
        <v>0.0%</v>
      </c>
      <c r="G188" s="10" t="str">
        <f>IFERROR('Demo Rank'!$E217,"")</f>
        <v/>
      </c>
      <c r="H188" s="12" t="str">
        <f>IFERROR('Demo Rank'!$F217,"0.0%")</f>
        <v>0.0%</v>
      </c>
      <c r="I188" s="12">
        <f t="shared" si="6"/>
        <v>0</v>
      </c>
      <c r="K188" s="9" t="str">
        <f>IFERROR('Demo Rank'!$B217,"")</f>
        <v/>
      </c>
      <c r="L188" s="10" t="str">
        <f>IFERROR('Demo Rank'!$G217,"")</f>
        <v/>
      </c>
      <c r="M188" s="11" t="str">
        <f>IFERROR('Demo Rank'!$H217,"0.0%")</f>
        <v>0.0%</v>
      </c>
      <c r="N188" s="10" t="str">
        <f>IFERROR('Demo Rank'!$I217,"")</f>
        <v/>
      </c>
      <c r="O188" s="12" t="str">
        <f>IFERROR('Demo Rank'!$J217,"0.0%")</f>
        <v>0.0%</v>
      </c>
      <c r="P188" s="12">
        <f t="shared" si="7"/>
        <v>0</v>
      </c>
    </row>
    <row r="189" spans="1:16" ht="15.5" x14ac:dyDescent="0.35">
      <c r="D189" s="9" t="str">
        <f>IFERROR('Demo Rank'!$B218,"")</f>
        <v/>
      </c>
      <c r="E189" s="10" t="str">
        <f>IFERROR('Demo Rank'!$C218,"")</f>
        <v/>
      </c>
      <c r="F189" s="11" t="str">
        <f>IFERROR('Demo Rank'!$D218,"0.0%")</f>
        <v>0.0%</v>
      </c>
      <c r="G189" s="10" t="str">
        <f>IFERROR('Demo Rank'!$E218,"")</f>
        <v/>
      </c>
      <c r="H189" s="12" t="str">
        <f>IFERROR('Demo Rank'!$F218,"0.0%")</f>
        <v>0.0%</v>
      </c>
      <c r="I189" s="12">
        <f t="shared" si="6"/>
        <v>0</v>
      </c>
      <c r="K189" s="9" t="str">
        <f>IFERROR('Demo Rank'!$B218,"")</f>
        <v/>
      </c>
      <c r="L189" s="10" t="str">
        <f>IFERROR('Demo Rank'!$G218,"")</f>
        <v/>
      </c>
      <c r="M189" s="11" t="str">
        <f>IFERROR('Demo Rank'!$H218,"0.0%")</f>
        <v>0.0%</v>
      </c>
      <c r="N189" s="10" t="str">
        <f>IFERROR('Demo Rank'!$I218,"")</f>
        <v/>
      </c>
      <c r="O189" s="12" t="str">
        <f>IFERROR('Demo Rank'!$J218,"0.0%")</f>
        <v>0.0%</v>
      </c>
      <c r="P189" s="12">
        <f t="shared" si="7"/>
        <v>0</v>
      </c>
    </row>
    <row r="190" spans="1:16" ht="15.5" x14ac:dyDescent="0.35">
      <c r="D190" s="9" t="str">
        <f>IFERROR('Demo Rank'!$B219,"")</f>
        <v/>
      </c>
      <c r="E190" s="10" t="str">
        <f>IFERROR('Demo Rank'!$C219,"")</f>
        <v/>
      </c>
      <c r="F190" s="11" t="str">
        <f>IFERROR('Demo Rank'!$D219,"0.0%")</f>
        <v>0.0%</v>
      </c>
      <c r="G190" s="10" t="str">
        <f>IFERROR('Demo Rank'!$E219,"")</f>
        <v/>
      </c>
      <c r="H190" s="12" t="str">
        <f>IFERROR('Demo Rank'!$F219,"0.0%")</f>
        <v>0.0%</v>
      </c>
      <c r="I190" s="12">
        <f t="shared" si="6"/>
        <v>0</v>
      </c>
      <c r="K190" s="9" t="str">
        <f>IFERROR('Demo Rank'!$B219,"")</f>
        <v/>
      </c>
      <c r="L190" s="10" t="str">
        <f>IFERROR('Demo Rank'!$G219,"")</f>
        <v/>
      </c>
      <c r="M190" s="11" t="str">
        <f>IFERROR('Demo Rank'!$H219,"0.0%")</f>
        <v>0.0%</v>
      </c>
      <c r="N190" s="10" t="str">
        <f>IFERROR('Demo Rank'!$I219,"")</f>
        <v/>
      </c>
      <c r="O190" s="12" t="str">
        <f>IFERROR('Demo Rank'!$J219,"0.0%")</f>
        <v>0.0%</v>
      </c>
      <c r="P190" s="12">
        <f t="shared" si="7"/>
        <v>0</v>
      </c>
    </row>
    <row r="191" spans="1:16" ht="15.5" x14ac:dyDescent="0.35">
      <c r="D191" s="9" t="str">
        <f>IFERROR('Demo Rank'!$B220,"")</f>
        <v/>
      </c>
      <c r="E191" s="10" t="str">
        <f>IFERROR('Demo Rank'!$C220,"")</f>
        <v/>
      </c>
      <c r="F191" s="11" t="str">
        <f>IFERROR('Demo Rank'!$D220,"0.0%")</f>
        <v>0.0%</v>
      </c>
      <c r="G191" s="10" t="str">
        <f>IFERROR('Demo Rank'!$E220,"")</f>
        <v/>
      </c>
      <c r="H191" s="12" t="str">
        <f>IFERROR('Demo Rank'!$F220,"0.0%")</f>
        <v>0.0%</v>
      </c>
      <c r="I191" s="12">
        <f t="shared" si="6"/>
        <v>0</v>
      </c>
      <c r="K191" s="9" t="str">
        <f>IFERROR('Demo Rank'!$B220,"")</f>
        <v/>
      </c>
      <c r="L191" s="10" t="str">
        <f>IFERROR('Demo Rank'!$G220,"")</f>
        <v/>
      </c>
      <c r="M191" s="11" t="str">
        <f>IFERROR('Demo Rank'!$H220,"0.0%")</f>
        <v>0.0%</v>
      </c>
      <c r="N191" s="10" t="str">
        <f>IFERROR('Demo Rank'!$I220,"")</f>
        <v/>
      </c>
      <c r="O191" s="12" t="str">
        <f>IFERROR('Demo Rank'!$J220,"0.0%")</f>
        <v>0.0%</v>
      </c>
      <c r="P191" s="12">
        <f t="shared" si="7"/>
        <v>0</v>
      </c>
    </row>
    <row r="192" spans="1:16" ht="15.5" x14ac:dyDescent="0.35">
      <c r="D192" s="9" t="str">
        <f>IFERROR('Demo Rank'!$B221,"")</f>
        <v/>
      </c>
      <c r="E192" s="10" t="str">
        <f>IFERROR('Demo Rank'!$C221,"")</f>
        <v/>
      </c>
      <c r="F192" s="11" t="str">
        <f>IFERROR('Demo Rank'!$D221,"0.0%")</f>
        <v>0.0%</v>
      </c>
      <c r="G192" s="10" t="str">
        <f>IFERROR('Demo Rank'!$E221,"")</f>
        <v/>
      </c>
      <c r="H192" s="12" t="str">
        <f>IFERROR('Demo Rank'!$F221,"0.0%")</f>
        <v>0.0%</v>
      </c>
      <c r="I192" s="12">
        <f t="shared" si="6"/>
        <v>0</v>
      </c>
      <c r="K192" s="9" t="str">
        <f>IFERROR('Demo Rank'!$B221,"")</f>
        <v/>
      </c>
      <c r="L192" s="10" t="str">
        <f>IFERROR('Demo Rank'!$G221,"")</f>
        <v/>
      </c>
      <c r="M192" s="11" t="str">
        <f>IFERROR('Demo Rank'!$H221,"0.0%")</f>
        <v>0.0%</v>
      </c>
      <c r="N192" s="10" t="str">
        <f>IFERROR('Demo Rank'!$I221,"")</f>
        <v/>
      </c>
      <c r="O192" s="12" t="str">
        <f>IFERROR('Demo Rank'!$J221,"0.0%")</f>
        <v>0.0%</v>
      </c>
      <c r="P192" s="12">
        <f t="shared" si="7"/>
        <v>0</v>
      </c>
    </row>
    <row r="193" spans="4:16" ht="15.5" x14ac:dyDescent="0.35">
      <c r="D193" s="9" t="str">
        <f>IFERROR('Demo Rank'!$B222,"")</f>
        <v/>
      </c>
      <c r="E193" s="10" t="str">
        <f>IFERROR('Demo Rank'!$C222,"")</f>
        <v/>
      </c>
      <c r="F193" s="11" t="str">
        <f>IFERROR('Demo Rank'!$D222,"0.0%")</f>
        <v>0.0%</v>
      </c>
      <c r="G193" s="10" t="str">
        <f>IFERROR('Demo Rank'!$E222,"")</f>
        <v/>
      </c>
      <c r="H193" s="12" t="str">
        <f>IFERROR('Demo Rank'!$F222,"0.0%")</f>
        <v>0.0%</v>
      </c>
      <c r="I193" s="12">
        <f t="shared" si="6"/>
        <v>0</v>
      </c>
      <c r="K193" s="9" t="str">
        <f>IFERROR('Demo Rank'!$B222,"")</f>
        <v/>
      </c>
      <c r="L193" s="10" t="str">
        <f>IFERROR('Demo Rank'!$G222,"")</f>
        <v/>
      </c>
      <c r="M193" s="11" t="str">
        <f>IFERROR('Demo Rank'!$H222,"0.0%")</f>
        <v>0.0%</v>
      </c>
      <c r="N193" s="10" t="str">
        <f>IFERROR('Demo Rank'!$I222,"")</f>
        <v/>
      </c>
      <c r="O193" s="12" t="str">
        <f>IFERROR('Demo Rank'!$J222,"0.0%")</f>
        <v>0.0%</v>
      </c>
      <c r="P193" s="12">
        <f t="shared" si="7"/>
        <v>0</v>
      </c>
    </row>
    <row r="194" spans="4:16" ht="15.5" x14ac:dyDescent="0.35">
      <c r="D194" s="9" t="str">
        <f>IFERROR('Demo Rank'!$B223,"")</f>
        <v/>
      </c>
      <c r="E194" s="10" t="str">
        <f>IFERROR('Demo Rank'!$C223,"")</f>
        <v/>
      </c>
      <c r="F194" s="11" t="str">
        <f>IFERROR('Demo Rank'!$D223,"0.0%")</f>
        <v>0.0%</v>
      </c>
      <c r="G194" s="10" t="str">
        <f>IFERROR('Demo Rank'!$E223,"")</f>
        <v/>
      </c>
      <c r="H194" s="12" t="str">
        <f>IFERROR('Demo Rank'!$F223,"0.0%")</f>
        <v>0.0%</v>
      </c>
      <c r="I194" s="12">
        <f t="shared" si="6"/>
        <v>0</v>
      </c>
      <c r="K194" s="9" t="str">
        <f>IFERROR('Demo Rank'!$B223,"")</f>
        <v/>
      </c>
      <c r="L194" s="10" t="str">
        <f>IFERROR('Demo Rank'!$G223,"")</f>
        <v/>
      </c>
      <c r="M194" s="11" t="str">
        <f>IFERROR('Demo Rank'!$H223,"0.0%")</f>
        <v>0.0%</v>
      </c>
      <c r="N194" s="10" t="str">
        <f>IFERROR('Demo Rank'!$I223,"")</f>
        <v/>
      </c>
      <c r="O194" s="12" t="str">
        <f>IFERROR('Demo Rank'!$J223,"0.0%")</f>
        <v>0.0%</v>
      </c>
      <c r="P194" s="12">
        <f t="shared" si="7"/>
        <v>0</v>
      </c>
    </row>
    <row r="195" spans="4:16" ht="15.5" x14ac:dyDescent="0.35">
      <c r="D195" s="22" t="str">
        <f>IFERROR('Demo Rank'!$B224,"")</f>
        <v/>
      </c>
      <c r="E195" s="13" t="str">
        <f>IFERROR('Demo Rank'!$C224,"")</f>
        <v/>
      </c>
      <c r="F195" s="24" t="str">
        <f>IFERROR('Demo Rank'!$D224,"0.0%")</f>
        <v>0.0%</v>
      </c>
      <c r="G195" s="13" t="str">
        <f>IFERROR('Demo Rank'!$E224,"")</f>
        <v/>
      </c>
      <c r="H195" s="640" t="str">
        <f>IFERROR('Demo Rank'!$F224,"0.0%")</f>
        <v>0.0%</v>
      </c>
      <c r="I195" s="101">
        <f t="shared" si="6"/>
        <v>0</v>
      </c>
      <c r="K195" s="22" t="str">
        <f>IFERROR('Demo Rank'!$B224,"")</f>
        <v/>
      </c>
      <c r="L195" s="13" t="str">
        <f>IFERROR('Demo Rank'!$G224,"")</f>
        <v/>
      </c>
      <c r="M195" s="24" t="str">
        <f>IFERROR('Demo Rank'!$H224,"0.0%")</f>
        <v>0.0%</v>
      </c>
      <c r="N195" s="13" t="str">
        <f>IFERROR('Demo Rank'!$I224,"")</f>
        <v/>
      </c>
      <c r="O195" s="640" t="str">
        <f>IFERROR('Demo Rank'!$J224,"0.0%")</f>
        <v>0.0%</v>
      </c>
      <c r="P195" s="101">
        <f t="shared" si="7"/>
        <v>0</v>
      </c>
    </row>
    <row r="196" spans="4:16" x14ac:dyDescent="0.35">
      <c r="I196" s="48" t="s">
        <v>382</v>
      </c>
      <c r="P196" s="48" t="s">
        <v>382</v>
      </c>
    </row>
    <row r="197" spans="4:16" x14ac:dyDescent="0.35">
      <c r="I197" s="48"/>
      <c r="P197" s="48"/>
    </row>
    <row r="198" spans="4:16" x14ac:dyDescent="0.35">
      <c r="I198" s="48"/>
      <c r="P198" s="48"/>
    </row>
    <row r="199" spans="4:16" ht="25" customHeight="1" x14ac:dyDescent="0.35">
      <c r="D199" s="655" t="s">
        <v>775</v>
      </c>
      <c r="E199" s="655"/>
      <c r="F199" s="655"/>
      <c r="G199" s="655"/>
      <c r="H199" s="655"/>
      <c r="I199" s="655"/>
      <c r="J199" s="655"/>
      <c r="K199" s="655"/>
      <c r="L199" s="655"/>
      <c r="M199" s="655"/>
      <c r="N199" s="655"/>
      <c r="O199" s="655"/>
      <c r="P199" s="655"/>
    </row>
    <row r="200" spans="4:16" x14ac:dyDescent="0.35">
      <c r="I200" s="48"/>
      <c r="P200" s="48"/>
    </row>
    <row r="201" spans="4:16" x14ac:dyDescent="0.35"/>
    <row r="202" spans="4:16" x14ac:dyDescent="0.35"/>
    <row r="203" spans="4:16" x14ac:dyDescent="0.35"/>
    <row r="204" spans="4:16" x14ac:dyDescent="0.35"/>
    <row r="205" spans="4:16" x14ac:dyDescent="0.35"/>
    <row r="206" spans="4:16" x14ac:dyDescent="0.35"/>
    <row r="207" spans="4:16" x14ac:dyDescent="0.35"/>
    <row r="208" spans="4:16" x14ac:dyDescent="0.35"/>
    <row r="209" spans="4:16" x14ac:dyDescent="0.35"/>
    <row r="210" spans="4:16" x14ac:dyDescent="0.35"/>
    <row r="211" spans="4:16" x14ac:dyDescent="0.35"/>
    <row r="212" spans="4:16" x14ac:dyDescent="0.35"/>
    <row r="213" spans="4:16" x14ac:dyDescent="0.35"/>
    <row r="214" spans="4:16" x14ac:dyDescent="0.35"/>
    <row r="215" spans="4:16" x14ac:dyDescent="0.35"/>
    <row r="216" spans="4:16" x14ac:dyDescent="0.35"/>
    <row r="217" spans="4:16" x14ac:dyDescent="0.35"/>
    <row r="218" spans="4:16" x14ac:dyDescent="0.35"/>
    <row r="219" spans="4:16" x14ac:dyDescent="0.35"/>
    <row r="220" spans="4:16" x14ac:dyDescent="0.35"/>
    <row r="221" spans="4:16" x14ac:dyDescent="0.35"/>
    <row r="222" spans="4:16" x14ac:dyDescent="0.35"/>
    <row r="223" spans="4:16" x14ac:dyDescent="0.35"/>
    <row r="224" spans="4:16" ht="32.15" customHeight="1" x14ac:dyDescent="0.35">
      <c r="D224" s="438" t="s">
        <v>776</v>
      </c>
      <c r="E224" s="656"/>
      <c r="F224" s="656"/>
      <c r="G224" s="656"/>
      <c r="H224" s="656"/>
      <c r="I224" s="657"/>
      <c r="J224" s="75"/>
      <c r="K224" s="438" t="s">
        <v>777</v>
      </c>
      <c r="L224" s="656"/>
      <c r="M224" s="656"/>
      <c r="N224" s="656"/>
      <c r="O224" s="656"/>
      <c r="P224" s="657"/>
    </row>
    <row r="225" spans="1:21" ht="32.15" customHeight="1" x14ac:dyDescent="0.35">
      <c r="B225" s="638"/>
      <c r="C225" s="641"/>
      <c r="D225" s="659" t="s">
        <v>776</v>
      </c>
      <c r="E225" s="652" t="str">
        <f>Data!$A$71 &amp; CHAR(10) &amp;" Paramedical"</f>
        <v xml:space="preserve">
 Paramedical</v>
      </c>
      <c r="F225" s="653"/>
      <c r="G225" s="652" t="str">
        <f>Data!$A$71&amp; CHAR(10) &amp;" Recipients"</f>
        <v xml:space="preserve">
 Recipients</v>
      </c>
      <c r="H225" s="653"/>
      <c r="I225" s="654" t="s">
        <v>762</v>
      </c>
      <c r="J225" s="638"/>
      <c r="K225" s="659" t="s">
        <v>777</v>
      </c>
      <c r="L225" s="652" t="str">
        <f>LEFT(Data!$A$62,9) &amp; CHAR(10) &amp; " Paramedical"</f>
        <v>Statewide
 Paramedical</v>
      </c>
      <c r="M225" s="653"/>
      <c r="N225" s="652" t="str">
        <f>LEFT(Data!$A$62,9)&amp; CHAR(10) &amp; " Recipients"</f>
        <v>Statewide
 Recipients</v>
      </c>
      <c r="O225" s="653"/>
      <c r="P225" s="654" t="s">
        <v>762</v>
      </c>
      <c r="Q225" s="639"/>
      <c r="R225" s="639"/>
      <c r="S225" s="638"/>
      <c r="T225" s="638"/>
      <c r="U225" s="638"/>
    </row>
    <row r="226" spans="1:21" ht="15.5" x14ac:dyDescent="0.35">
      <c r="A226" s="638"/>
      <c r="D226" s="9" t="str">
        <f>IFERROR('Demo Rank'!$B231,"")</f>
        <v/>
      </c>
      <c r="E226" s="10" t="str">
        <f>IFERROR('Demo Rank'!$C231,"")</f>
        <v/>
      </c>
      <c r="F226" s="11" t="str">
        <f>IFERROR('Demo Rank'!$D231,"0.0%")</f>
        <v>0.0%</v>
      </c>
      <c r="G226" s="10" t="str">
        <f>IFERROR('Demo Rank'!$E231,"")</f>
        <v/>
      </c>
      <c r="H226" s="12" t="str">
        <f>IFERROR('Demo Rank'!$F231,"0.0%")</f>
        <v>0.0%</v>
      </c>
      <c r="I226" s="12">
        <f t="shared" ref="I226:I244" si="8">IFERROR(F226-H226,"&lt;11")</f>
        <v>0</v>
      </c>
      <c r="K226" s="9" t="str">
        <f>IFERROR('Demo Rank'!$B231,"")</f>
        <v/>
      </c>
      <c r="L226" s="10" t="str">
        <f>IFERROR('Demo Rank'!$G231,"")</f>
        <v/>
      </c>
      <c r="M226" s="11" t="str">
        <f>IFERROR('Demo Rank'!$H231,"0.0%")</f>
        <v>0.0%</v>
      </c>
      <c r="N226" s="10" t="str">
        <f>IFERROR('Demo Rank'!$I231,"")</f>
        <v/>
      </c>
      <c r="O226" s="12" t="str">
        <f>IFERROR('Demo Rank'!$J231,"0.0%")</f>
        <v>0.0%</v>
      </c>
      <c r="P226" s="12">
        <f t="shared" ref="P226:P244" si="9">IFERROR(M226-O226,"&lt;11")</f>
        <v>0</v>
      </c>
    </row>
    <row r="227" spans="1:21" ht="15.5" x14ac:dyDescent="0.35">
      <c r="D227" s="9" t="str">
        <f>IFERROR('Demo Rank'!$B232,"")</f>
        <v/>
      </c>
      <c r="E227" s="10" t="str">
        <f>IFERROR('Demo Rank'!$C232,"")</f>
        <v/>
      </c>
      <c r="F227" s="11" t="str">
        <f>IFERROR('Demo Rank'!$D232,"0.0%")</f>
        <v>0.0%</v>
      </c>
      <c r="G227" s="10" t="str">
        <f>IFERROR('Demo Rank'!$E232,"")</f>
        <v/>
      </c>
      <c r="H227" s="12" t="str">
        <f>IFERROR('Demo Rank'!$F232,"0.0%")</f>
        <v>0.0%</v>
      </c>
      <c r="I227" s="12">
        <f t="shared" si="8"/>
        <v>0</v>
      </c>
      <c r="K227" s="9" t="str">
        <f>IFERROR('Demo Rank'!$B232,"")</f>
        <v/>
      </c>
      <c r="L227" s="10" t="str">
        <f>IFERROR('Demo Rank'!$G232,"")</f>
        <v/>
      </c>
      <c r="M227" s="11" t="str">
        <f>IFERROR('Demo Rank'!$H232,"0.0%")</f>
        <v>0.0%</v>
      </c>
      <c r="N227" s="10" t="str">
        <f>IFERROR('Demo Rank'!$I232,"")</f>
        <v/>
      </c>
      <c r="O227" s="637" t="str">
        <f>IFERROR('Demo Rank'!$J232,"0.0%")</f>
        <v>0.0%</v>
      </c>
      <c r="P227" s="12">
        <f t="shared" si="9"/>
        <v>0</v>
      </c>
    </row>
    <row r="228" spans="1:21" ht="15.5" x14ac:dyDescent="0.35">
      <c r="D228" s="9" t="str">
        <f>IFERROR('Demo Rank'!$B233,"")</f>
        <v/>
      </c>
      <c r="E228" s="10" t="str">
        <f>IFERROR('Demo Rank'!$C233,"")</f>
        <v/>
      </c>
      <c r="F228" s="11" t="str">
        <f>IFERROR('Demo Rank'!$D233,"0.0%")</f>
        <v>0.0%</v>
      </c>
      <c r="G228" s="10" t="str">
        <f>IFERROR('Demo Rank'!$E233,"")</f>
        <v/>
      </c>
      <c r="H228" s="12" t="str">
        <f>IFERROR('Demo Rank'!$F233,"0.0%")</f>
        <v>0.0%</v>
      </c>
      <c r="I228" s="12">
        <f t="shared" si="8"/>
        <v>0</v>
      </c>
      <c r="K228" s="9" t="str">
        <f>IFERROR('Demo Rank'!$B233,"")</f>
        <v/>
      </c>
      <c r="L228" s="10" t="str">
        <f>IFERROR('Demo Rank'!$G233,"")</f>
        <v/>
      </c>
      <c r="M228" s="11" t="str">
        <f>IFERROR('Demo Rank'!$H233,"0.0%")</f>
        <v>0.0%</v>
      </c>
      <c r="N228" s="10" t="str">
        <f>IFERROR('Demo Rank'!$I233,"")</f>
        <v/>
      </c>
      <c r="O228" s="12" t="str">
        <f>IFERROR('Demo Rank'!$J233,"0.0%")</f>
        <v>0.0%</v>
      </c>
      <c r="P228" s="12">
        <f t="shared" si="9"/>
        <v>0</v>
      </c>
    </row>
    <row r="229" spans="1:21" ht="15.5" x14ac:dyDescent="0.35">
      <c r="D229" s="9" t="str">
        <f>IFERROR('Demo Rank'!$B234,"")</f>
        <v/>
      </c>
      <c r="E229" s="10" t="str">
        <f>IFERROR('Demo Rank'!$C234,"")</f>
        <v/>
      </c>
      <c r="F229" s="11" t="str">
        <f>IFERROR('Demo Rank'!$D234,"0.0%")</f>
        <v>0.0%</v>
      </c>
      <c r="G229" s="10" t="str">
        <f>IFERROR('Demo Rank'!$E234,"")</f>
        <v/>
      </c>
      <c r="H229" s="12" t="str">
        <f>IFERROR('Demo Rank'!$F234,"0.0%")</f>
        <v>0.0%</v>
      </c>
      <c r="I229" s="12">
        <f t="shared" si="8"/>
        <v>0</v>
      </c>
      <c r="K229" s="9" t="str">
        <f>IFERROR('Demo Rank'!$B234,"")</f>
        <v/>
      </c>
      <c r="L229" s="10" t="str">
        <f>IFERROR('Demo Rank'!$G234,"")</f>
        <v/>
      </c>
      <c r="M229" s="11" t="str">
        <f>IFERROR('Demo Rank'!$H234,"0.0%")</f>
        <v>0.0%</v>
      </c>
      <c r="N229" s="10" t="str">
        <f>IFERROR('Demo Rank'!$I234,"")</f>
        <v/>
      </c>
      <c r="O229" s="12" t="str">
        <f>IFERROR('Demo Rank'!$J234,"0.0%")</f>
        <v>0.0%</v>
      </c>
      <c r="P229" s="12">
        <f t="shared" si="9"/>
        <v>0</v>
      </c>
    </row>
    <row r="230" spans="1:21" ht="15.5" x14ac:dyDescent="0.35">
      <c r="D230" s="9" t="str">
        <f>IFERROR('Demo Rank'!$B235,"")</f>
        <v/>
      </c>
      <c r="E230" s="10" t="str">
        <f>IFERROR('Demo Rank'!$C235,"")</f>
        <v/>
      </c>
      <c r="F230" s="11" t="str">
        <f>IFERROR('Demo Rank'!$D235,"0.0%")</f>
        <v>0.0%</v>
      </c>
      <c r="G230" s="10" t="str">
        <f>IFERROR('Demo Rank'!$E235,"")</f>
        <v/>
      </c>
      <c r="H230" s="12" t="str">
        <f>IFERROR('Demo Rank'!$F235,"0.0%")</f>
        <v>0.0%</v>
      </c>
      <c r="I230" s="12">
        <f t="shared" si="8"/>
        <v>0</v>
      </c>
      <c r="K230" s="9" t="str">
        <f>IFERROR('Demo Rank'!$B235,"")</f>
        <v/>
      </c>
      <c r="L230" s="10" t="str">
        <f>IFERROR('Demo Rank'!$G235,"")</f>
        <v/>
      </c>
      <c r="M230" s="11" t="str">
        <f>IFERROR('Demo Rank'!$H235,"0.0%")</f>
        <v>0.0%</v>
      </c>
      <c r="N230" s="10" t="str">
        <f>IFERROR('Demo Rank'!$I235,"")</f>
        <v/>
      </c>
      <c r="O230" s="12" t="str">
        <f>IFERROR('Demo Rank'!$J235,"0.0%")</f>
        <v>0.0%</v>
      </c>
      <c r="P230" s="12">
        <f t="shared" si="9"/>
        <v>0</v>
      </c>
    </row>
    <row r="231" spans="1:21" ht="15.5" x14ac:dyDescent="0.35">
      <c r="D231" s="9" t="str">
        <f>IFERROR('Demo Rank'!$B236,"")</f>
        <v/>
      </c>
      <c r="E231" s="10" t="str">
        <f>IFERROR('Demo Rank'!$C236,"")</f>
        <v/>
      </c>
      <c r="F231" s="11" t="str">
        <f>IFERROR('Demo Rank'!$D236,"0.0%")</f>
        <v>0.0%</v>
      </c>
      <c r="G231" s="10" t="str">
        <f>IFERROR('Demo Rank'!$E236,"")</f>
        <v/>
      </c>
      <c r="H231" s="12" t="str">
        <f>IFERROR('Demo Rank'!$F236,"0.0%")</f>
        <v>0.0%</v>
      </c>
      <c r="I231" s="12">
        <f t="shared" si="8"/>
        <v>0</v>
      </c>
      <c r="K231" s="9" t="str">
        <f>IFERROR('Demo Rank'!$B236,"")</f>
        <v/>
      </c>
      <c r="L231" s="10" t="str">
        <f>IFERROR('Demo Rank'!$G236,"")</f>
        <v/>
      </c>
      <c r="M231" s="11" t="str">
        <f>IFERROR('Demo Rank'!$H236,"0.0%")</f>
        <v>0.0%</v>
      </c>
      <c r="N231" s="10" t="str">
        <f>IFERROR('Demo Rank'!$I236,"")</f>
        <v/>
      </c>
      <c r="O231" s="12" t="str">
        <f>IFERROR('Demo Rank'!$J236,"0.0%")</f>
        <v>0.0%</v>
      </c>
      <c r="P231" s="12">
        <f t="shared" si="9"/>
        <v>0</v>
      </c>
    </row>
    <row r="232" spans="1:21" ht="15.5" x14ac:dyDescent="0.35">
      <c r="D232" s="9" t="str">
        <f>IFERROR('Demo Rank'!$B237,"")</f>
        <v/>
      </c>
      <c r="E232" s="10" t="str">
        <f>IFERROR('Demo Rank'!$C237,"")</f>
        <v/>
      </c>
      <c r="F232" s="11" t="str">
        <f>IFERROR('Demo Rank'!$D237,"0.0%")</f>
        <v>0.0%</v>
      </c>
      <c r="G232" s="10" t="str">
        <f>IFERROR('Demo Rank'!$E237,"")</f>
        <v/>
      </c>
      <c r="H232" s="12" t="str">
        <f>IFERROR('Demo Rank'!$F237,"0.0%")</f>
        <v>0.0%</v>
      </c>
      <c r="I232" s="12">
        <f t="shared" si="8"/>
        <v>0</v>
      </c>
      <c r="K232" s="9" t="str">
        <f>IFERROR('Demo Rank'!$B237,"")</f>
        <v/>
      </c>
      <c r="L232" s="10" t="str">
        <f>IFERROR('Demo Rank'!$G237,"")</f>
        <v/>
      </c>
      <c r="M232" s="11" t="str">
        <f>IFERROR('Demo Rank'!$H237,"0.0%")</f>
        <v>0.0%</v>
      </c>
      <c r="N232" s="10" t="str">
        <f>IFERROR('Demo Rank'!$I237,"")</f>
        <v/>
      </c>
      <c r="O232" s="12" t="str">
        <f>IFERROR('Demo Rank'!$J237,"0.0%")</f>
        <v>0.0%</v>
      </c>
      <c r="P232" s="12">
        <f t="shared" si="9"/>
        <v>0</v>
      </c>
    </row>
    <row r="233" spans="1:21" ht="15.5" x14ac:dyDescent="0.35">
      <c r="D233" s="9" t="str">
        <f>IFERROR('Demo Rank'!$B238,"")</f>
        <v/>
      </c>
      <c r="E233" s="10" t="str">
        <f>IFERROR('Demo Rank'!$C238,"")</f>
        <v/>
      </c>
      <c r="F233" s="11" t="str">
        <f>IFERROR('Demo Rank'!$D238,"0.0%")</f>
        <v>0.0%</v>
      </c>
      <c r="G233" s="10" t="str">
        <f>IFERROR('Demo Rank'!$E238,"")</f>
        <v/>
      </c>
      <c r="H233" s="12" t="str">
        <f>IFERROR('Demo Rank'!$F238,"0.0%")</f>
        <v>0.0%</v>
      </c>
      <c r="I233" s="12">
        <f t="shared" si="8"/>
        <v>0</v>
      </c>
      <c r="K233" s="9" t="str">
        <f>IFERROR('Demo Rank'!$B238,"")</f>
        <v/>
      </c>
      <c r="L233" s="10" t="str">
        <f>IFERROR('Demo Rank'!$G238,"")</f>
        <v/>
      </c>
      <c r="M233" s="11" t="str">
        <f>IFERROR('Demo Rank'!$H238,"0.0%")</f>
        <v>0.0%</v>
      </c>
      <c r="N233" s="10" t="str">
        <f>IFERROR('Demo Rank'!$I238,"")</f>
        <v/>
      </c>
      <c r="O233" s="12" t="str">
        <f>IFERROR('Demo Rank'!$J238,"0.0%")</f>
        <v>0.0%</v>
      </c>
      <c r="P233" s="12">
        <f t="shared" si="9"/>
        <v>0</v>
      </c>
    </row>
    <row r="234" spans="1:21" ht="15.5" x14ac:dyDescent="0.35">
      <c r="D234" s="9" t="str">
        <f>IFERROR('Demo Rank'!$B239,"")</f>
        <v/>
      </c>
      <c r="E234" s="10" t="str">
        <f>IFERROR('Demo Rank'!$C239,"")</f>
        <v/>
      </c>
      <c r="F234" s="11" t="str">
        <f>IFERROR('Demo Rank'!$D239,"0.0%")</f>
        <v>0.0%</v>
      </c>
      <c r="G234" s="10" t="str">
        <f>IFERROR('Demo Rank'!$E239,"")</f>
        <v/>
      </c>
      <c r="H234" s="12" t="str">
        <f>IFERROR('Demo Rank'!$F239,"0.0%")</f>
        <v>0.0%</v>
      </c>
      <c r="I234" s="12">
        <f t="shared" si="8"/>
        <v>0</v>
      </c>
      <c r="K234" s="9" t="str">
        <f>IFERROR('Demo Rank'!$B239,"")</f>
        <v/>
      </c>
      <c r="L234" s="10" t="str">
        <f>IFERROR('Demo Rank'!$G239,"")</f>
        <v/>
      </c>
      <c r="M234" s="11" t="str">
        <f>IFERROR('Demo Rank'!$H239,"0.0%")</f>
        <v>0.0%</v>
      </c>
      <c r="N234" s="10" t="str">
        <f>IFERROR('Demo Rank'!$I239,"")</f>
        <v/>
      </c>
      <c r="O234" s="12" t="str">
        <f>IFERROR('Demo Rank'!$J239,"0.0%")</f>
        <v>0.0%</v>
      </c>
      <c r="P234" s="12">
        <f t="shared" si="9"/>
        <v>0</v>
      </c>
    </row>
    <row r="235" spans="1:21" ht="15.5" x14ac:dyDescent="0.35">
      <c r="D235" s="9" t="str">
        <f>IFERROR('Demo Rank'!$B240,"")</f>
        <v/>
      </c>
      <c r="E235" s="10" t="str">
        <f>IFERROR('Demo Rank'!$C240,"")</f>
        <v/>
      </c>
      <c r="F235" s="11" t="str">
        <f>IFERROR('Demo Rank'!$D240,"0.0%")</f>
        <v>0.0%</v>
      </c>
      <c r="G235" s="10" t="str">
        <f>IFERROR('Demo Rank'!$E240,"")</f>
        <v/>
      </c>
      <c r="H235" s="12" t="str">
        <f>IFERROR('Demo Rank'!$F240,"0.0%")</f>
        <v>0.0%</v>
      </c>
      <c r="I235" s="12">
        <f t="shared" si="8"/>
        <v>0</v>
      </c>
      <c r="K235" s="9" t="str">
        <f>IFERROR('Demo Rank'!$B240,"")</f>
        <v/>
      </c>
      <c r="L235" s="10" t="str">
        <f>IFERROR('Demo Rank'!$G240,"")</f>
        <v/>
      </c>
      <c r="M235" s="11" t="str">
        <f>IFERROR('Demo Rank'!$H240,"0.0%")</f>
        <v>0.0%</v>
      </c>
      <c r="N235" s="10" t="str">
        <f>IFERROR('Demo Rank'!$I240,"")</f>
        <v/>
      </c>
      <c r="O235" s="12" t="str">
        <f>IFERROR('Demo Rank'!$J240,"0.0%")</f>
        <v>0.0%</v>
      </c>
      <c r="P235" s="12">
        <f t="shared" si="9"/>
        <v>0</v>
      </c>
    </row>
    <row r="236" spans="1:21" ht="15.5" x14ac:dyDescent="0.35">
      <c r="D236" s="9" t="str">
        <f>IFERROR('Demo Rank'!$B241,"")</f>
        <v/>
      </c>
      <c r="E236" s="10" t="str">
        <f>IFERROR('Demo Rank'!$C241,"")</f>
        <v/>
      </c>
      <c r="F236" s="11" t="str">
        <f>IFERROR('Demo Rank'!$D241,"0.0%")</f>
        <v>0.0%</v>
      </c>
      <c r="G236" s="10" t="str">
        <f>IFERROR('Demo Rank'!$E241,"")</f>
        <v/>
      </c>
      <c r="H236" s="12" t="str">
        <f>IFERROR('Demo Rank'!$F241,"0.0%")</f>
        <v>0.0%</v>
      </c>
      <c r="I236" s="12">
        <f t="shared" si="8"/>
        <v>0</v>
      </c>
      <c r="K236" s="9" t="str">
        <f>IFERROR('Demo Rank'!$B241,"")</f>
        <v/>
      </c>
      <c r="L236" s="10" t="str">
        <f>IFERROR('Demo Rank'!$G241,"")</f>
        <v/>
      </c>
      <c r="M236" s="11" t="str">
        <f>IFERROR('Demo Rank'!$H241,"0.0%")</f>
        <v>0.0%</v>
      </c>
      <c r="N236" s="10" t="str">
        <f>IFERROR('Demo Rank'!$I241,"")</f>
        <v/>
      </c>
      <c r="O236" s="12" t="str">
        <f>IFERROR('Demo Rank'!$J241,"0.0%")</f>
        <v>0.0%</v>
      </c>
      <c r="P236" s="12">
        <f t="shared" si="9"/>
        <v>0</v>
      </c>
    </row>
    <row r="237" spans="1:21" ht="15.5" x14ac:dyDescent="0.35">
      <c r="D237" s="9" t="str">
        <f>IFERROR('Demo Rank'!$B242,"")</f>
        <v/>
      </c>
      <c r="E237" s="10" t="str">
        <f>IFERROR('Demo Rank'!$C242,"")</f>
        <v/>
      </c>
      <c r="F237" s="11" t="str">
        <f>IFERROR('Demo Rank'!$D242,"0.0%")</f>
        <v>0.0%</v>
      </c>
      <c r="G237" s="10" t="str">
        <f>IFERROR('Demo Rank'!$E242,"")</f>
        <v/>
      </c>
      <c r="H237" s="12" t="str">
        <f>IFERROR('Demo Rank'!$F242,"0.0%")</f>
        <v>0.0%</v>
      </c>
      <c r="I237" s="12">
        <f t="shared" si="8"/>
        <v>0</v>
      </c>
      <c r="K237" s="9" t="str">
        <f>IFERROR('Demo Rank'!$B242,"")</f>
        <v/>
      </c>
      <c r="L237" s="10" t="str">
        <f>IFERROR('Demo Rank'!$G242,"")</f>
        <v/>
      </c>
      <c r="M237" s="11" t="str">
        <f>IFERROR('Demo Rank'!$H242,"0.0%")</f>
        <v>0.0%</v>
      </c>
      <c r="N237" s="10" t="str">
        <f>IFERROR('Demo Rank'!$I242,"")</f>
        <v/>
      </c>
      <c r="O237" s="12" t="str">
        <f>IFERROR('Demo Rank'!$J242,"0.0%")</f>
        <v>0.0%</v>
      </c>
      <c r="P237" s="12">
        <f t="shared" si="9"/>
        <v>0</v>
      </c>
    </row>
    <row r="238" spans="1:21" ht="15.5" x14ac:dyDescent="0.35">
      <c r="D238" s="9" t="str">
        <f>IFERROR('Demo Rank'!$B243,"")</f>
        <v/>
      </c>
      <c r="E238" s="10" t="str">
        <f>IFERROR('Demo Rank'!$C243,"")</f>
        <v/>
      </c>
      <c r="F238" s="11" t="str">
        <f>IFERROR('Demo Rank'!$D243,"0.0%")</f>
        <v>0.0%</v>
      </c>
      <c r="G238" s="10" t="str">
        <f>IFERROR('Demo Rank'!$E243,"")</f>
        <v/>
      </c>
      <c r="H238" s="12" t="str">
        <f>IFERROR('Demo Rank'!$F243,"0.0%")</f>
        <v>0.0%</v>
      </c>
      <c r="I238" s="12">
        <f t="shared" si="8"/>
        <v>0</v>
      </c>
      <c r="K238" s="9" t="str">
        <f>IFERROR('Demo Rank'!$B243,"")</f>
        <v/>
      </c>
      <c r="L238" s="10" t="str">
        <f>IFERROR('Demo Rank'!$G243,"")</f>
        <v/>
      </c>
      <c r="M238" s="11" t="str">
        <f>IFERROR('Demo Rank'!$H243,"0.0%")</f>
        <v>0.0%</v>
      </c>
      <c r="N238" s="10" t="str">
        <f>IFERROR('Demo Rank'!$I243,"")</f>
        <v/>
      </c>
      <c r="O238" s="12" t="str">
        <f>IFERROR('Demo Rank'!$J243,"0.0%")</f>
        <v>0.0%</v>
      </c>
      <c r="P238" s="12">
        <f t="shared" si="9"/>
        <v>0</v>
      </c>
    </row>
    <row r="239" spans="1:21" ht="15.5" x14ac:dyDescent="0.35">
      <c r="D239" s="9" t="str">
        <f>IFERROR('Demo Rank'!$B244,"")</f>
        <v/>
      </c>
      <c r="E239" s="10" t="str">
        <f>IFERROR('Demo Rank'!$C244,"")</f>
        <v/>
      </c>
      <c r="F239" s="11" t="str">
        <f>IFERROR('Demo Rank'!$D244,"0.0%")</f>
        <v>0.0%</v>
      </c>
      <c r="G239" s="10" t="str">
        <f>IFERROR('Demo Rank'!$E244,"")</f>
        <v/>
      </c>
      <c r="H239" s="12" t="str">
        <f>IFERROR('Demo Rank'!$F244,"0.0%")</f>
        <v>0.0%</v>
      </c>
      <c r="I239" s="12">
        <f t="shared" si="8"/>
        <v>0</v>
      </c>
      <c r="K239" s="9" t="str">
        <f>IFERROR('Demo Rank'!$B244,"")</f>
        <v/>
      </c>
      <c r="L239" s="10" t="str">
        <f>IFERROR('Demo Rank'!$G244,"")</f>
        <v/>
      </c>
      <c r="M239" s="11" t="str">
        <f>IFERROR('Demo Rank'!$H244,"0.0%")</f>
        <v>0.0%</v>
      </c>
      <c r="N239" s="10" t="str">
        <f>IFERROR('Demo Rank'!$I244,"")</f>
        <v/>
      </c>
      <c r="O239" s="12" t="str">
        <f>IFERROR('Demo Rank'!$J244,"0.0%")</f>
        <v>0.0%</v>
      </c>
      <c r="P239" s="12">
        <f t="shared" si="9"/>
        <v>0</v>
      </c>
    </row>
    <row r="240" spans="1:21" ht="15.5" x14ac:dyDescent="0.35">
      <c r="D240" s="9" t="str">
        <f>IFERROR('Demo Rank'!$B245,"")</f>
        <v/>
      </c>
      <c r="E240" s="10" t="str">
        <f>IFERROR('Demo Rank'!$C245,"")</f>
        <v/>
      </c>
      <c r="F240" s="11" t="str">
        <f>IFERROR('Demo Rank'!$D245,"0.0%")</f>
        <v>0.0%</v>
      </c>
      <c r="G240" s="10" t="str">
        <f>IFERROR('Demo Rank'!$E245,"")</f>
        <v/>
      </c>
      <c r="H240" s="12" t="str">
        <f>IFERROR('Demo Rank'!$F245,"0.0%")</f>
        <v>0.0%</v>
      </c>
      <c r="I240" s="12">
        <f t="shared" si="8"/>
        <v>0</v>
      </c>
      <c r="K240" s="9" t="str">
        <f>IFERROR('Demo Rank'!$B245,"")</f>
        <v/>
      </c>
      <c r="L240" s="10" t="str">
        <f>IFERROR('Demo Rank'!$G245,"")</f>
        <v/>
      </c>
      <c r="M240" s="11" t="str">
        <f>IFERROR('Demo Rank'!$H245,"0.0%")</f>
        <v>0.0%</v>
      </c>
      <c r="N240" s="10" t="str">
        <f>IFERROR('Demo Rank'!$I245,"")</f>
        <v/>
      </c>
      <c r="O240" s="12" t="str">
        <f>IFERROR('Demo Rank'!$J245,"0.0%")</f>
        <v>0.0%</v>
      </c>
      <c r="P240" s="12">
        <f t="shared" si="9"/>
        <v>0</v>
      </c>
    </row>
    <row r="241" spans="4:16" ht="15.5" x14ac:dyDescent="0.35">
      <c r="D241" s="9" t="str">
        <f>IFERROR('Demo Rank'!$B246,"")</f>
        <v/>
      </c>
      <c r="E241" s="10" t="str">
        <f>IFERROR('Demo Rank'!$C246,"")</f>
        <v/>
      </c>
      <c r="F241" s="11" t="str">
        <f>IFERROR('Demo Rank'!$D246,"0.0%")</f>
        <v>0.0%</v>
      </c>
      <c r="G241" s="10" t="str">
        <f>IFERROR('Demo Rank'!$E246,"")</f>
        <v/>
      </c>
      <c r="H241" s="12" t="str">
        <f>IFERROR('Demo Rank'!$F246,"0.0%")</f>
        <v>0.0%</v>
      </c>
      <c r="I241" s="12">
        <f t="shared" si="8"/>
        <v>0</v>
      </c>
      <c r="K241" s="9" t="str">
        <f>IFERROR('Demo Rank'!$B246,"")</f>
        <v/>
      </c>
      <c r="L241" s="10" t="str">
        <f>IFERROR('Demo Rank'!$G246,"")</f>
        <v/>
      </c>
      <c r="M241" s="11" t="str">
        <f>IFERROR('Demo Rank'!$H246,"0.0%")</f>
        <v>0.0%</v>
      </c>
      <c r="N241" s="10" t="str">
        <f>IFERROR('Demo Rank'!$I246,"")</f>
        <v/>
      </c>
      <c r="O241" s="12" t="str">
        <f>IFERROR('Demo Rank'!$J246,"0.0%")</f>
        <v>0.0%</v>
      </c>
      <c r="P241" s="12">
        <f t="shared" si="9"/>
        <v>0</v>
      </c>
    </row>
    <row r="242" spans="4:16" ht="15.5" x14ac:dyDescent="0.35">
      <c r="D242" s="9" t="str">
        <f>IFERROR('Demo Rank'!$B247,"")</f>
        <v/>
      </c>
      <c r="E242" s="10" t="str">
        <f>IFERROR('Demo Rank'!$C247,"")</f>
        <v/>
      </c>
      <c r="F242" s="11" t="str">
        <f>IFERROR('Demo Rank'!$D247,"0.0%")</f>
        <v>0.0%</v>
      </c>
      <c r="G242" s="10" t="str">
        <f>IFERROR('Demo Rank'!$E247,"")</f>
        <v/>
      </c>
      <c r="H242" s="12" t="str">
        <f>IFERROR('Demo Rank'!$F247,"0.0%")</f>
        <v>0.0%</v>
      </c>
      <c r="I242" s="12">
        <f t="shared" si="8"/>
        <v>0</v>
      </c>
      <c r="K242" s="9" t="str">
        <f>IFERROR('Demo Rank'!$B247,"")</f>
        <v/>
      </c>
      <c r="L242" s="10" t="str">
        <f>IFERROR('Demo Rank'!$G247,"")</f>
        <v/>
      </c>
      <c r="M242" s="11" t="str">
        <f>IFERROR('Demo Rank'!$H247,"0.0%")</f>
        <v>0.0%</v>
      </c>
      <c r="N242" s="10" t="str">
        <f>IFERROR('Demo Rank'!$I247,"")</f>
        <v/>
      </c>
      <c r="O242" s="12" t="str">
        <f>IFERROR('Demo Rank'!$J247,"0.0%")</f>
        <v>0.0%</v>
      </c>
      <c r="P242" s="12">
        <f t="shared" si="9"/>
        <v>0</v>
      </c>
    </row>
    <row r="243" spans="4:16" ht="15.5" x14ac:dyDescent="0.35">
      <c r="D243" s="9" t="str">
        <f>IFERROR('Demo Rank'!$B248,"")</f>
        <v/>
      </c>
      <c r="E243" s="10" t="str">
        <f>IFERROR('Demo Rank'!$C248,"")</f>
        <v/>
      </c>
      <c r="F243" s="11" t="str">
        <f>IFERROR('Demo Rank'!$D248,"0.0%")</f>
        <v>0.0%</v>
      </c>
      <c r="G243" s="10" t="str">
        <f>IFERROR('Demo Rank'!$E248,"")</f>
        <v/>
      </c>
      <c r="H243" s="12" t="str">
        <f>IFERROR('Demo Rank'!$F248,"0.0%")</f>
        <v>0.0%</v>
      </c>
      <c r="I243" s="12">
        <f t="shared" si="8"/>
        <v>0</v>
      </c>
      <c r="K243" s="9" t="str">
        <f>IFERROR('Demo Rank'!$B248,"")</f>
        <v/>
      </c>
      <c r="L243" s="10" t="str">
        <f>IFERROR('Demo Rank'!$G248,"")</f>
        <v/>
      </c>
      <c r="M243" s="11" t="str">
        <f>IFERROR('Demo Rank'!$H248,"0.0%")</f>
        <v>0.0%</v>
      </c>
      <c r="N243" s="10" t="str">
        <f>IFERROR('Demo Rank'!$I248,"")</f>
        <v/>
      </c>
      <c r="O243" s="12" t="str">
        <f>IFERROR('Demo Rank'!$J248,"0.0%")</f>
        <v>0.0%</v>
      </c>
      <c r="P243" s="12">
        <f t="shared" si="9"/>
        <v>0</v>
      </c>
    </row>
    <row r="244" spans="4:16" ht="15.5" x14ac:dyDescent="0.35">
      <c r="D244" s="22" t="str">
        <f>IFERROR('Demo Rank'!$B249,"")</f>
        <v/>
      </c>
      <c r="E244" s="13" t="str">
        <f>IFERROR('Demo Rank'!$C249,"")</f>
        <v/>
      </c>
      <c r="F244" s="24" t="str">
        <f>IFERROR('Demo Rank'!$D249,"0.0%")</f>
        <v>0.0%</v>
      </c>
      <c r="G244" s="13" t="str">
        <f>IFERROR('Demo Rank'!$E249,"")</f>
        <v/>
      </c>
      <c r="H244" s="640" t="str">
        <f>IFERROR('Demo Rank'!$F249,"0.0%")</f>
        <v>0.0%</v>
      </c>
      <c r="I244" s="101">
        <f t="shared" si="8"/>
        <v>0</v>
      </c>
      <c r="K244" s="22" t="str">
        <f>IFERROR('Demo Rank'!$B249,"")</f>
        <v/>
      </c>
      <c r="L244" s="13" t="str">
        <f>IFERROR('Demo Rank'!$G249,"")</f>
        <v/>
      </c>
      <c r="M244" s="24" t="str">
        <f>IFERROR('Demo Rank'!$H249,"0.0%")</f>
        <v>0.0%</v>
      </c>
      <c r="N244" s="13" t="str">
        <f>IFERROR('Demo Rank'!$I249,"")</f>
        <v/>
      </c>
      <c r="O244" s="640" t="str">
        <f>IFERROR('Demo Rank'!$J249,"0.0%")</f>
        <v>0.0%</v>
      </c>
      <c r="P244" s="101">
        <f t="shared" si="9"/>
        <v>0</v>
      </c>
    </row>
    <row r="245" spans="4:16" x14ac:dyDescent="0.35">
      <c r="I245" s="48" t="s">
        <v>382</v>
      </c>
      <c r="P245" s="48" t="s">
        <v>382</v>
      </c>
    </row>
    <row r="246" spans="4:16" x14ac:dyDescent="0.35">
      <c r="I246" s="48"/>
      <c r="P246" s="48"/>
    </row>
    <row r="247" spans="4:16" x14ac:dyDescent="0.35">
      <c r="I247" s="48"/>
      <c r="P247" s="48"/>
    </row>
    <row r="248" spans="4:16" ht="25" customHeight="1" x14ac:dyDescent="0.35">
      <c r="D248" s="655" t="s">
        <v>778</v>
      </c>
      <c r="E248" s="655"/>
      <c r="F248" s="655"/>
      <c r="G248" s="655"/>
      <c r="H248" s="655"/>
      <c r="I248" s="655"/>
      <c r="J248" s="655"/>
      <c r="K248" s="655"/>
      <c r="L248" s="655"/>
      <c r="M248" s="655"/>
      <c r="N248" s="655"/>
      <c r="O248" s="655"/>
      <c r="P248" s="655"/>
    </row>
    <row r="249" spans="4:16" x14ac:dyDescent="0.35">
      <c r="I249" s="48"/>
      <c r="P249" s="48"/>
    </row>
    <row r="250" spans="4:16" x14ac:dyDescent="0.35"/>
    <row r="251" spans="4:16" x14ac:dyDescent="0.35"/>
    <row r="252" spans="4:16" x14ac:dyDescent="0.35"/>
    <row r="253" spans="4:16" x14ac:dyDescent="0.35"/>
    <row r="254" spans="4:16" x14ac:dyDescent="0.35"/>
    <row r="255" spans="4:16" x14ac:dyDescent="0.35"/>
    <row r="256" spans="4:16" x14ac:dyDescent="0.35"/>
    <row r="257" spans="4:16" x14ac:dyDescent="0.35"/>
    <row r="258" spans="4:16" x14ac:dyDescent="0.35"/>
    <row r="259" spans="4:16" x14ac:dyDescent="0.35"/>
    <row r="260" spans="4:16" x14ac:dyDescent="0.35"/>
    <row r="261" spans="4:16" x14ac:dyDescent="0.35"/>
    <row r="262" spans="4:16" x14ac:dyDescent="0.35"/>
    <row r="263" spans="4:16" x14ac:dyDescent="0.35"/>
    <row r="264" spans="4:16" x14ac:dyDescent="0.35"/>
    <row r="265" spans="4:16" x14ac:dyDescent="0.35"/>
    <row r="266" spans="4:16" x14ac:dyDescent="0.35"/>
    <row r="267" spans="4:16" x14ac:dyDescent="0.35"/>
    <row r="268" spans="4:16" x14ac:dyDescent="0.35"/>
    <row r="269" spans="4:16" x14ac:dyDescent="0.35"/>
    <row r="270" spans="4:16" x14ac:dyDescent="0.35"/>
    <row r="271" spans="4:16" x14ac:dyDescent="0.35"/>
    <row r="272" spans="4:16" ht="32.15" customHeight="1" x14ac:dyDescent="0.35">
      <c r="D272" s="438" t="s">
        <v>779</v>
      </c>
      <c r="E272" s="656"/>
      <c r="F272" s="656"/>
      <c r="G272" s="656"/>
      <c r="H272" s="656"/>
      <c r="I272" s="657"/>
      <c r="J272" s="75"/>
      <c r="K272" s="438" t="s">
        <v>780</v>
      </c>
      <c r="L272" s="656"/>
      <c r="M272" s="656"/>
      <c r="N272" s="656"/>
      <c r="O272" s="656"/>
      <c r="P272" s="657"/>
    </row>
    <row r="273" spans="1:21" ht="32.15" customHeight="1" x14ac:dyDescent="0.35">
      <c r="B273" s="638"/>
      <c r="C273" s="641"/>
      <c r="D273" s="651" t="s">
        <v>779</v>
      </c>
      <c r="E273" s="652" t="str">
        <f>Data!$A$71 &amp; CHAR(10) &amp;" Non-Severely Impaired"</f>
        <v xml:space="preserve">
 Non-Severely Impaired</v>
      </c>
      <c r="F273" s="653"/>
      <c r="G273" s="652" t="str">
        <f>Data!$A$71&amp; CHAR(10) &amp;" Recipients"</f>
        <v xml:space="preserve">
 Recipients</v>
      </c>
      <c r="H273" s="653"/>
      <c r="I273" s="654" t="s">
        <v>762</v>
      </c>
      <c r="J273" s="638"/>
      <c r="K273" s="651" t="s">
        <v>780</v>
      </c>
      <c r="L273" s="652" t="str">
        <f>LEFT(Data!$A$62,9) &amp; CHAR(10) &amp; " Non-Severely Impaired"</f>
        <v>Statewide
 Non-Severely Impaired</v>
      </c>
      <c r="M273" s="653"/>
      <c r="N273" s="652" t="str">
        <f>LEFT(Data!$A$62,9)&amp; CHAR(10) &amp; " Recipients"</f>
        <v>Statewide
 Recipients</v>
      </c>
      <c r="O273" s="653"/>
      <c r="P273" s="654" t="s">
        <v>762</v>
      </c>
      <c r="Q273" s="639"/>
      <c r="R273" s="639"/>
      <c r="S273" s="638"/>
      <c r="T273" s="638"/>
      <c r="U273" s="638"/>
    </row>
    <row r="274" spans="1:21" ht="15.5" x14ac:dyDescent="0.35">
      <c r="A274" s="638"/>
      <c r="D274" s="9" t="str">
        <f>IFERROR('Demo Rank'!$B257,"")</f>
        <v/>
      </c>
      <c r="E274" s="10" t="str">
        <f>IFERROR('Demo Rank'!$C257,"")</f>
        <v/>
      </c>
      <c r="F274" s="11" t="str">
        <f>IFERROR('Demo Rank'!$D257,"0.0%")</f>
        <v>0.0%</v>
      </c>
      <c r="G274" s="10" t="str">
        <f>IFERROR('Demo Rank'!$E257,"")</f>
        <v/>
      </c>
      <c r="H274" s="12" t="str">
        <f>IFERROR('Demo Rank'!$F257,"0.0%")</f>
        <v>0.0%</v>
      </c>
      <c r="I274" s="12">
        <f t="shared" ref="I274:I292" si="10">IFERROR(F274-H274,"&lt;11")</f>
        <v>0</v>
      </c>
      <c r="K274" s="9" t="str">
        <f>IFERROR('Demo Rank'!$B257,"")</f>
        <v/>
      </c>
      <c r="L274" s="10" t="str">
        <f>IFERROR('Demo Rank'!$G257,"")</f>
        <v/>
      </c>
      <c r="M274" s="11" t="str">
        <f>IFERROR('Demo Rank'!$H257,"0.0%")</f>
        <v>0.0%</v>
      </c>
      <c r="N274" s="10" t="str">
        <f>IFERROR('Demo Rank'!$I257,"")</f>
        <v/>
      </c>
      <c r="O274" s="12" t="str">
        <f>IFERROR('Demo Rank'!$J257,"0.0%")</f>
        <v>0.0%</v>
      </c>
      <c r="P274" s="12">
        <f t="shared" ref="P274:P292" si="11">IFERROR(M274-O274,"&lt;11")</f>
        <v>0</v>
      </c>
    </row>
    <row r="275" spans="1:21" ht="15.5" x14ac:dyDescent="0.35">
      <c r="D275" s="9" t="str">
        <f>IFERROR('Demo Rank'!$B258,"")</f>
        <v/>
      </c>
      <c r="E275" s="10" t="str">
        <f>IFERROR('Demo Rank'!$C258,"")</f>
        <v/>
      </c>
      <c r="F275" s="11" t="str">
        <f>IFERROR('Demo Rank'!$D258,"0.0%")</f>
        <v>0.0%</v>
      </c>
      <c r="G275" s="10" t="str">
        <f>IFERROR('Demo Rank'!$E258,"")</f>
        <v/>
      </c>
      <c r="H275" s="12" t="str">
        <f>IFERROR('Demo Rank'!$F258,"0.0%")</f>
        <v>0.0%</v>
      </c>
      <c r="I275" s="12">
        <f t="shared" si="10"/>
        <v>0</v>
      </c>
      <c r="K275" s="9" t="str">
        <f>IFERROR('Demo Rank'!$B258,"")</f>
        <v/>
      </c>
      <c r="L275" s="10" t="str">
        <f>IFERROR('Demo Rank'!$G258,"")</f>
        <v/>
      </c>
      <c r="M275" s="11" t="str">
        <f>IFERROR('Demo Rank'!$H258,"0.0%")</f>
        <v>0.0%</v>
      </c>
      <c r="N275" s="10" t="str">
        <f>IFERROR('Demo Rank'!$I258,"")</f>
        <v/>
      </c>
      <c r="O275" s="637" t="str">
        <f>IFERROR('Demo Rank'!$J258,"0.0%")</f>
        <v>0.0%</v>
      </c>
      <c r="P275" s="12">
        <f t="shared" si="11"/>
        <v>0</v>
      </c>
    </row>
    <row r="276" spans="1:21" ht="15.5" x14ac:dyDescent="0.35">
      <c r="D276" s="9" t="str">
        <f>IFERROR('Demo Rank'!$B259,"")</f>
        <v/>
      </c>
      <c r="E276" s="10" t="str">
        <f>IFERROR('Demo Rank'!$C259,"")</f>
        <v/>
      </c>
      <c r="F276" s="11" t="str">
        <f>IFERROR('Demo Rank'!$D259,"0.0%")</f>
        <v>0.0%</v>
      </c>
      <c r="G276" s="10" t="str">
        <f>IFERROR('Demo Rank'!$E259,"")</f>
        <v/>
      </c>
      <c r="H276" s="12" t="str">
        <f>IFERROR('Demo Rank'!$F259,"0.0%")</f>
        <v>0.0%</v>
      </c>
      <c r="I276" s="12">
        <f t="shared" si="10"/>
        <v>0</v>
      </c>
      <c r="K276" s="9" t="str">
        <f>IFERROR('Demo Rank'!$B259,"")</f>
        <v/>
      </c>
      <c r="L276" s="10" t="str">
        <f>IFERROR('Demo Rank'!$G259,"")</f>
        <v/>
      </c>
      <c r="M276" s="11" t="str">
        <f>IFERROR('Demo Rank'!$H259,"0.0%")</f>
        <v>0.0%</v>
      </c>
      <c r="N276" s="10" t="str">
        <f>IFERROR('Demo Rank'!$I259,"")</f>
        <v/>
      </c>
      <c r="O276" s="12" t="str">
        <f>IFERROR('Demo Rank'!$J259,"0.0%")</f>
        <v>0.0%</v>
      </c>
      <c r="P276" s="12">
        <f t="shared" si="11"/>
        <v>0</v>
      </c>
    </row>
    <row r="277" spans="1:21" ht="15.5" x14ac:dyDescent="0.35">
      <c r="D277" s="9" t="str">
        <f>IFERROR('Demo Rank'!$B260,"")</f>
        <v/>
      </c>
      <c r="E277" s="10" t="str">
        <f>IFERROR('Demo Rank'!$C260,"")</f>
        <v/>
      </c>
      <c r="F277" s="11" t="str">
        <f>IFERROR('Demo Rank'!$D260,"0.0%")</f>
        <v>0.0%</v>
      </c>
      <c r="G277" s="10" t="str">
        <f>IFERROR('Demo Rank'!$E260,"")</f>
        <v/>
      </c>
      <c r="H277" s="12" t="str">
        <f>IFERROR('Demo Rank'!$F260,"0.0%")</f>
        <v>0.0%</v>
      </c>
      <c r="I277" s="12">
        <f t="shared" si="10"/>
        <v>0</v>
      </c>
      <c r="K277" s="9" t="str">
        <f>IFERROR('Demo Rank'!$B260,"")</f>
        <v/>
      </c>
      <c r="L277" s="10" t="str">
        <f>IFERROR('Demo Rank'!$G260,"")</f>
        <v/>
      </c>
      <c r="M277" s="11" t="str">
        <f>IFERROR('Demo Rank'!$H260,"0.0%")</f>
        <v>0.0%</v>
      </c>
      <c r="N277" s="10" t="str">
        <f>IFERROR('Demo Rank'!$I260,"")</f>
        <v/>
      </c>
      <c r="O277" s="12" t="str">
        <f>IFERROR('Demo Rank'!$J260,"0.0%")</f>
        <v>0.0%</v>
      </c>
      <c r="P277" s="12">
        <f t="shared" si="11"/>
        <v>0</v>
      </c>
    </row>
    <row r="278" spans="1:21" ht="15.5" x14ac:dyDescent="0.35">
      <c r="D278" s="9" t="str">
        <f>IFERROR('Demo Rank'!$B261,"")</f>
        <v/>
      </c>
      <c r="E278" s="10" t="str">
        <f>IFERROR('Demo Rank'!$C261,"")</f>
        <v/>
      </c>
      <c r="F278" s="11" t="str">
        <f>IFERROR('Demo Rank'!$D261,"0.0%")</f>
        <v>0.0%</v>
      </c>
      <c r="G278" s="10" t="str">
        <f>IFERROR('Demo Rank'!$E261,"")</f>
        <v/>
      </c>
      <c r="H278" s="12" t="str">
        <f>IFERROR('Demo Rank'!$F261,"0.0%")</f>
        <v>0.0%</v>
      </c>
      <c r="I278" s="12">
        <f t="shared" si="10"/>
        <v>0</v>
      </c>
      <c r="K278" s="9" t="str">
        <f>IFERROR('Demo Rank'!$B261,"")</f>
        <v/>
      </c>
      <c r="L278" s="10" t="str">
        <f>IFERROR('Demo Rank'!$G261,"")</f>
        <v/>
      </c>
      <c r="M278" s="11" t="str">
        <f>IFERROR('Demo Rank'!$H261,"0.0%")</f>
        <v>0.0%</v>
      </c>
      <c r="N278" s="10" t="str">
        <f>IFERROR('Demo Rank'!$I261,"")</f>
        <v/>
      </c>
      <c r="O278" s="12" t="str">
        <f>IFERROR('Demo Rank'!$J261,"0.0%")</f>
        <v>0.0%</v>
      </c>
      <c r="P278" s="12">
        <f t="shared" si="11"/>
        <v>0</v>
      </c>
    </row>
    <row r="279" spans="1:21" ht="15.5" x14ac:dyDescent="0.35">
      <c r="D279" s="9" t="str">
        <f>IFERROR('Demo Rank'!$B262,"")</f>
        <v/>
      </c>
      <c r="E279" s="10" t="str">
        <f>IFERROR('Demo Rank'!$C262,"")</f>
        <v/>
      </c>
      <c r="F279" s="11" t="str">
        <f>IFERROR('Demo Rank'!$D262,"0.0%")</f>
        <v>0.0%</v>
      </c>
      <c r="G279" s="10" t="str">
        <f>IFERROR('Demo Rank'!$E262,"")</f>
        <v/>
      </c>
      <c r="H279" s="12" t="str">
        <f>IFERROR('Demo Rank'!$F262,"0.0%")</f>
        <v>0.0%</v>
      </c>
      <c r="I279" s="12">
        <f t="shared" si="10"/>
        <v>0</v>
      </c>
      <c r="K279" s="9" t="str">
        <f>IFERROR('Demo Rank'!$B262,"")</f>
        <v/>
      </c>
      <c r="L279" s="10" t="str">
        <f>IFERROR('Demo Rank'!$G262,"")</f>
        <v/>
      </c>
      <c r="M279" s="11" t="str">
        <f>IFERROR('Demo Rank'!$H262,"0.0%")</f>
        <v>0.0%</v>
      </c>
      <c r="N279" s="10" t="str">
        <f>IFERROR('Demo Rank'!$I262,"")</f>
        <v/>
      </c>
      <c r="O279" s="12" t="str">
        <f>IFERROR('Demo Rank'!$J262,"0.0%")</f>
        <v>0.0%</v>
      </c>
      <c r="P279" s="12">
        <f t="shared" si="11"/>
        <v>0</v>
      </c>
    </row>
    <row r="280" spans="1:21" ht="15.5" x14ac:dyDescent="0.35">
      <c r="D280" s="9" t="str">
        <f>IFERROR('Demo Rank'!$B263,"")</f>
        <v/>
      </c>
      <c r="E280" s="10" t="str">
        <f>IFERROR('Demo Rank'!$C263,"")</f>
        <v/>
      </c>
      <c r="F280" s="11" t="str">
        <f>IFERROR('Demo Rank'!$D263,"0.0%")</f>
        <v>0.0%</v>
      </c>
      <c r="G280" s="10" t="str">
        <f>IFERROR('Demo Rank'!$E263,"")</f>
        <v/>
      </c>
      <c r="H280" s="12" t="str">
        <f>IFERROR('Demo Rank'!$F263,"0.0%")</f>
        <v>0.0%</v>
      </c>
      <c r="I280" s="12">
        <f t="shared" si="10"/>
        <v>0</v>
      </c>
      <c r="K280" s="9" t="str">
        <f>IFERROR('Demo Rank'!$B263,"")</f>
        <v/>
      </c>
      <c r="L280" s="10" t="str">
        <f>IFERROR('Demo Rank'!$G263,"")</f>
        <v/>
      </c>
      <c r="M280" s="11" t="str">
        <f>IFERROR('Demo Rank'!$H263,"0.0%")</f>
        <v>0.0%</v>
      </c>
      <c r="N280" s="10" t="str">
        <f>IFERROR('Demo Rank'!$I263,"")</f>
        <v/>
      </c>
      <c r="O280" s="12" t="str">
        <f>IFERROR('Demo Rank'!$J263,"0.0%")</f>
        <v>0.0%</v>
      </c>
      <c r="P280" s="12">
        <f t="shared" si="11"/>
        <v>0</v>
      </c>
    </row>
    <row r="281" spans="1:21" ht="15.5" x14ac:dyDescent="0.35">
      <c r="D281" s="9" t="str">
        <f>IFERROR('Demo Rank'!$B264,"")</f>
        <v/>
      </c>
      <c r="E281" s="10" t="str">
        <f>IFERROR('Demo Rank'!$C264,"")</f>
        <v/>
      </c>
      <c r="F281" s="11" t="str">
        <f>IFERROR('Demo Rank'!$D264,"0.0%")</f>
        <v>0.0%</v>
      </c>
      <c r="G281" s="10" t="str">
        <f>IFERROR('Demo Rank'!$E264,"")</f>
        <v/>
      </c>
      <c r="H281" s="12" t="str">
        <f>IFERROR('Demo Rank'!$F264,"0.0%")</f>
        <v>0.0%</v>
      </c>
      <c r="I281" s="12">
        <f t="shared" si="10"/>
        <v>0</v>
      </c>
      <c r="K281" s="9" t="str">
        <f>IFERROR('Demo Rank'!$B264,"")</f>
        <v/>
      </c>
      <c r="L281" s="10" t="str">
        <f>IFERROR('Demo Rank'!$G264,"")</f>
        <v/>
      </c>
      <c r="M281" s="11" t="str">
        <f>IFERROR('Demo Rank'!$H264,"0.0%")</f>
        <v>0.0%</v>
      </c>
      <c r="N281" s="10" t="str">
        <f>IFERROR('Demo Rank'!$I264,"")</f>
        <v/>
      </c>
      <c r="O281" s="12" t="str">
        <f>IFERROR('Demo Rank'!$J264,"0.0%")</f>
        <v>0.0%</v>
      </c>
      <c r="P281" s="12">
        <f t="shared" si="11"/>
        <v>0</v>
      </c>
    </row>
    <row r="282" spans="1:21" ht="15.5" x14ac:dyDescent="0.35">
      <c r="D282" s="9" t="str">
        <f>IFERROR('Demo Rank'!$B265,"")</f>
        <v/>
      </c>
      <c r="E282" s="10" t="str">
        <f>IFERROR('Demo Rank'!$C265,"")</f>
        <v/>
      </c>
      <c r="F282" s="11" t="str">
        <f>IFERROR('Demo Rank'!$D265,"0.0%")</f>
        <v>0.0%</v>
      </c>
      <c r="G282" s="10" t="str">
        <f>IFERROR('Demo Rank'!$E265,"")</f>
        <v/>
      </c>
      <c r="H282" s="12" t="str">
        <f>IFERROR('Demo Rank'!$F265,"0.0%")</f>
        <v>0.0%</v>
      </c>
      <c r="I282" s="12">
        <f t="shared" si="10"/>
        <v>0</v>
      </c>
      <c r="K282" s="9" t="str">
        <f>IFERROR('Demo Rank'!$B265,"")</f>
        <v/>
      </c>
      <c r="L282" s="10" t="str">
        <f>IFERROR('Demo Rank'!$G265,"")</f>
        <v/>
      </c>
      <c r="M282" s="11" t="str">
        <f>IFERROR('Demo Rank'!$H265,"0.0%")</f>
        <v>0.0%</v>
      </c>
      <c r="N282" s="10" t="str">
        <f>IFERROR('Demo Rank'!$I265,"")</f>
        <v/>
      </c>
      <c r="O282" s="12" t="str">
        <f>IFERROR('Demo Rank'!$J265,"0.0%")</f>
        <v>0.0%</v>
      </c>
      <c r="P282" s="12">
        <f t="shared" si="11"/>
        <v>0</v>
      </c>
    </row>
    <row r="283" spans="1:21" ht="15.5" x14ac:dyDescent="0.35">
      <c r="D283" s="9" t="str">
        <f>IFERROR('Demo Rank'!$B266,"")</f>
        <v/>
      </c>
      <c r="E283" s="10" t="str">
        <f>IFERROR('Demo Rank'!$C266,"")</f>
        <v/>
      </c>
      <c r="F283" s="11" t="str">
        <f>IFERROR('Demo Rank'!$D266,"0.0%")</f>
        <v>0.0%</v>
      </c>
      <c r="G283" s="10" t="str">
        <f>IFERROR('Demo Rank'!$E266,"")</f>
        <v/>
      </c>
      <c r="H283" s="12" t="str">
        <f>IFERROR('Demo Rank'!$F266,"0.0%")</f>
        <v>0.0%</v>
      </c>
      <c r="I283" s="12">
        <f t="shared" si="10"/>
        <v>0</v>
      </c>
      <c r="K283" s="9" t="str">
        <f>IFERROR('Demo Rank'!$B266,"")</f>
        <v/>
      </c>
      <c r="L283" s="10" t="str">
        <f>IFERROR('Demo Rank'!$G266,"")</f>
        <v/>
      </c>
      <c r="M283" s="11" t="str">
        <f>IFERROR('Demo Rank'!$H266,"0.0%")</f>
        <v>0.0%</v>
      </c>
      <c r="N283" s="10" t="str">
        <f>IFERROR('Demo Rank'!$I266,"")</f>
        <v/>
      </c>
      <c r="O283" s="12" t="str">
        <f>IFERROR('Demo Rank'!$J266,"0.0%")</f>
        <v>0.0%</v>
      </c>
      <c r="P283" s="12">
        <f t="shared" si="11"/>
        <v>0</v>
      </c>
    </row>
    <row r="284" spans="1:21" ht="15.5" x14ac:dyDescent="0.35">
      <c r="D284" s="9" t="str">
        <f>IFERROR('Demo Rank'!$B267,"")</f>
        <v/>
      </c>
      <c r="E284" s="10" t="str">
        <f>IFERROR('Demo Rank'!$C267,"")</f>
        <v/>
      </c>
      <c r="F284" s="11" t="str">
        <f>IFERROR('Demo Rank'!$D267,"0.0%")</f>
        <v>0.0%</v>
      </c>
      <c r="G284" s="10" t="str">
        <f>IFERROR('Demo Rank'!$E267,"")</f>
        <v/>
      </c>
      <c r="H284" s="12" t="str">
        <f>IFERROR('Demo Rank'!$F267,"0.0%")</f>
        <v>0.0%</v>
      </c>
      <c r="I284" s="12">
        <f t="shared" si="10"/>
        <v>0</v>
      </c>
      <c r="K284" s="9" t="str">
        <f>IFERROR('Demo Rank'!$B267,"")</f>
        <v/>
      </c>
      <c r="L284" s="10" t="str">
        <f>IFERROR('Demo Rank'!$G267,"")</f>
        <v/>
      </c>
      <c r="M284" s="11" t="str">
        <f>IFERROR('Demo Rank'!$H267,"0.0%")</f>
        <v>0.0%</v>
      </c>
      <c r="N284" s="10" t="str">
        <f>IFERROR('Demo Rank'!$I267,"")</f>
        <v/>
      </c>
      <c r="O284" s="12" t="str">
        <f>IFERROR('Demo Rank'!$J267,"0.0%")</f>
        <v>0.0%</v>
      </c>
      <c r="P284" s="12">
        <f t="shared" si="11"/>
        <v>0</v>
      </c>
    </row>
    <row r="285" spans="1:21" ht="15.5" x14ac:dyDescent="0.35">
      <c r="D285" s="9" t="str">
        <f>IFERROR('Demo Rank'!$B268,"")</f>
        <v/>
      </c>
      <c r="E285" s="10" t="str">
        <f>IFERROR('Demo Rank'!$C268,"")</f>
        <v/>
      </c>
      <c r="F285" s="11" t="str">
        <f>IFERROR('Demo Rank'!$D268,"0.0%")</f>
        <v>0.0%</v>
      </c>
      <c r="G285" s="10" t="str">
        <f>IFERROR('Demo Rank'!$E268,"")</f>
        <v/>
      </c>
      <c r="H285" s="12" t="str">
        <f>IFERROR('Demo Rank'!$F268,"0.0%")</f>
        <v>0.0%</v>
      </c>
      <c r="I285" s="12">
        <f t="shared" si="10"/>
        <v>0</v>
      </c>
      <c r="K285" s="9" t="str">
        <f>IFERROR('Demo Rank'!$B268,"")</f>
        <v/>
      </c>
      <c r="L285" s="10" t="str">
        <f>IFERROR('Demo Rank'!$G268,"")</f>
        <v/>
      </c>
      <c r="M285" s="11" t="str">
        <f>IFERROR('Demo Rank'!$H268,"0.0%")</f>
        <v>0.0%</v>
      </c>
      <c r="N285" s="10" t="str">
        <f>IFERROR('Demo Rank'!$I268,"")</f>
        <v/>
      </c>
      <c r="O285" s="12" t="str">
        <f>IFERROR('Demo Rank'!$J268,"0.0%")</f>
        <v>0.0%</v>
      </c>
      <c r="P285" s="12">
        <f t="shared" si="11"/>
        <v>0</v>
      </c>
    </row>
    <row r="286" spans="1:21" ht="15.5" x14ac:dyDescent="0.35">
      <c r="D286" s="9" t="str">
        <f>IFERROR('Demo Rank'!$B269,"")</f>
        <v/>
      </c>
      <c r="E286" s="10" t="str">
        <f>IFERROR('Demo Rank'!$C269,"")</f>
        <v/>
      </c>
      <c r="F286" s="11" t="str">
        <f>IFERROR('Demo Rank'!$D269,"0.0%")</f>
        <v>0.0%</v>
      </c>
      <c r="G286" s="10" t="str">
        <f>IFERROR('Demo Rank'!$E269,"")</f>
        <v/>
      </c>
      <c r="H286" s="12" t="str">
        <f>IFERROR('Demo Rank'!$F269,"0.0%")</f>
        <v>0.0%</v>
      </c>
      <c r="I286" s="12">
        <f t="shared" si="10"/>
        <v>0</v>
      </c>
      <c r="K286" s="9" t="str">
        <f>IFERROR('Demo Rank'!$B269,"")</f>
        <v/>
      </c>
      <c r="L286" s="10" t="str">
        <f>IFERROR('Demo Rank'!$G269,"")</f>
        <v/>
      </c>
      <c r="M286" s="11" t="str">
        <f>IFERROR('Demo Rank'!$H269,"0.0%")</f>
        <v>0.0%</v>
      </c>
      <c r="N286" s="10" t="str">
        <f>IFERROR('Demo Rank'!$I269,"")</f>
        <v/>
      </c>
      <c r="O286" s="12" t="str">
        <f>IFERROR('Demo Rank'!$J269,"0.0%")</f>
        <v>0.0%</v>
      </c>
      <c r="P286" s="12">
        <f t="shared" si="11"/>
        <v>0</v>
      </c>
    </row>
    <row r="287" spans="1:21" ht="15.5" x14ac:dyDescent="0.35">
      <c r="D287" s="9" t="str">
        <f>IFERROR('Demo Rank'!$B270,"")</f>
        <v/>
      </c>
      <c r="E287" s="10" t="str">
        <f>IFERROR('Demo Rank'!$C270,"")</f>
        <v/>
      </c>
      <c r="F287" s="11" t="str">
        <f>IFERROR('Demo Rank'!$D270,"0.0%")</f>
        <v>0.0%</v>
      </c>
      <c r="G287" s="10" t="str">
        <f>IFERROR('Demo Rank'!$E270,"")</f>
        <v/>
      </c>
      <c r="H287" s="12" t="str">
        <f>IFERROR('Demo Rank'!$F270,"0.0%")</f>
        <v>0.0%</v>
      </c>
      <c r="I287" s="12">
        <f t="shared" si="10"/>
        <v>0</v>
      </c>
      <c r="K287" s="9" t="str">
        <f>IFERROR('Demo Rank'!$B270,"")</f>
        <v/>
      </c>
      <c r="L287" s="10" t="str">
        <f>IFERROR('Demo Rank'!$G270,"")</f>
        <v/>
      </c>
      <c r="M287" s="11" t="str">
        <f>IFERROR('Demo Rank'!$H270,"0.0%")</f>
        <v>0.0%</v>
      </c>
      <c r="N287" s="10" t="str">
        <f>IFERROR('Demo Rank'!$I270,"")</f>
        <v/>
      </c>
      <c r="O287" s="12" t="str">
        <f>IFERROR('Demo Rank'!$J270,"0.0%")</f>
        <v>0.0%</v>
      </c>
      <c r="P287" s="12">
        <f t="shared" si="11"/>
        <v>0</v>
      </c>
    </row>
    <row r="288" spans="1:21" ht="15.5" x14ac:dyDescent="0.35">
      <c r="D288" s="9" t="str">
        <f>IFERROR('Demo Rank'!$B271,"")</f>
        <v/>
      </c>
      <c r="E288" s="10" t="str">
        <f>IFERROR('Demo Rank'!$C271,"")</f>
        <v/>
      </c>
      <c r="F288" s="11" t="str">
        <f>IFERROR('Demo Rank'!$D271,"0.0%")</f>
        <v>0.0%</v>
      </c>
      <c r="G288" s="10" t="str">
        <f>IFERROR('Demo Rank'!$E271,"")</f>
        <v/>
      </c>
      <c r="H288" s="12" t="str">
        <f>IFERROR('Demo Rank'!$F271,"0.0%")</f>
        <v>0.0%</v>
      </c>
      <c r="I288" s="12">
        <f t="shared" si="10"/>
        <v>0</v>
      </c>
      <c r="K288" s="9" t="str">
        <f>IFERROR('Demo Rank'!$B271,"")</f>
        <v/>
      </c>
      <c r="L288" s="10" t="str">
        <f>IFERROR('Demo Rank'!$G271,"")</f>
        <v/>
      </c>
      <c r="M288" s="11" t="str">
        <f>IFERROR('Demo Rank'!$H271,"0.0%")</f>
        <v>0.0%</v>
      </c>
      <c r="N288" s="10" t="str">
        <f>IFERROR('Demo Rank'!$I271,"")</f>
        <v/>
      </c>
      <c r="O288" s="12" t="str">
        <f>IFERROR('Demo Rank'!$J271,"0.0%")</f>
        <v>0.0%</v>
      </c>
      <c r="P288" s="12">
        <f t="shared" si="11"/>
        <v>0</v>
      </c>
    </row>
    <row r="289" spans="4:16" ht="15.5" x14ac:dyDescent="0.35">
      <c r="D289" s="9" t="str">
        <f>IFERROR('Demo Rank'!$B272,"")</f>
        <v/>
      </c>
      <c r="E289" s="10" t="str">
        <f>IFERROR('Demo Rank'!$C272,"")</f>
        <v/>
      </c>
      <c r="F289" s="11" t="str">
        <f>IFERROR('Demo Rank'!$D272,"0.0%")</f>
        <v>0.0%</v>
      </c>
      <c r="G289" s="10" t="str">
        <f>IFERROR('Demo Rank'!$E272,"")</f>
        <v/>
      </c>
      <c r="H289" s="12" t="str">
        <f>IFERROR('Demo Rank'!$F272,"0.0%")</f>
        <v>0.0%</v>
      </c>
      <c r="I289" s="12">
        <f t="shared" si="10"/>
        <v>0</v>
      </c>
      <c r="K289" s="9" t="str">
        <f>IFERROR('Demo Rank'!$B272,"")</f>
        <v/>
      </c>
      <c r="L289" s="10" t="str">
        <f>IFERROR('Demo Rank'!$G272,"")</f>
        <v/>
      </c>
      <c r="M289" s="11" t="str">
        <f>IFERROR('Demo Rank'!$H272,"0.0%")</f>
        <v>0.0%</v>
      </c>
      <c r="N289" s="10" t="str">
        <f>IFERROR('Demo Rank'!$I272,"")</f>
        <v/>
      </c>
      <c r="O289" s="12" t="str">
        <f>IFERROR('Demo Rank'!$J272,"0.0%")</f>
        <v>0.0%</v>
      </c>
      <c r="P289" s="12">
        <f t="shared" si="11"/>
        <v>0</v>
      </c>
    </row>
    <row r="290" spans="4:16" ht="15.5" x14ac:dyDescent="0.35">
      <c r="D290" s="9" t="str">
        <f>IFERROR('Demo Rank'!$B273,"")</f>
        <v/>
      </c>
      <c r="E290" s="10" t="str">
        <f>IFERROR('Demo Rank'!$C273,"")</f>
        <v/>
      </c>
      <c r="F290" s="11" t="str">
        <f>IFERROR('Demo Rank'!$D273,"0.0%")</f>
        <v>0.0%</v>
      </c>
      <c r="G290" s="10" t="str">
        <f>IFERROR('Demo Rank'!$E273,"")</f>
        <v/>
      </c>
      <c r="H290" s="12" t="str">
        <f>IFERROR('Demo Rank'!$F273,"0.0%")</f>
        <v>0.0%</v>
      </c>
      <c r="I290" s="12">
        <f t="shared" si="10"/>
        <v>0</v>
      </c>
      <c r="K290" s="9" t="str">
        <f>IFERROR('Demo Rank'!$B273,"")</f>
        <v/>
      </c>
      <c r="L290" s="10" t="str">
        <f>IFERROR('Demo Rank'!$G273,"")</f>
        <v/>
      </c>
      <c r="M290" s="11" t="str">
        <f>IFERROR('Demo Rank'!$H273,"0.0%")</f>
        <v>0.0%</v>
      </c>
      <c r="N290" s="10" t="str">
        <f>IFERROR('Demo Rank'!$I273,"")</f>
        <v/>
      </c>
      <c r="O290" s="12" t="str">
        <f>IFERROR('Demo Rank'!$J273,"0.0%")</f>
        <v>0.0%</v>
      </c>
      <c r="P290" s="12">
        <f t="shared" si="11"/>
        <v>0</v>
      </c>
    </row>
    <row r="291" spans="4:16" ht="15.5" x14ac:dyDescent="0.35">
      <c r="D291" s="9" t="str">
        <f>IFERROR('Demo Rank'!$B274,"")</f>
        <v/>
      </c>
      <c r="E291" s="10" t="str">
        <f>IFERROR('Demo Rank'!$C274,"")</f>
        <v/>
      </c>
      <c r="F291" s="11" t="str">
        <f>IFERROR('Demo Rank'!$D274,"0.0%")</f>
        <v>0.0%</v>
      </c>
      <c r="G291" s="10" t="str">
        <f>IFERROR('Demo Rank'!$E274,"")</f>
        <v/>
      </c>
      <c r="H291" s="12" t="str">
        <f>IFERROR('Demo Rank'!$F274,"0.0%")</f>
        <v>0.0%</v>
      </c>
      <c r="I291" s="12">
        <f t="shared" si="10"/>
        <v>0</v>
      </c>
      <c r="K291" s="9" t="str">
        <f>IFERROR('Demo Rank'!$B274,"")</f>
        <v/>
      </c>
      <c r="L291" s="10" t="str">
        <f>IFERROR('Demo Rank'!$G274,"")</f>
        <v/>
      </c>
      <c r="M291" s="11" t="str">
        <f>IFERROR('Demo Rank'!$H274,"0.0%")</f>
        <v>0.0%</v>
      </c>
      <c r="N291" s="10" t="str">
        <f>IFERROR('Demo Rank'!$I274,"")</f>
        <v/>
      </c>
      <c r="O291" s="12" t="str">
        <f>IFERROR('Demo Rank'!$J274,"0.0%")</f>
        <v>0.0%</v>
      </c>
      <c r="P291" s="12">
        <f t="shared" si="11"/>
        <v>0</v>
      </c>
    </row>
    <row r="292" spans="4:16" ht="15.5" x14ac:dyDescent="0.35">
      <c r="D292" s="22" t="str">
        <f>IFERROR('Demo Rank'!$B275,"")</f>
        <v/>
      </c>
      <c r="E292" s="13" t="str">
        <f>IFERROR('Demo Rank'!$C275,"")</f>
        <v/>
      </c>
      <c r="F292" s="24" t="str">
        <f>IFERROR('Demo Rank'!$D275,"0.0%")</f>
        <v>0.0%</v>
      </c>
      <c r="G292" s="13" t="str">
        <f>IFERROR('Demo Rank'!$E275,"")</f>
        <v/>
      </c>
      <c r="H292" s="640" t="str">
        <f>IFERROR('Demo Rank'!$F275,"0.0%")</f>
        <v>0.0%</v>
      </c>
      <c r="I292" s="101">
        <f t="shared" si="10"/>
        <v>0</v>
      </c>
      <c r="K292" s="22" t="str">
        <f>IFERROR('Demo Rank'!$B275,"")</f>
        <v/>
      </c>
      <c r="L292" s="13" t="str">
        <f>IFERROR('Demo Rank'!$G275,"")</f>
        <v/>
      </c>
      <c r="M292" s="24" t="str">
        <f>IFERROR('Demo Rank'!$H275,"0.0%")</f>
        <v>0.0%</v>
      </c>
      <c r="N292" s="13" t="str">
        <f>IFERROR('Demo Rank'!$I275,"")</f>
        <v/>
      </c>
      <c r="O292" s="640" t="str">
        <f>IFERROR('Demo Rank'!$J275,"0.0%")</f>
        <v>0.0%</v>
      </c>
      <c r="P292" s="101">
        <f t="shared" si="11"/>
        <v>0</v>
      </c>
    </row>
    <row r="293" spans="4:16" x14ac:dyDescent="0.35">
      <c r="I293" s="48" t="s">
        <v>382</v>
      </c>
      <c r="P293" s="48" t="s">
        <v>382</v>
      </c>
    </row>
    <row r="294" spans="4:16" x14ac:dyDescent="0.35">
      <c r="I294" s="48"/>
      <c r="P294" s="48"/>
    </row>
    <row r="295" spans="4:16" ht="25" customHeight="1" x14ac:dyDescent="0.35">
      <c r="D295" s="655" t="s">
        <v>781</v>
      </c>
      <c r="E295" s="655"/>
      <c r="F295" s="655"/>
      <c r="G295" s="655"/>
      <c r="H295" s="655"/>
      <c r="I295" s="655"/>
      <c r="J295" s="655"/>
      <c r="K295" s="655"/>
      <c r="L295" s="655"/>
      <c r="M295" s="655"/>
      <c r="N295" s="655"/>
      <c r="O295" s="655"/>
      <c r="P295" s="655"/>
    </row>
    <row r="296" spans="4:16" x14ac:dyDescent="0.35">
      <c r="I296" s="48"/>
      <c r="P296" s="48"/>
    </row>
    <row r="297" spans="4:16" x14ac:dyDescent="0.35"/>
    <row r="298" spans="4:16" x14ac:dyDescent="0.35"/>
    <row r="299" spans="4:16" x14ac:dyDescent="0.35"/>
    <row r="300" spans="4:16" x14ac:dyDescent="0.35"/>
    <row r="301" spans="4:16" x14ac:dyDescent="0.35"/>
    <row r="302" spans="4:16" x14ac:dyDescent="0.35"/>
    <row r="303" spans="4:16" x14ac:dyDescent="0.35"/>
    <row r="304" spans="4:16" x14ac:dyDescent="0.35"/>
    <row r="305" spans="4:16" x14ac:dyDescent="0.35"/>
    <row r="306" spans="4:16" x14ac:dyDescent="0.35"/>
    <row r="307" spans="4:16" x14ac:dyDescent="0.35"/>
    <row r="308" spans="4:16" x14ac:dyDescent="0.35"/>
    <row r="309" spans="4:16" x14ac:dyDescent="0.35"/>
    <row r="310" spans="4:16" x14ac:dyDescent="0.35"/>
    <row r="311" spans="4:16" x14ac:dyDescent="0.35"/>
    <row r="312" spans="4:16" x14ac:dyDescent="0.35"/>
    <row r="313" spans="4:16" x14ac:dyDescent="0.35"/>
    <row r="314" spans="4:16" x14ac:dyDescent="0.35"/>
    <row r="315" spans="4:16" x14ac:dyDescent="0.35"/>
    <row r="316" spans="4:16" x14ac:dyDescent="0.35"/>
    <row r="317" spans="4:16" x14ac:dyDescent="0.35"/>
    <row r="318" spans="4:16" x14ac:dyDescent="0.35"/>
    <row r="319" spans="4:16" x14ac:dyDescent="0.35"/>
    <row r="320" spans="4:16" ht="32.15" customHeight="1" x14ac:dyDescent="0.35">
      <c r="D320" s="438" t="s">
        <v>782</v>
      </c>
      <c r="E320" s="656"/>
      <c r="F320" s="656"/>
      <c r="G320" s="656"/>
      <c r="H320" s="656"/>
      <c r="I320" s="657"/>
      <c r="J320" s="75"/>
      <c r="K320" s="438" t="s">
        <v>783</v>
      </c>
      <c r="L320" s="656"/>
      <c r="M320" s="656"/>
      <c r="N320" s="656"/>
      <c r="O320" s="656"/>
      <c r="P320" s="657"/>
    </row>
    <row r="321" spans="1:21" ht="32.15" customHeight="1" x14ac:dyDescent="0.35">
      <c r="B321" s="638"/>
      <c r="C321" s="641"/>
      <c r="D321" s="651" t="s">
        <v>782</v>
      </c>
      <c r="E321" s="652" t="str">
        <f>Data!$A$71 &amp; CHAR(10) &amp;" Severely Impaired"</f>
        <v xml:space="preserve">
 Severely Impaired</v>
      </c>
      <c r="F321" s="653"/>
      <c r="G321" s="652" t="str">
        <f>Data!$A$71&amp; CHAR(10) &amp;" Recipients"</f>
        <v xml:space="preserve">
 Recipients</v>
      </c>
      <c r="H321" s="653"/>
      <c r="I321" s="654" t="s">
        <v>762</v>
      </c>
      <c r="J321" s="638"/>
      <c r="K321" s="651" t="s">
        <v>783</v>
      </c>
      <c r="L321" s="652" t="str">
        <f>LEFT(Data!$A$62,9) &amp; CHAR(10) &amp; " Severely Impaired"</f>
        <v>Statewide
 Severely Impaired</v>
      </c>
      <c r="M321" s="653"/>
      <c r="N321" s="652" t="str">
        <f>LEFT(Data!$A$62,9)&amp; CHAR(10) &amp; " Recipients"</f>
        <v>Statewide
 Recipients</v>
      </c>
      <c r="O321" s="653"/>
      <c r="P321" s="654" t="s">
        <v>762</v>
      </c>
      <c r="Q321" s="639"/>
      <c r="R321" s="639"/>
      <c r="S321" s="638"/>
      <c r="T321" s="638"/>
      <c r="U321" s="638"/>
    </row>
    <row r="322" spans="1:21" ht="15.5" x14ac:dyDescent="0.35">
      <c r="A322" s="638"/>
      <c r="D322" s="9" t="str">
        <f>IFERROR('Demo Rank'!$B284,"")</f>
        <v/>
      </c>
      <c r="E322" s="10" t="str">
        <f>IFERROR('Demo Rank'!$C284,"")</f>
        <v/>
      </c>
      <c r="F322" s="11" t="str">
        <f>IFERROR('Demo Rank'!$D284,"0.0%")</f>
        <v>0.0%</v>
      </c>
      <c r="G322" s="10" t="str">
        <f>IFERROR('Demo Rank'!$E284,"")</f>
        <v/>
      </c>
      <c r="H322" s="12" t="str">
        <f>IFERROR('Demo Rank'!$F284,"0.0%")</f>
        <v>0.0%</v>
      </c>
      <c r="I322" s="12">
        <f t="shared" ref="I322:I340" si="12">IFERROR(F322-H322,"&lt;11")</f>
        <v>0</v>
      </c>
      <c r="K322" s="9" t="str">
        <f>IFERROR('Demo Rank'!$B284,"")</f>
        <v/>
      </c>
      <c r="L322" s="10" t="str">
        <f>IFERROR('Demo Rank'!$G284,"")</f>
        <v/>
      </c>
      <c r="M322" s="11" t="str">
        <f>IFERROR('Demo Rank'!$H284,"0.0%")</f>
        <v>0.0%</v>
      </c>
      <c r="N322" s="10" t="str">
        <f>IFERROR('Demo Rank'!$I284,"")</f>
        <v/>
      </c>
      <c r="O322" s="12" t="str">
        <f>IFERROR('Demo Rank'!$J284,"0.0%")</f>
        <v>0.0%</v>
      </c>
      <c r="P322" s="12">
        <f t="shared" ref="P322:P340" si="13">IFERROR(M322-O322,"&lt;11")</f>
        <v>0</v>
      </c>
    </row>
    <row r="323" spans="1:21" ht="15.5" x14ac:dyDescent="0.35">
      <c r="D323" s="9" t="str">
        <f>IFERROR('Demo Rank'!$B285,"")</f>
        <v/>
      </c>
      <c r="E323" s="10" t="str">
        <f>IFERROR('Demo Rank'!$C285,"")</f>
        <v/>
      </c>
      <c r="F323" s="11" t="str">
        <f>IFERROR('Demo Rank'!$D285,"0.0%")</f>
        <v>0.0%</v>
      </c>
      <c r="G323" s="10" t="str">
        <f>IFERROR('Demo Rank'!$E285,"")</f>
        <v/>
      </c>
      <c r="H323" s="12" t="str">
        <f>IFERROR('Demo Rank'!$F285,"0.0%")</f>
        <v>0.0%</v>
      </c>
      <c r="I323" s="12">
        <f t="shared" si="12"/>
        <v>0</v>
      </c>
      <c r="K323" s="9" t="str">
        <f>IFERROR('Demo Rank'!$B285,"")</f>
        <v/>
      </c>
      <c r="L323" s="10" t="str">
        <f>IFERROR('Demo Rank'!$G285,"")</f>
        <v/>
      </c>
      <c r="M323" s="11" t="str">
        <f>IFERROR('Demo Rank'!$H285,"0.0%")</f>
        <v>0.0%</v>
      </c>
      <c r="N323" s="10" t="str">
        <f>IFERROR('Demo Rank'!$I285,"")</f>
        <v/>
      </c>
      <c r="O323" s="637" t="str">
        <f>IFERROR('Demo Rank'!$J285,"0.0%")</f>
        <v>0.0%</v>
      </c>
      <c r="P323" s="12">
        <f t="shared" si="13"/>
        <v>0</v>
      </c>
    </row>
    <row r="324" spans="1:21" ht="15.5" x14ac:dyDescent="0.35">
      <c r="D324" s="9" t="str">
        <f>IFERROR('Demo Rank'!$B286,"")</f>
        <v/>
      </c>
      <c r="E324" s="10" t="str">
        <f>IFERROR('Demo Rank'!$C286,"")</f>
        <v/>
      </c>
      <c r="F324" s="11" t="str">
        <f>IFERROR('Demo Rank'!$D286,"0.0%")</f>
        <v>0.0%</v>
      </c>
      <c r="G324" s="10" t="str">
        <f>IFERROR('Demo Rank'!$E286,"")</f>
        <v/>
      </c>
      <c r="H324" s="12" t="str">
        <f>IFERROR('Demo Rank'!$F286,"0.0%")</f>
        <v>0.0%</v>
      </c>
      <c r="I324" s="12">
        <f t="shared" si="12"/>
        <v>0</v>
      </c>
      <c r="K324" s="9" t="str">
        <f>IFERROR('Demo Rank'!$B286,"")</f>
        <v/>
      </c>
      <c r="L324" s="10" t="str">
        <f>IFERROR('Demo Rank'!$G286,"")</f>
        <v/>
      </c>
      <c r="M324" s="11" t="str">
        <f>IFERROR('Demo Rank'!$H286,"0.0%")</f>
        <v>0.0%</v>
      </c>
      <c r="N324" s="10" t="str">
        <f>IFERROR('Demo Rank'!$I286,"")</f>
        <v/>
      </c>
      <c r="O324" s="12" t="str">
        <f>IFERROR('Demo Rank'!$J286,"0.0%")</f>
        <v>0.0%</v>
      </c>
      <c r="P324" s="12">
        <f t="shared" si="13"/>
        <v>0</v>
      </c>
    </row>
    <row r="325" spans="1:21" ht="15.5" x14ac:dyDescent="0.35">
      <c r="D325" s="9" t="str">
        <f>IFERROR('Demo Rank'!$B287,"")</f>
        <v/>
      </c>
      <c r="E325" s="10" t="str">
        <f>IFERROR('Demo Rank'!$C287,"")</f>
        <v/>
      </c>
      <c r="F325" s="11" t="str">
        <f>IFERROR('Demo Rank'!$D287,"0.0%")</f>
        <v>0.0%</v>
      </c>
      <c r="G325" s="10" t="str">
        <f>IFERROR('Demo Rank'!$E287,"")</f>
        <v/>
      </c>
      <c r="H325" s="12" t="str">
        <f>IFERROR('Demo Rank'!$F287,"0.0%")</f>
        <v>0.0%</v>
      </c>
      <c r="I325" s="12">
        <f t="shared" si="12"/>
        <v>0</v>
      </c>
      <c r="K325" s="9" t="str">
        <f>IFERROR('Demo Rank'!$B287,"")</f>
        <v/>
      </c>
      <c r="L325" s="10" t="str">
        <f>IFERROR('Demo Rank'!$G287,"")</f>
        <v/>
      </c>
      <c r="M325" s="11" t="str">
        <f>IFERROR('Demo Rank'!$H287,"0.0%")</f>
        <v>0.0%</v>
      </c>
      <c r="N325" s="10" t="str">
        <f>IFERROR('Demo Rank'!$I287,"")</f>
        <v/>
      </c>
      <c r="O325" s="12" t="str">
        <f>IFERROR('Demo Rank'!$J287,"0.0%")</f>
        <v>0.0%</v>
      </c>
      <c r="P325" s="12">
        <f t="shared" si="13"/>
        <v>0</v>
      </c>
    </row>
    <row r="326" spans="1:21" ht="15.5" x14ac:dyDescent="0.35">
      <c r="D326" s="9" t="str">
        <f>IFERROR('Demo Rank'!$B288,"")</f>
        <v/>
      </c>
      <c r="E326" s="10" t="str">
        <f>IFERROR('Demo Rank'!$C288,"")</f>
        <v/>
      </c>
      <c r="F326" s="11" t="str">
        <f>IFERROR('Demo Rank'!$D288,"0.0%")</f>
        <v>0.0%</v>
      </c>
      <c r="G326" s="10" t="str">
        <f>IFERROR('Demo Rank'!$E288,"")</f>
        <v/>
      </c>
      <c r="H326" s="12" t="str">
        <f>IFERROR('Demo Rank'!$F288,"0.0%")</f>
        <v>0.0%</v>
      </c>
      <c r="I326" s="12">
        <f t="shared" si="12"/>
        <v>0</v>
      </c>
      <c r="K326" s="9" t="str">
        <f>IFERROR('Demo Rank'!$B288,"")</f>
        <v/>
      </c>
      <c r="L326" s="10" t="str">
        <f>IFERROR('Demo Rank'!$G288,"")</f>
        <v/>
      </c>
      <c r="M326" s="11" t="str">
        <f>IFERROR('Demo Rank'!$H288,"0.0%")</f>
        <v>0.0%</v>
      </c>
      <c r="N326" s="10" t="str">
        <f>IFERROR('Demo Rank'!$I288,"")</f>
        <v/>
      </c>
      <c r="O326" s="12" t="str">
        <f>IFERROR('Demo Rank'!$J288,"0.0%")</f>
        <v>0.0%</v>
      </c>
      <c r="P326" s="12">
        <f t="shared" si="13"/>
        <v>0</v>
      </c>
    </row>
    <row r="327" spans="1:21" ht="15.5" x14ac:dyDescent="0.35">
      <c r="D327" s="9" t="str">
        <f>IFERROR('Demo Rank'!$B289,"")</f>
        <v/>
      </c>
      <c r="E327" s="10" t="str">
        <f>IFERROR('Demo Rank'!$C289,"")</f>
        <v/>
      </c>
      <c r="F327" s="11" t="str">
        <f>IFERROR('Demo Rank'!$D289,"0.0%")</f>
        <v>0.0%</v>
      </c>
      <c r="G327" s="10" t="str">
        <f>IFERROR('Demo Rank'!$E289,"")</f>
        <v/>
      </c>
      <c r="H327" s="12" t="str">
        <f>IFERROR('Demo Rank'!$F289,"0.0%")</f>
        <v>0.0%</v>
      </c>
      <c r="I327" s="12">
        <f t="shared" si="12"/>
        <v>0</v>
      </c>
      <c r="K327" s="9" t="str">
        <f>IFERROR('Demo Rank'!$B289,"")</f>
        <v/>
      </c>
      <c r="L327" s="10" t="str">
        <f>IFERROR('Demo Rank'!$G289,"")</f>
        <v/>
      </c>
      <c r="M327" s="11" t="str">
        <f>IFERROR('Demo Rank'!$H289,"0.0%")</f>
        <v>0.0%</v>
      </c>
      <c r="N327" s="10" t="str">
        <f>IFERROR('Demo Rank'!$I289,"")</f>
        <v/>
      </c>
      <c r="O327" s="12" t="str">
        <f>IFERROR('Demo Rank'!$J289,"0.0%")</f>
        <v>0.0%</v>
      </c>
      <c r="P327" s="12">
        <f t="shared" si="13"/>
        <v>0</v>
      </c>
    </row>
    <row r="328" spans="1:21" ht="15.5" x14ac:dyDescent="0.35">
      <c r="D328" s="9" t="str">
        <f>IFERROR('Demo Rank'!$B290,"")</f>
        <v/>
      </c>
      <c r="E328" s="10" t="str">
        <f>IFERROR('Demo Rank'!$C290,"")</f>
        <v/>
      </c>
      <c r="F328" s="11" t="str">
        <f>IFERROR('Demo Rank'!$D290,"0.0%")</f>
        <v>0.0%</v>
      </c>
      <c r="G328" s="10" t="str">
        <f>IFERROR('Demo Rank'!$E290,"")</f>
        <v/>
      </c>
      <c r="H328" s="12" t="str">
        <f>IFERROR('Demo Rank'!$F290,"0.0%")</f>
        <v>0.0%</v>
      </c>
      <c r="I328" s="12">
        <f t="shared" si="12"/>
        <v>0</v>
      </c>
      <c r="K328" s="9" t="str">
        <f>IFERROR('Demo Rank'!$B290,"")</f>
        <v/>
      </c>
      <c r="L328" s="10" t="str">
        <f>IFERROR('Demo Rank'!$G290,"")</f>
        <v/>
      </c>
      <c r="M328" s="11" t="str">
        <f>IFERROR('Demo Rank'!$H290,"0.0%")</f>
        <v>0.0%</v>
      </c>
      <c r="N328" s="10" t="str">
        <f>IFERROR('Demo Rank'!$I290,"")</f>
        <v/>
      </c>
      <c r="O328" s="12" t="str">
        <f>IFERROR('Demo Rank'!$J290,"0.0%")</f>
        <v>0.0%</v>
      </c>
      <c r="P328" s="12">
        <f t="shared" si="13"/>
        <v>0</v>
      </c>
    </row>
    <row r="329" spans="1:21" ht="15.5" x14ac:dyDescent="0.35">
      <c r="D329" s="9" t="str">
        <f>IFERROR('Demo Rank'!$B291,"")</f>
        <v/>
      </c>
      <c r="E329" s="10" t="str">
        <f>IFERROR('Demo Rank'!$C291,"")</f>
        <v/>
      </c>
      <c r="F329" s="11" t="str">
        <f>IFERROR('Demo Rank'!$D291,"0.0%")</f>
        <v>0.0%</v>
      </c>
      <c r="G329" s="10" t="str">
        <f>IFERROR('Demo Rank'!$E291,"")</f>
        <v/>
      </c>
      <c r="H329" s="12" t="str">
        <f>IFERROR('Demo Rank'!$F291,"0.0%")</f>
        <v>0.0%</v>
      </c>
      <c r="I329" s="12">
        <f t="shared" si="12"/>
        <v>0</v>
      </c>
      <c r="K329" s="9" t="str">
        <f>IFERROR('Demo Rank'!$B291,"")</f>
        <v/>
      </c>
      <c r="L329" s="10" t="str">
        <f>IFERROR('Demo Rank'!$G291,"")</f>
        <v/>
      </c>
      <c r="M329" s="11" t="str">
        <f>IFERROR('Demo Rank'!$H291,"0.0%")</f>
        <v>0.0%</v>
      </c>
      <c r="N329" s="10" t="str">
        <f>IFERROR('Demo Rank'!$I291,"")</f>
        <v/>
      </c>
      <c r="O329" s="12" t="str">
        <f>IFERROR('Demo Rank'!$J291,"0.0%")</f>
        <v>0.0%</v>
      </c>
      <c r="P329" s="12">
        <f t="shared" si="13"/>
        <v>0</v>
      </c>
    </row>
    <row r="330" spans="1:21" ht="15.5" x14ac:dyDescent="0.35">
      <c r="D330" s="9" t="str">
        <f>IFERROR('Demo Rank'!$B292,"")</f>
        <v/>
      </c>
      <c r="E330" s="10" t="str">
        <f>IFERROR('Demo Rank'!$C292,"")</f>
        <v/>
      </c>
      <c r="F330" s="11" t="str">
        <f>IFERROR('Demo Rank'!$D292,"0.0%")</f>
        <v>0.0%</v>
      </c>
      <c r="G330" s="10" t="str">
        <f>IFERROR('Demo Rank'!$E292,"")</f>
        <v/>
      </c>
      <c r="H330" s="12" t="str">
        <f>IFERROR('Demo Rank'!$F292,"0.0%")</f>
        <v>0.0%</v>
      </c>
      <c r="I330" s="12">
        <f t="shared" si="12"/>
        <v>0</v>
      </c>
      <c r="K330" s="9" t="str">
        <f>IFERROR('Demo Rank'!$B292,"")</f>
        <v/>
      </c>
      <c r="L330" s="10" t="str">
        <f>IFERROR('Demo Rank'!$G292,"")</f>
        <v/>
      </c>
      <c r="M330" s="11" t="str">
        <f>IFERROR('Demo Rank'!$H292,"0.0%")</f>
        <v>0.0%</v>
      </c>
      <c r="N330" s="10" t="str">
        <f>IFERROR('Demo Rank'!$I292,"")</f>
        <v/>
      </c>
      <c r="O330" s="12" t="str">
        <f>IFERROR('Demo Rank'!$J292,"0.0%")</f>
        <v>0.0%</v>
      </c>
      <c r="P330" s="12">
        <f t="shared" si="13"/>
        <v>0</v>
      </c>
    </row>
    <row r="331" spans="1:21" ht="15.5" x14ac:dyDescent="0.35">
      <c r="D331" s="9" t="str">
        <f>IFERROR('Demo Rank'!$B293,"")</f>
        <v/>
      </c>
      <c r="E331" s="10" t="str">
        <f>IFERROR('Demo Rank'!$C293,"")</f>
        <v/>
      </c>
      <c r="F331" s="11" t="str">
        <f>IFERROR('Demo Rank'!$D293,"0.0%")</f>
        <v>0.0%</v>
      </c>
      <c r="G331" s="10" t="str">
        <f>IFERROR('Demo Rank'!$E293,"")</f>
        <v/>
      </c>
      <c r="H331" s="12" t="str">
        <f>IFERROR('Demo Rank'!$F293,"0.0%")</f>
        <v>0.0%</v>
      </c>
      <c r="I331" s="12">
        <f t="shared" si="12"/>
        <v>0</v>
      </c>
      <c r="K331" s="9" t="str">
        <f>IFERROR('Demo Rank'!$B293,"")</f>
        <v/>
      </c>
      <c r="L331" s="10" t="str">
        <f>IFERROR('Demo Rank'!$G293,"")</f>
        <v/>
      </c>
      <c r="M331" s="11" t="str">
        <f>IFERROR('Demo Rank'!$H293,"0.0%")</f>
        <v>0.0%</v>
      </c>
      <c r="N331" s="10" t="str">
        <f>IFERROR('Demo Rank'!$I293,"")</f>
        <v/>
      </c>
      <c r="O331" s="12" t="str">
        <f>IFERROR('Demo Rank'!$J293,"0.0%")</f>
        <v>0.0%</v>
      </c>
      <c r="P331" s="12">
        <f t="shared" si="13"/>
        <v>0</v>
      </c>
    </row>
    <row r="332" spans="1:21" ht="15.5" x14ac:dyDescent="0.35">
      <c r="D332" s="9" t="str">
        <f>IFERROR('Demo Rank'!$B294,"")</f>
        <v/>
      </c>
      <c r="E332" s="10" t="str">
        <f>IFERROR('Demo Rank'!$C294,"")</f>
        <v/>
      </c>
      <c r="F332" s="11" t="str">
        <f>IFERROR('Demo Rank'!$D294,"0.0%")</f>
        <v>0.0%</v>
      </c>
      <c r="G332" s="10" t="str">
        <f>IFERROR('Demo Rank'!$E294,"")</f>
        <v/>
      </c>
      <c r="H332" s="12" t="str">
        <f>IFERROR('Demo Rank'!$F294,"0.0%")</f>
        <v>0.0%</v>
      </c>
      <c r="I332" s="12">
        <f t="shared" si="12"/>
        <v>0</v>
      </c>
      <c r="K332" s="9" t="str">
        <f>IFERROR('Demo Rank'!$B294,"")</f>
        <v/>
      </c>
      <c r="L332" s="10" t="str">
        <f>IFERROR('Demo Rank'!$G294,"")</f>
        <v/>
      </c>
      <c r="M332" s="11" t="str">
        <f>IFERROR('Demo Rank'!$H294,"0.0%")</f>
        <v>0.0%</v>
      </c>
      <c r="N332" s="10" t="str">
        <f>IFERROR('Demo Rank'!$I294,"")</f>
        <v/>
      </c>
      <c r="O332" s="12" t="str">
        <f>IFERROR('Demo Rank'!$J294,"0.0%")</f>
        <v>0.0%</v>
      </c>
      <c r="P332" s="12">
        <f t="shared" si="13"/>
        <v>0</v>
      </c>
    </row>
    <row r="333" spans="1:21" ht="15.5" x14ac:dyDescent="0.35">
      <c r="D333" s="9" t="str">
        <f>IFERROR('Demo Rank'!$B295,"")</f>
        <v/>
      </c>
      <c r="E333" s="10" t="str">
        <f>IFERROR('Demo Rank'!$C295,"")</f>
        <v/>
      </c>
      <c r="F333" s="11" t="str">
        <f>IFERROR('Demo Rank'!$D295,"0.0%")</f>
        <v>0.0%</v>
      </c>
      <c r="G333" s="10" t="str">
        <f>IFERROR('Demo Rank'!$E295,"")</f>
        <v/>
      </c>
      <c r="H333" s="12" t="str">
        <f>IFERROR('Demo Rank'!$F295,"0.0%")</f>
        <v>0.0%</v>
      </c>
      <c r="I333" s="12">
        <f t="shared" si="12"/>
        <v>0</v>
      </c>
      <c r="K333" s="9" t="str">
        <f>IFERROR('Demo Rank'!$B295,"")</f>
        <v/>
      </c>
      <c r="L333" s="10" t="str">
        <f>IFERROR('Demo Rank'!$G295,"")</f>
        <v/>
      </c>
      <c r="M333" s="11" t="str">
        <f>IFERROR('Demo Rank'!$H295,"0.0%")</f>
        <v>0.0%</v>
      </c>
      <c r="N333" s="10" t="str">
        <f>IFERROR('Demo Rank'!$I295,"")</f>
        <v/>
      </c>
      <c r="O333" s="12" t="str">
        <f>IFERROR('Demo Rank'!$J295,"0.0%")</f>
        <v>0.0%</v>
      </c>
      <c r="P333" s="12">
        <f t="shared" si="13"/>
        <v>0</v>
      </c>
    </row>
    <row r="334" spans="1:21" ht="15.5" x14ac:dyDescent="0.35">
      <c r="D334" s="9" t="str">
        <f>IFERROR('Demo Rank'!$B296,"")</f>
        <v/>
      </c>
      <c r="E334" s="10" t="str">
        <f>IFERROR('Demo Rank'!$C296,"")</f>
        <v/>
      </c>
      <c r="F334" s="11" t="str">
        <f>IFERROR('Demo Rank'!$D296,"0.0%")</f>
        <v>0.0%</v>
      </c>
      <c r="G334" s="10" t="str">
        <f>IFERROR('Demo Rank'!$E296,"")</f>
        <v/>
      </c>
      <c r="H334" s="12" t="str">
        <f>IFERROR('Demo Rank'!$F296,"0.0%")</f>
        <v>0.0%</v>
      </c>
      <c r="I334" s="12">
        <f t="shared" si="12"/>
        <v>0</v>
      </c>
      <c r="K334" s="9" t="str">
        <f>IFERROR('Demo Rank'!$B296,"")</f>
        <v/>
      </c>
      <c r="L334" s="10" t="str">
        <f>IFERROR('Demo Rank'!$G296,"")</f>
        <v/>
      </c>
      <c r="M334" s="11" t="str">
        <f>IFERROR('Demo Rank'!$H296,"0.0%")</f>
        <v>0.0%</v>
      </c>
      <c r="N334" s="10" t="str">
        <f>IFERROR('Demo Rank'!$I296,"")</f>
        <v/>
      </c>
      <c r="O334" s="12" t="str">
        <f>IFERROR('Demo Rank'!$J296,"0.0%")</f>
        <v>0.0%</v>
      </c>
      <c r="P334" s="12">
        <f t="shared" si="13"/>
        <v>0</v>
      </c>
    </row>
    <row r="335" spans="1:21" ht="15.5" x14ac:dyDescent="0.35">
      <c r="D335" s="9" t="str">
        <f>IFERROR('Demo Rank'!$B297,"")</f>
        <v/>
      </c>
      <c r="E335" s="10" t="str">
        <f>IFERROR('Demo Rank'!$C297,"")</f>
        <v/>
      </c>
      <c r="F335" s="11" t="str">
        <f>IFERROR('Demo Rank'!$D297,"0.0%")</f>
        <v>0.0%</v>
      </c>
      <c r="G335" s="10" t="str">
        <f>IFERROR('Demo Rank'!$E297,"")</f>
        <v/>
      </c>
      <c r="H335" s="12" t="str">
        <f>IFERROR('Demo Rank'!$F297,"0.0%")</f>
        <v>0.0%</v>
      </c>
      <c r="I335" s="12">
        <f t="shared" si="12"/>
        <v>0</v>
      </c>
      <c r="K335" s="9" t="str">
        <f>IFERROR('Demo Rank'!$B297,"")</f>
        <v/>
      </c>
      <c r="L335" s="10" t="str">
        <f>IFERROR('Demo Rank'!$G297,"")</f>
        <v/>
      </c>
      <c r="M335" s="11" t="str">
        <f>IFERROR('Demo Rank'!$H297,"0.0%")</f>
        <v>0.0%</v>
      </c>
      <c r="N335" s="10" t="str">
        <f>IFERROR('Demo Rank'!$I297,"")</f>
        <v/>
      </c>
      <c r="O335" s="12" t="str">
        <f>IFERROR('Demo Rank'!$J297,"0.0%")</f>
        <v>0.0%</v>
      </c>
      <c r="P335" s="12">
        <f t="shared" si="13"/>
        <v>0</v>
      </c>
    </row>
    <row r="336" spans="1:21" ht="15.5" x14ac:dyDescent="0.35">
      <c r="D336" s="9" t="str">
        <f>IFERROR('Demo Rank'!$B298,"")</f>
        <v/>
      </c>
      <c r="E336" s="10" t="str">
        <f>IFERROR('Demo Rank'!$C298,"")</f>
        <v/>
      </c>
      <c r="F336" s="11" t="str">
        <f>IFERROR('Demo Rank'!$D298,"0.0%")</f>
        <v>0.0%</v>
      </c>
      <c r="G336" s="10" t="str">
        <f>IFERROR('Demo Rank'!$E298,"")</f>
        <v/>
      </c>
      <c r="H336" s="12" t="str">
        <f>IFERROR('Demo Rank'!$F298,"0.0%")</f>
        <v>0.0%</v>
      </c>
      <c r="I336" s="12">
        <f t="shared" si="12"/>
        <v>0</v>
      </c>
      <c r="K336" s="9" t="str">
        <f>IFERROR('Demo Rank'!$B298,"")</f>
        <v/>
      </c>
      <c r="L336" s="10" t="str">
        <f>IFERROR('Demo Rank'!$G298,"")</f>
        <v/>
      </c>
      <c r="M336" s="11" t="str">
        <f>IFERROR('Demo Rank'!$H298,"0.0%")</f>
        <v>0.0%</v>
      </c>
      <c r="N336" s="10" t="str">
        <f>IFERROR('Demo Rank'!$I298,"")</f>
        <v/>
      </c>
      <c r="O336" s="12" t="str">
        <f>IFERROR('Demo Rank'!$J298,"0.0%")</f>
        <v>0.0%</v>
      </c>
      <c r="P336" s="12">
        <f t="shared" si="13"/>
        <v>0</v>
      </c>
    </row>
    <row r="337" spans="4:16" ht="15.5" x14ac:dyDescent="0.35">
      <c r="D337" s="9" t="str">
        <f>IFERROR('Demo Rank'!$B299,"")</f>
        <v/>
      </c>
      <c r="E337" s="10" t="str">
        <f>IFERROR('Demo Rank'!$C299,"")</f>
        <v/>
      </c>
      <c r="F337" s="11" t="str">
        <f>IFERROR('Demo Rank'!$D299,"0.0%")</f>
        <v>0.0%</v>
      </c>
      <c r="G337" s="10" t="str">
        <f>IFERROR('Demo Rank'!$E299,"")</f>
        <v/>
      </c>
      <c r="H337" s="12" t="str">
        <f>IFERROR('Demo Rank'!$F299,"0.0%")</f>
        <v>0.0%</v>
      </c>
      <c r="I337" s="12">
        <f t="shared" si="12"/>
        <v>0</v>
      </c>
      <c r="K337" s="9" t="str">
        <f>IFERROR('Demo Rank'!$B299,"")</f>
        <v/>
      </c>
      <c r="L337" s="10" t="str">
        <f>IFERROR('Demo Rank'!$G299,"")</f>
        <v/>
      </c>
      <c r="M337" s="11" t="str">
        <f>IFERROR('Demo Rank'!$H299,"0.0%")</f>
        <v>0.0%</v>
      </c>
      <c r="N337" s="10" t="str">
        <f>IFERROR('Demo Rank'!$I299,"")</f>
        <v/>
      </c>
      <c r="O337" s="12" t="str">
        <f>IFERROR('Demo Rank'!$J299,"0.0%")</f>
        <v>0.0%</v>
      </c>
      <c r="P337" s="12">
        <f t="shared" si="13"/>
        <v>0</v>
      </c>
    </row>
    <row r="338" spans="4:16" ht="15.5" x14ac:dyDescent="0.35">
      <c r="D338" s="9" t="str">
        <f>IFERROR('Demo Rank'!$B300,"")</f>
        <v/>
      </c>
      <c r="E338" s="10" t="str">
        <f>IFERROR('Demo Rank'!$C300,"")</f>
        <v/>
      </c>
      <c r="F338" s="11" t="str">
        <f>IFERROR('Demo Rank'!$D300,"0.0%")</f>
        <v>0.0%</v>
      </c>
      <c r="G338" s="10" t="str">
        <f>IFERROR('Demo Rank'!$E300,"")</f>
        <v/>
      </c>
      <c r="H338" s="12" t="str">
        <f>IFERROR('Demo Rank'!$F300,"0.0%")</f>
        <v>0.0%</v>
      </c>
      <c r="I338" s="12">
        <f t="shared" si="12"/>
        <v>0</v>
      </c>
      <c r="K338" s="9" t="str">
        <f>IFERROR('Demo Rank'!$B300,"")</f>
        <v/>
      </c>
      <c r="L338" s="10" t="str">
        <f>IFERROR('Demo Rank'!$G300,"")</f>
        <v/>
      </c>
      <c r="M338" s="11" t="str">
        <f>IFERROR('Demo Rank'!$H300,"0.0%")</f>
        <v>0.0%</v>
      </c>
      <c r="N338" s="10" t="str">
        <f>IFERROR('Demo Rank'!$I300,"")</f>
        <v/>
      </c>
      <c r="O338" s="12" t="str">
        <f>IFERROR('Demo Rank'!$J300,"0.0%")</f>
        <v>0.0%</v>
      </c>
      <c r="P338" s="12">
        <f t="shared" si="13"/>
        <v>0</v>
      </c>
    </row>
    <row r="339" spans="4:16" ht="15.5" x14ac:dyDescent="0.35">
      <c r="D339" s="9" t="str">
        <f>IFERROR('Demo Rank'!$B301,"")</f>
        <v/>
      </c>
      <c r="E339" s="10" t="str">
        <f>IFERROR('Demo Rank'!$C301,"")</f>
        <v/>
      </c>
      <c r="F339" s="11" t="str">
        <f>IFERROR('Demo Rank'!$D301,"0.0%")</f>
        <v>0.0%</v>
      </c>
      <c r="G339" s="10" t="str">
        <f>IFERROR('Demo Rank'!$E301,"")</f>
        <v/>
      </c>
      <c r="H339" s="12" t="str">
        <f>IFERROR('Demo Rank'!$F301,"0.0%")</f>
        <v>0.0%</v>
      </c>
      <c r="I339" s="12">
        <f t="shared" si="12"/>
        <v>0</v>
      </c>
      <c r="K339" s="9" t="str">
        <f>IFERROR('Demo Rank'!$B301,"")</f>
        <v/>
      </c>
      <c r="L339" s="10" t="str">
        <f>IFERROR('Demo Rank'!$G301,"")</f>
        <v/>
      </c>
      <c r="M339" s="11" t="str">
        <f>IFERROR('Demo Rank'!$H301,"0.0%")</f>
        <v>0.0%</v>
      </c>
      <c r="N339" s="10" t="str">
        <f>IFERROR('Demo Rank'!$I301,"")</f>
        <v/>
      </c>
      <c r="O339" s="12" t="str">
        <f>IFERROR('Demo Rank'!$J301,"0.0%")</f>
        <v>0.0%</v>
      </c>
      <c r="P339" s="12">
        <f t="shared" si="13"/>
        <v>0</v>
      </c>
    </row>
    <row r="340" spans="4:16" ht="15.5" x14ac:dyDescent="0.35">
      <c r="D340" s="22" t="str">
        <f>IFERROR('Demo Rank'!$B302,"")</f>
        <v/>
      </c>
      <c r="E340" s="13" t="str">
        <f>IFERROR('Demo Rank'!$C302,"")</f>
        <v/>
      </c>
      <c r="F340" s="24" t="str">
        <f>IFERROR('Demo Rank'!$D302,"0.0%")</f>
        <v>0.0%</v>
      </c>
      <c r="G340" s="13" t="str">
        <f>IFERROR('Demo Rank'!$E302,"")</f>
        <v/>
      </c>
      <c r="H340" s="640" t="str">
        <f>IFERROR('Demo Rank'!$F302,"0.0%")</f>
        <v>0.0%</v>
      </c>
      <c r="I340" s="101">
        <f t="shared" si="12"/>
        <v>0</v>
      </c>
      <c r="K340" s="22" t="str">
        <f>IFERROR('Demo Rank'!$B302,"")</f>
        <v/>
      </c>
      <c r="L340" s="13" t="str">
        <f>IFERROR('Demo Rank'!$G302,"")</f>
        <v/>
      </c>
      <c r="M340" s="24" t="str">
        <f>IFERROR('Demo Rank'!$H302,"0.0%")</f>
        <v>0.0%</v>
      </c>
      <c r="N340" s="13" t="str">
        <f>IFERROR('Demo Rank'!$I302,"")</f>
        <v/>
      </c>
      <c r="O340" s="640" t="str">
        <f>IFERROR('Demo Rank'!$J302,"0.0%")</f>
        <v>0.0%</v>
      </c>
      <c r="P340" s="101">
        <f t="shared" si="13"/>
        <v>0</v>
      </c>
    </row>
    <row r="341" spans="4:16" x14ac:dyDescent="0.35">
      <c r="I341" s="48" t="s">
        <v>382</v>
      </c>
      <c r="P341" s="48" t="s">
        <v>382</v>
      </c>
    </row>
    <row r="342" spans="4:16" x14ac:dyDescent="0.35"/>
  </sheetData>
  <sheetProtection algorithmName="SHA-512" hashValue="fzwUUj2V+EHvf39QgGzaSjvE3EbLcav1uS3nIkRELknkDkHcd3E2hn7OshVzNh4rsKYx2nzZxoZH9AuAYXLfdQ==" saltValue="OpCedwesenOlvVeVcevZSQ==" spinCount="100000" sheet="1" objects="1" scenarios="1"/>
  <hyperlinks>
    <hyperlink ref="A2" location="COUNTY_SELECT" tooltip="Back to County Selection" display="COUNTY_SELECT" xr:uid="{00000000-0004-0000-0400-000003000000}"/>
    <hyperlink ref="A1" location="Nav_Programs" display="The In-Home Supportive Services (IHSS) Public Facing Data workbook (Microsoft Excel) contains several pages of data concerning IHSS recipients and IHSS programs.  It has been categorized into separate Pages (groups) for easier navigation.  To select a cou" xr:uid="{00000000-0004-0000-0400-000004000000}"/>
    <hyperlink ref="I51" location="Navigation!F13" tooltip="Back to Table Selection" display="Navigation!F13" xr:uid="{0A269313-BD30-4CDE-8AAA-AED56B39EDF9}"/>
    <hyperlink ref="P51" location="Navigation!F13" tooltip="Back to Table Selection" display="Navigation!F13" xr:uid="{AC9CBB0C-C0AC-40C6-B3BC-D9B1EBB8812B}"/>
    <hyperlink ref="I98" location="Navigation!F14" tooltip="Back to Table Selection" display="Navigation!F14" xr:uid="{72D3A494-3067-4B18-8F56-739989E77829}"/>
    <hyperlink ref="P98" location="Navigation!F14" tooltip="Back to Table Selection" display="Navigation!F14" xr:uid="{04A46869-B2E4-4C51-B203-DC5C2FF0C4D3}"/>
    <hyperlink ref="I147" location="Navigation!F15" tooltip="Back to Table Selection" display="Navigation!F15" xr:uid="{C8C3D576-BDE0-415A-AE61-EE7CCC73EE6C}"/>
    <hyperlink ref="P147" location="Navigation!F15" tooltip="Back to Table Selection" display="Navigation!F15" xr:uid="{3C704E3A-A4D0-4432-8D32-F95CFCE8350F}"/>
    <hyperlink ref="I195" location="Navigation!F16" tooltip="Back to Table Selection" display="Navigation!F16" xr:uid="{211D36F1-F417-49E4-867C-B0A2F1EFB60E}"/>
    <hyperlink ref="P195" location="Navigation!F16" tooltip="Back to Table Selection" display="Navigation!F16" xr:uid="{DA5BE24B-11C2-4A09-81AA-937D7D289800}"/>
    <hyperlink ref="I244" location="Navigation!F17" tooltip="Back to Table Selection" display="Navigation!F17" xr:uid="{1B033600-D835-496B-8A06-213AC06B95F8}"/>
    <hyperlink ref="P244" location="Navigation!F17" tooltip="Back to Table Selection" display="Navigation!F17" xr:uid="{7C739B25-42C8-4DCF-948F-22934B52F254}"/>
    <hyperlink ref="I292" location="Navigation!F18" tooltip="Back to Table Selection" display="Navigation!F18" xr:uid="{819A23BA-8288-468A-AD66-2FBAC37BF5F5}"/>
    <hyperlink ref="P292" location="Navigation!F18" tooltip="Back to Table Selection" display="Navigation!F18" xr:uid="{19E6D200-F1E2-4E48-82C7-0F31C05F6045}"/>
    <hyperlink ref="I340" location="Navigation!F19" tooltip="Back to Table Selection" display="Navigation!F19" xr:uid="{BFA31013-F642-40C6-BCD7-C949F1A11819}"/>
    <hyperlink ref="P340" location="Navigation!F19" tooltip="Back to Table Selection" display="Navigation!F19" xr:uid="{A6BC3721-B313-4C82-8129-D12569B4A02B}"/>
    <hyperlink ref="A10:B10" location="Appen_Equity" display="Program Equity" xr:uid="{A278C8AB-E231-4619-9A02-2DD5935E5E3D}"/>
  </hyperlinks>
  <printOptions horizontalCentered="1"/>
  <pageMargins left="0.7" right="0.7" top="0.75" bottom="0.75" header="0.3" footer="0.3"/>
  <pageSetup scale="5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N147"/>
  <sheetViews>
    <sheetView showGridLines="0" showRowColHeaders="0" zoomScale="90" zoomScaleNormal="90" zoomScaleSheetLayoutView="85" workbookViewId="0">
      <pane ySplit="4" topLeftCell="A5" activePane="bottomLeft" state="frozen"/>
      <selection pane="bottomLeft" activeCell="A5" sqref="A5"/>
    </sheetView>
  </sheetViews>
  <sheetFormatPr defaultColWidth="0" defaultRowHeight="14.5" zeroHeight="1" x14ac:dyDescent="0.35"/>
  <cols>
    <col min="1" max="1" width="9.1796875" style="28" customWidth="1"/>
    <col min="2" max="2" width="13.453125" style="28" customWidth="1"/>
    <col min="3" max="3" width="41.453125" style="28" customWidth="1"/>
    <col min="4" max="4" width="19.54296875" style="28" bestFit="1" customWidth="1"/>
    <col min="5" max="5" width="19.54296875" style="28" customWidth="1"/>
    <col min="6" max="6" width="18.1796875" style="28" customWidth="1"/>
    <col min="7" max="7" width="3.54296875" style="28" customWidth="1"/>
    <col min="8" max="8" width="41.453125" style="28" customWidth="1"/>
    <col min="9" max="10" width="19.54296875" style="28" customWidth="1"/>
    <col min="11" max="11" width="18.1796875" style="28" customWidth="1"/>
    <col min="12" max="12" width="11.54296875" style="28" customWidth="1"/>
    <col min="13" max="13" width="9.1796875" style="28" customWidth="1"/>
    <col min="14" max="14" width="2.54296875" style="28" customWidth="1"/>
    <col min="15" max="16384" width="9.1796875" style="28" hidden="1"/>
  </cols>
  <sheetData>
    <row r="1" spans="1:14" ht="0.75" customHeight="1" x14ac:dyDescent="0.35">
      <c r="A1" s="27" t="s">
        <v>358</v>
      </c>
      <c r="B1" s="27"/>
      <c r="C1" s="27"/>
      <c r="D1" s="30"/>
      <c r="E1" s="30"/>
      <c r="F1" s="30"/>
      <c r="G1" s="30"/>
      <c r="H1" s="30"/>
      <c r="I1" s="30"/>
      <c r="J1" s="30"/>
      <c r="K1" s="30"/>
      <c r="L1" s="30"/>
      <c r="M1" s="30"/>
      <c r="N1" s="30"/>
    </row>
    <row r="2" spans="1:14" ht="24.75" customHeight="1" x14ac:dyDescent="0.35">
      <c r="A2" s="29" t="str">
        <f>COUNTY_SELECT&amp;" County"</f>
        <v>County Name County</v>
      </c>
      <c r="B2" s="57"/>
      <c r="D2" s="30"/>
      <c r="E2" s="30"/>
      <c r="F2" s="30"/>
      <c r="G2" s="30"/>
      <c r="H2" s="30"/>
      <c r="I2" s="30"/>
      <c r="J2" s="30"/>
      <c r="K2" s="30"/>
      <c r="L2" s="30"/>
      <c r="M2" s="30"/>
      <c r="N2" s="30"/>
    </row>
    <row r="3" spans="1:14" ht="16.5" customHeight="1" x14ac:dyDescent="0.35">
      <c r="A3" s="153" t="str">
        <f>Navigation!A3</f>
        <v xml:space="preserve"> Size County</v>
      </c>
      <c r="B3" s="153"/>
    </row>
    <row r="4" spans="1:14" ht="12" customHeight="1" thickBot="1" x14ac:dyDescent="0.4">
      <c r="A4" s="32"/>
      <c r="B4" s="32"/>
      <c r="C4" s="187"/>
      <c r="D4" s="32"/>
      <c r="E4" s="32"/>
      <c r="F4" s="32"/>
      <c r="G4" s="32"/>
      <c r="H4" s="32"/>
      <c r="I4" s="32"/>
      <c r="J4" s="32"/>
      <c r="K4" s="32"/>
      <c r="L4" s="32"/>
      <c r="M4" s="32"/>
      <c r="N4" s="32"/>
    </row>
    <row r="5" spans="1:14" ht="15" thickTop="1" x14ac:dyDescent="0.35">
      <c r="A5" s="457" t="s">
        <v>436</v>
      </c>
      <c r="B5" s="454"/>
      <c r="C5" s="454"/>
      <c r="D5" s="454"/>
      <c r="E5" s="454"/>
      <c r="F5" s="454"/>
      <c r="G5" s="454"/>
      <c r="H5" s="454"/>
      <c r="I5" s="454"/>
      <c r="J5" s="454"/>
      <c r="K5" s="454"/>
      <c r="L5" s="454"/>
      <c r="M5" s="454"/>
      <c r="N5" s="454"/>
    </row>
    <row r="6" spans="1:14" x14ac:dyDescent="0.35"/>
    <row r="7" spans="1:14" x14ac:dyDescent="0.35"/>
    <row r="8" spans="1:14" x14ac:dyDescent="0.35"/>
    <row r="9" spans="1:14" ht="15.5" x14ac:dyDescent="0.35">
      <c r="A9" s="62" t="s">
        <v>289</v>
      </c>
    </row>
    <row r="10" spans="1:14" ht="15.5" x14ac:dyDescent="0.35">
      <c r="A10" s="27" t="s">
        <v>296</v>
      </c>
      <c r="B10" s="27"/>
    </row>
    <row r="11" spans="1:14" ht="15.5" x14ac:dyDescent="0.35">
      <c r="A11" s="27"/>
      <c r="B11" s="27"/>
    </row>
    <row r="12" spans="1:14" x14ac:dyDescent="0.35"/>
    <row r="13" spans="1:14" x14ac:dyDescent="0.35"/>
    <row r="14" spans="1:14" x14ac:dyDescent="0.35"/>
    <row r="15" spans="1:14" x14ac:dyDescent="0.35"/>
    <row r="16" spans="1:14" x14ac:dyDescent="0.35"/>
    <row r="17" spans="3:12" s="31" customFormat="1" ht="15" customHeight="1" x14ac:dyDescent="0.35">
      <c r="D17" s="188"/>
      <c r="E17" s="188"/>
      <c r="F17" s="188"/>
      <c r="G17" s="188"/>
      <c r="H17" s="132"/>
    </row>
    <row r="18" spans="3:12" x14ac:dyDescent="0.35"/>
    <row r="19" spans="3:12" x14ac:dyDescent="0.35"/>
    <row r="20" spans="3:12" ht="31.5" x14ac:dyDescent="0.4">
      <c r="C20" s="63" t="s">
        <v>561</v>
      </c>
      <c r="D20" s="64"/>
      <c r="E20" s="64"/>
      <c r="F20" s="65"/>
      <c r="H20" s="63" t="s">
        <v>562</v>
      </c>
      <c r="I20" s="64"/>
      <c r="J20" s="64"/>
      <c r="K20" s="65"/>
    </row>
    <row r="21" spans="3:12" ht="15.5" x14ac:dyDescent="0.35">
      <c r="C21" s="189" t="s">
        <v>565</v>
      </c>
      <c r="D21" s="190" t="str">
        <f>Data!A71</f>
        <v/>
      </c>
      <c r="E21" s="191" t="str">
        <f>Data!A72</f>
        <v/>
      </c>
      <c r="F21" s="192" t="str">
        <f>LEFT(Data!$A$62,9)</f>
        <v>Statewide</v>
      </c>
      <c r="H21" s="189" t="s">
        <v>566</v>
      </c>
      <c r="I21" s="104" t="str">
        <f>Data!$A$71</f>
        <v/>
      </c>
      <c r="J21" s="104" t="str">
        <f>Data!$A$72</f>
        <v/>
      </c>
      <c r="K21" s="106" t="str">
        <f>LEFT(Data!$A$62,9)</f>
        <v>Statewide</v>
      </c>
    </row>
    <row r="22" spans="3:12" ht="15.5" x14ac:dyDescent="0.35">
      <c r="C22" s="193" t="s">
        <v>260</v>
      </c>
      <c r="D22" s="194" t="str">
        <f>Data!O71</f>
        <v/>
      </c>
      <c r="E22" s="194" t="str">
        <f>Data!O72</f>
        <v/>
      </c>
      <c r="F22" s="195">
        <f>Data!O62</f>
        <v>75766</v>
      </c>
      <c r="H22" s="193" t="s">
        <v>262</v>
      </c>
      <c r="I22" s="196" t="str">
        <f>Data!$P$71</f>
        <v/>
      </c>
      <c r="J22" s="196" t="str">
        <f>Data!$P$72</f>
        <v/>
      </c>
      <c r="K22" s="197">
        <f>Data!$P$62</f>
        <v>13528600.6</v>
      </c>
    </row>
    <row r="23" spans="3:12" ht="15.5" x14ac:dyDescent="0.35">
      <c r="C23" s="198" t="s">
        <v>270</v>
      </c>
      <c r="D23" s="199" t="str">
        <f>IFERROR(D22/Data!$D$71,"")</f>
        <v/>
      </c>
      <c r="E23" s="199" t="str">
        <f>IFERROR(E22/Data!$D$72,"")</f>
        <v/>
      </c>
      <c r="F23" s="200">
        <f>IFERROR(F22/Data!$D$62,"")</f>
        <v>0.10275473724754119</v>
      </c>
      <c r="G23" s="50"/>
      <c r="H23" s="198" t="s">
        <v>304</v>
      </c>
      <c r="I23" s="201" t="str">
        <f>IFERROR(I22/D22,"0.0")</f>
        <v>0.0</v>
      </c>
      <c r="J23" s="201" t="str">
        <f>IFERROR(J22/E22,"0.0")</f>
        <v>0.0</v>
      </c>
      <c r="K23" s="202">
        <f>IFERROR(K22/F22,"")</f>
        <v>178.55767230683946</v>
      </c>
      <c r="L23" s="50"/>
    </row>
    <row r="24" spans="3:12" ht="15.5" x14ac:dyDescent="0.35">
      <c r="C24" s="193" t="s">
        <v>261</v>
      </c>
      <c r="D24" s="194" t="str">
        <f>Data!Q71</f>
        <v/>
      </c>
      <c r="E24" s="194" t="str">
        <f>Data!Q72</f>
        <v/>
      </c>
      <c r="F24" s="195">
        <f>Data!Q62</f>
        <v>78410</v>
      </c>
      <c r="G24" s="50"/>
      <c r="H24" s="193" t="s">
        <v>259</v>
      </c>
      <c r="I24" s="196" t="str">
        <f>Data!$R$71</f>
        <v/>
      </c>
      <c r="J24" s="196" t="str">
        <f>Data!$R$72</f>
        <v/>
      </c>
      <c r="K24" s="197">
        <f>Data!$R$62</f>
        <v>2536705.2999999998</v>
      </c>
      <c r="L24" s="50"/>
    </row>
    <row r="25" spans="3:12" ht="15.5" x14ac:dyDescent="0.35">
      <c r="C25" s="203" t="s">
        <v>270</v>
      </c>
      <c r="D25" s="204" t="str">
        <f>IFERROR(D24/Data!$D$71,"")</f>
        <v/>
      </c>
      <c r="E25" s="204" t="str">
        <f>IFERROR(E24/Data!$D$72,"")</f>
        <v/>
      </c>
      <c r="F25" s="440">
        <f>IFERROR(F24/Data!$D$62,"")</f>
        <v>0.10634056103766472</v>
      </c>
      <c r="G25" s="50"/>
      <c r="H25" s="203" t="s">
        <v>305</v>
      </c>
      <c r="I25" s="206" t="str">
        <f>IFERROR(I24/D24,"")</f>
        <v/>
      </c>
      <c r="J25" s="206" t="str">
        <f>IFERROR(J24/E24,"")</f>
        <v/>
      </c>
      <c r="K25" s="443">
        <f>IFERROR(K24/F24,"")</f>
        <v>32.35180844280066</v>
      </c>
      <c r="L25" s="50"/>
    </row>
    <row r="26" spans="3:12" x14ac:dyDescent="0.35"/>
    <row r="27" spans="3:12" x14ac:dyDescent="0.35"/>
    <row r="28" spans="3:12" x14ac:dyDescent="0.35"/>
    <row r="29" spans="3:12" x14ac:dyDescent="0.35"/>
    <row r="30" spans="3:12" x14ac:dyDescent="0.35"/>
    <row r="31" spans="3:12" x14ac:dyDescent="0.35"/>
    <row r="32" spans="3:1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spans="3:11" x14ac:dyDescent="0.35"/>
    <row r="50" spans="3:11" x14ac:dyDescent="0.35"/>
    <row r="51" spans="3:11" x14ac:dyDescent="0.35"/>
    <row r="52" spans="3:11" x14ac:dyDescent="0.35"/>
    <row r="53" spans="3:11" x14ac:dyDescent="0.35"/>
    <row r="54" spans="3:11" x14ac:dyDescent="0.35"/>
    <row r="55" spans="3:11" x14ac:dyDescent="0.35"/>
    <row r="56" spans="3:11" x14ac:dyDescent="0.35"/>
    <row r="57" spans="3:11" x14ac:dyDescent="0.35"/>
    <row r="58" spans="3:11" x14ac:dyDescent="0.35"/>
    <row r="59" spans="3:11" x14ac:dyDescent="0.35"/>
    <row r="60" spans="3:11" ht="63" customHeight="1" x14ac:dyDescent="0.35"/>
    <row r="61" spans="3:11" ht="31.5" x14ac:dyDescent="0.4">
      <c r="C61" s="63" t="s">
        <v>365</v>
      </c>
      <c r="D61" s="64"/>
      <c r="E61" s="64"/>
      <c r="F61" s="65"/>
      <c r="H61" s="63" t="s">
        <v>366</v>
      </c>
      <c r="I61" s="64"/>
      <c r="J61" s="64"/>
      <c r="K61" s="65"/>
    </row>
    <row r="62" spans="3:11" ht="15.5" x14ac:dyDescent="0.35">
      <c r="C62" s="189" t="s">
        <v>324</v>
      </c>
      <c r="D62" s="207" t="str">
        <f>Data!A71</f>
        <v/>
      </c>
      <c r="E62" s="208" t="str">
        <f>Data!$A$72</f>
        <v/>
      </c>
      <c r="F62" s="209" t="str">
        <f>LEFT(Data!$A$62,9)</f>
        <v>Statewide</v>
      </c>
      <c r="H62" s="189" t="s">
        <v>314</v>
      </c>
      <c r="I62" s="105" t="str">
        <f>Data!A71</f>
        <v/>
      </c>
      <c r="J62" s="210" t="str">
        <f>Data!$A$72</f>
        <v/>
      </c>
      <c r="K62" s="106" t="str">
        <f>LEFT(Data!$A$62,9)</f>
        <v>Statewide</v>
      </c>
    </row>
    <row r="63" spans="3:11" ht="15.5" x14ac:dyDescent="0.35">
      <c r="C63" s="82" t="s">
        <v>182</v>
      </c>
      <c r="D63" s="211" t="str">
        <f>IFERROR(Data!EU71,"")</f>
        <v/>
      </c>
      <c r="E63" s="211" t="str">
        <f>IFERROR(Data!EU72,"")</f>
        <v/>
      </c>
      <c r="F63" s="212">
        <f>IFERROR(Data!EU62,"")</f>
        <v>520218</v>
      </c>
      <c r="H63" s="82" t="s">
        <v>182</v>
      </c>
      <c r="I63" s="213" t="str">
        <f>IFERROR(Data!EV71,"")</f>
        <v/>
      </c>
      <c r="J63" s="213" t="str">
        <f>IFERROR(Data!EV72,"")</f>
        <v/>
      </c>
      <c r="K63" s="214">
        <f>IFERROR(Data!EV62,"")</f>
        <v>8001317</v>
      </c>
    </row>
    <row r="64" spans="3:11" ht="15.5" x14ac:dyDescent="0.35">
      <c r="C64" s="215" t="s">
        <v>270</v>
      </c>
      <c r="D64" s="199" t="str">
        <f>IFERROR(Data!EU71/Data!$D$71,"")</f>
        <v/>
      </c>
      <c r="E64" s="199" t="str">
        <f>IFERROR(Data!EU72/Data!D72,"")</f>
        <v/>
      </c>
      <c r="F64" s="200">
        <f>IFERROR(Data!EU62/Data!D62,"")</f>
        <v>0.70552574903573351</v>
      </c>
      <c r="H64" s="215" t="s">
        <v>306</v>
      </c>
      <c r="I64" s="216" t="str">
        <f>IFERROR(Data!EV71/Data!EU71,"")</f>
        <v/>
      </c>
      <c r="J64" s="216" t="str">
        <f>IFERROR(Data!EV72/Data!EU72,"")</f>
        <v/>
      </c>
      <c r="K64" s="217">
        <f>IFERROR(Data!EV62/Data!EU62,"")</f>
        <v>15.380700014224805</v>
      </c>
    </row>
    <row r="65" spans="3:13" ht="15.5" x14ac:dyDescent="0.35">
      <c r="C65" s="82" t="s">
        <v>169</v>
      </c>
      <c r="D65" s="211" t="str">
        <f>IFERROR(Data!EW71,"")</f>
        <v/>
      </c>
      <c r="E65" s="211" t="str">
        <f>IFERROR(Data!EW72,"")</f>
        <v/>
      </c>
      <c r="F65" s="212">
        <f>IFERROR(Data!EW62,"")</f>
        <v>82977</v>
      </c>
      <c r="H65" s="82" t="s">
        <v>169</v>
      </c>
      <c r="I65" s="213" t="str">
        <f>IFERROR(Data!EX71,"")</f>
        <v/>
      </c>
      <c r="J65" s="213" t="str">
        <f>IFERROR(Data!EX72,"")</f>
        <v/>
      </c>
      <c r="K65" s="214">
        <f>IFERROR(Data!EX62,"")</f>
        <v>487486.9</v>
      </c>
    </row>
    <row r="66" spans="3:13" ht="15.5" x14ac:dyDescent="0.35">
      <c r="C66" s="215" t="s">
        <v>270</v>
      </c>
      <c r="D66" s="199" t="str">
        <f>IFERROR(Data!EW71/Data!D71,"")</f>
        <v/>
      </c>
      <c r="E66" s="199" t="str">
        <f>IFERROR(Data!EW72/Data!D72,"")</f>
        <v/>
      </c>
      <c r="F66" s="200">
        <f>IFERROR(Data!EW62/Data!D62,"")</f>
        <v>0.11253437996712543</v>
      </c>
      <c r="H66" s="215" t="s">
        <v>306</v>
      </c>
      <c r="I66" s="216" t="str">
        <f>IFERROR(Data!EX71/Data!EW71,"")</f>
        <v/>
      </c>
      <c r="J66" s="216" t="str">
        <f>IFERROR(Data!EX72/Data!EW72,"")</f>
        <v/>
      </c>
      <c r="K66" s="217">
        <f>IFERROR(Data!EX62/Data!EW62,"")</f>
        <v>5.8749641466912523</v>
      </c>
    </row>
    <row r="67" spans="3:13" ht="15.5" x14ac:dyDescent="0.35">
      <c r="C67" s="82" t="s">
        <v>133</v>
      </c>
      <c r="D67" s="211" t="str">
        <f>IFERROR(Data!EY71,"")</f>
        <v/>
      </c>
      <c r="E67" s="211" t="str">
        <f>IFERROR(Data!EY72,"")</f>
        <v/>
      </c>
      <c r="F67" s="212">
        <f>IFERROR(Data!EY62,"")</f>
        <v>201885</v>
      </c>
      <c r="H67" s="82" t="s">
        <v>133</v>
      </c>
      <c r="I67" s="213" t="str">
        <f>IFERROR(Data!EZ71,"")</f>
        <v/>
      </c>
      <c r="J67" s="213" t="str">
        <f>IFERROR(Data!EZ72,"")</f>
        <v/>
      </c>
      <c r="K67" s="214">
        <f>IFERROR(Data!EZ62,"")</f>
        <v>2788278</v>
      </c>
      <c r="L67" s="218"/>
      <c r="M67" s="218"/>
    </row>
    <row r="68" spans="3:13" ht="15.5" x14ac:dyDescent="0.35">
      <c r="C68" s="215" t="s">
        <v>270</v>
      </c>
      <c r="D68" s="199" t="str">
        <f>IFERROR(Data!EY71/Data!D71,"")</f>
        <v/>
      </c>
      <c r="E68" s="199" t="str">
        <f>IFERROR(Data!EY72/Data!D72,"")</f>
        <v/>
      </c>
      <c r="F68" s="200">
        <f>IFERROR(Data!EY62/Data!D62,"")</f>
        <v>0.27379880327877748</v>
      </c>
      <c r="H68" s="215" t="s">
        <v>306</v>
      </c>
      <c r="I68" s="216" t="str">
        <f>IFERROR(Data!EZ71/Data!EY71,"")</f>
        <v/>
      </c>
      <c r="J68" s="216" t="str">
        <f>IFERROR(Data!EZ72/Data!EY72,"")</f>
        <v/>
      </c>
      <c r="K68" s="217">
        <f>IFERROR(Data!EZ62/Data!EY62,"")</f>
        <v>13.811219258488743</v>
      </c>
    </row>
    <row r="69" spans="3:13" ht="15.5" x14ac:dyDescent="0.35">
      <c r="C69" s="82" t="s">
        <v>183</v>
      </c>
      <c r="D69" s="211" t="str">
        <f>IFERROR(Data!FA71,"")</f>
        <v/>
      </c>
      <c r="E69" s="211" t="str">
        <f>IFERROR(Data!FA72,"")</f>
        <v/>
      </c>
      <c r="F69" s="212">
        <f>IFERROR(Data!FA62,"")</f>
        <v>63301</v>
      </c>
      <c r="H69" s="82" t="s">
        <v>183</v>
      </c>
      <c r="I69" s="213" t="str">
        <f>IFERROR(Data!FB71,"")</f>
        <v/>
      </c>
      <c r="J69" s="213" t="str">
        <f>IFERROR(Data!FB72,"")</f>
        <v/>
      </c>
      <c r="K69" s="214">
        <f>IFERROR(Data!FB62,"")</f>
        <v>661614.80000000005</v>
      </c>
      <c r="L69" s="218"/>
      <c r="M69" s="218"/>
    </row>
    <row r="70" spans="3:13" ht="15.5" x14ac:dyDescent="0.35">
      <c r="C70" s="215" t="s">
        <v>270</v>
      </c>
      <c r="D70" s="199" t="str">
        <f>IFERROR(Data!FA71/Data!D71,"")</f>
        <v/>
      </c>
      <c r="E70" s="199" t="str">
        <f>IFERROR(Data!FA72/Data!D72,"")</f>
        <v/>
      </c>
      <c r="F70" s="200">
        <f>IFERROR(Data!FA62/Data!D62,"")</f>
        <v>8.5849558146221319E-2</v>
      </c>
      <c r="H70" s="215" t="s">
        <v>306</v>
      </c>
      <c r="I70" s="216" t="str">
        <f>IFERROR(Data!FB71/Data!FA71,"")</f>
        <v/>
      </c>
      <c r="J70" s="216" t="str">
        <f>IFERROR(Data!FB72/Data!FA72,"")</f>
        <v/>
      </c>
      <c r="K70" s="217">
        <f>IFERROR(Data!FB62/Data!FA62,"")</f>
        <v>10.451885436249032</v>
      </c>
    </row>
    <row r="71" spans="3:13" ht="15.5" x14ac:dyDescent="0.35">
      <c r="C71" s="82" t="s">
        <v>184</v>
      </c>
      <c r="D71" s="211" t="str">
        <f>IFERROR(Data!FC71,"")</f>
        <v/>
      </c>
      <c r="E71" s="211" t="str">
        <f>IFERROR(Data!FC72,"")</f>
        <v/>
      </c>
      <c r="F71" s="212">
        <f>IFERROR(Data!FC62,"")</f>
        <v>657421</v>
      </c>
      <c r="H71" s="82" t="s">
        <v>184</v>
      </c>
      <c r="I71" s="213" t="str">
        <f>IFERROR(Data!FD71,"")</f>
        <v/>
      </c>
      <c r="J71" s="213" t="str">
        <f>IFERROR(Data!FD72,"")</f>
        <v/>
      </c>
      <c r="K71" s="214">
        <f>IFERROR(Data!FD62,"")</f>
        <v>8709101.3000000007</v>
      </c>
      <c r="L71" s="218"/>
      <c r="M71" s="218"/>
    </row>
    <row r="72" spans="3:13" ht="15.5" x14ac:dyDescent="0.35">
      <c r="C72" s="215" t="s">
        <v>270</v>
      </c>
      <c r="D72" s="199" t="str">
        <f>IFERROR(Data!FC71/Data!D71,"")</f>
        <v/>
      </c>
      <c r="E72" s="199" t="str">
        <f>IFERROR(Data!FC72/Data!D72,"")</f>
        <v/>
      </c>
      <c r="F72" s="200">
        <f>IFERROR(Data!FC62/Data!D62,"")</f>
        <v>0.89160206578169332</v>
      </c>
      <c r="H72" s="215" t="s">
        <v>306</v>
      </c>
      <c r="I72" s="216" t="str">
        <f>IFERROR(Data!FD71/Data!FC71,"")</f>
        <v/>
      </c>
      <c r="J72" s="216" t="str">
        <f>IFERROR(Data!FD72/Data!FC72,"")</f>
        <v/>
      </c>
      <c r="K72" s="217">
        <f>IFERROR(Data!FD62/Data!FC62,"")</f>
        <v>13.24737314445386</v>
      </c>
    </row>
    <row r="73" spans="3:13" ht="15.5" x14ac:dyDescent="0.35">
      <c r="C73" s="82" t="s">
        <v>130</v>
      </c>
      <c r="D73" s="211" t="str">
        <f>IFERROR(Data!FE71,"")</f>
        <v/>
      </c>
      <c r="E73" s="211" t="str">
        <f>IFERROR(Data!FE72,"")</f>
        <v/>
      </c>
      <c r="F73" s="212">
        <f>IFERROR(Data!FE62,"")</f>
        <v>648278</v>
      </c>
      <c r="H73" s="82" t="s">
        <v>130</v>
      </c>
      <c r="I73" s="213" t="str">
        <f>IFERROR(Data!FF71,"")</f>
        <v/>
      </c>
      <c r="J73" s="213" t="str">
        <f>IFERROR(Data!FF72,"")</f>
        <v/>
      </c>
      <c r="K73" s="214">
        <f>IFERROR(Data!FF62,"")</f>
        <v>5367560</v>
      </c>
      <c r="L73" s="218"/>
      <c r="M73" s="218"/>
    </row>
    <row r="74" spans="3:13" ht="15.5" x14ac:dyDescent="0.35">
      <c r="C74" s="215" t="s">
        <v>270</v>
      </c>
      <c r="D74" s="199" t="str">
        <f>IFERROR(Data!FE71/Data!D71,"")</f>
        <v/>
      </c>
      <c r="E74" s="199" t="str">
        <f>IFERROR(Data!FE72/Data!D72,"")</f>
        <v/>
      </c>
      <c r="F74" s="200">
        <f>IFERROR(Data!FE62/Data!D62,"")</f>
        <v>0.8792022220172836</v>
      </c>
      <c r="H74" s="215" t="s">
        <v>306</v>
      </c>
      <c r="I74" s="216" t="str">
        <f>IFERROR(Data!FF71/Data!FE71,"")</f>
        <v/>
      </c>
      <c r="J74" s="216" t="str">
        <f>IFERROR(Data!FF72/Data!FE72,"")</f>
        <v/>
      </c>
      <c r="K74" s="217">
        <f>IFERROR(Data!FF62/Data!FE62,"")</f>
        <v>8.2797195030527035</v>
      </c>
    </row>
    <row r="75" spans="3:13" ht="15.5" x14ac:dyDescent="0.35">
      <c r="C75" s="82" t="s">
        <v>185</v>
      </c>
      <c r="D75" s="211" t="str">
        <f>IFERROR(Data!FG71,"")</f>
        <v/>
      </c>
      <c r="E75" s="211" t="str">
        <f>IFERROR(Data!FG72,"")</f>
        <v/>
      </c>
      <c r="F75" s="212">
        <f>IFERROR(Data!FG62,"")</f>
        <v>345831</v>
      </c>
      <c r="H75" s="82" t="s">
        <v>185</v>
      </c>
      <c r="I75" s="213" t="str">
        <f>IFERROR(Data!FH71,"")</f>
        <v/>
      </c>
      <c r="J75" s="213" t="str">
        <f>IFERROR(Data!FH72,"")</f>
        <v/>
      </c>
      <c r="K75" s="214">
        <f>IFERROR(Data!FH62,"")</f>
        <v>3102389.4</v>
      </c>
      <c r="L75" s="218"/>
      <c r="M75" s="218"/>
    </row>
    <row r="76" spans="3:13" ht="15.5" x14ac:dyDescent="0.35">
      <c r="C76" s="215" t="s">
        <v>270</v>
      </c>
      <c r="D76" s="199" t="str">
        <f>IFERROR(Data!FG71/Data!D71,"")</f>
        <v/>
      </c>
      <c r="E76" s="199" t="str">
        <f>IFERROR(Data!FG72/Data!D72,"")</f>
        <v/>
      </c>
      <c r="F76" s="200">
        <f>IFERROR(Data!FG62/Data!D62,"")</f>
        <v>0.46902005565892901</v>
      </c>
      <c r="H76" s="215" t="s">
        <v>306</v>
      </c>
      <c r="I76" s="216" t="str">
        <f>IFERROR(Data!FH71/Data!FG71,"")</f>
        <v/>
      </c>
      <c r="J76" s="216" t="str">
        <f>IFERROR(Data!FH72/Data!FG72,"")</f>
        <v/>
      </c>
      <c r="K76" s="217">
        <f>IFERROR(Data!FH62/Data!FG62,"")</f>
        <v>8.970825056169053</v>
      </c>
    </row>
    <row r="77" spans="3:13" ht="15.5" x14ac:dyDescent="0.35">
      <c r="C77" s="82" t="s">
        <v>132</v>
      </c>
      <c r="D77" s="211" t="str">
        <f>IFERROR(Data!FI71,"")</f>
        <v/>
      </c>
      <c r="E77" s="211" t="str">
        <f>IFERROR(Data!FI72,"")</f>
        <v/>
      </c>
      <c r="F77" s="212">
        <f>IFERROR(Data!FI62,"")</f>
        <v>499097</v>
      </c>
      <c r="H77" s="82" t="s">
        <v>132</v>
      </c>
      <c r="I77" s="213" t="str">
        <f>IFERROR(Data!FJ71,"")</f>
        <v/>
      </c>
      <c r="J77" s="213" t="str">
        <f>IFERROR(Data!FJ72,"")</f>
        <v/>
      </c>
      <c r="K77" s="214">
        <f>IFERROR(Data!FJ62,"")</f>
        <v>3360510.3</v>
      </c>
      <c r="L77" s="218"/>
      <c r="M77" s="218"/>
    </row>
    <row r="78" spans="3:13" ht="15.5" x14ac:dyDescent="0.35">
      <c r="C78" s="215" t="s">
        <v>270</v>
      </c>
      <c r="D78" s="199" t="str">
        <f>IFERROR(Data!FI71/Data!D71,"")</f>
        <v/>
      </c>
      <c r="E78" s="199" t="str">
        <f>IFERROR(Data!FI72/Data!D72,"")</f>
        <v/>
      </c>
      <c r="F78" s="200">
        <f>IFERROR(Data!FI62/Data!D62,"")</f>
        <v>0.67688120127809392</v>
      </c>
      <c r="H78" s="215" t="s">
        <v>306</v>
      </c>
      <c r="I78" s="216" t="str">
        <f>IFERROR(Data!FJ71/Data!FI71,"")</f>
        <v/>
      </c>
      <c r="J78" s="216" t="str">
        <f>IFERROR(Data!FJ72/Data!FI72,"")</f>
        <v/>
      </c>
      <c r="K78" s="217">
        <f>IFERROR(Data!FJ62/Data!FI62,"")</f>
        <v>6.7331807243882444</v>
      </c>
    </row>
    <row r="79" spans="3:13" ht="19.5" customHeight="1" x14ac:dyDescent="0.35">
      <c r="C79" s="82" t="s">
        <v>588</v>
      </c>
      <c r="D79" s="211" t="str">
        <f>IFERROR(Data!FK71,"")</f>
        <v/>
      </c>
      <c r="E79" s="211" t="str">
        <f>IFERROR(Data!FK72,"")</f>
        <v/>
      </c>
      <c r="F79" s="212">
        <f>IFERROR(Data!FK62,"")</f>
        <v>566222</v>
      </c>
      <c r="H79" s="82" t="s">
        <v>285</v>
      </c>
      <c r="I79" s="213" t="str">
        <f>IFERROR(Data!FL71,"")</f>
        <v/>
      </c>
      <c r="J79" s="213" t="str">
        <f>IFERROR(Data!FL72,"")</f>
        <v/>
      </c>
      <c r="K79" s="214">
        <f>IFERROR(Data!FL62,"")</f>
        <v>1964058.7</v>
      </c>
      <c r="L79" s="218"/>
      <c r="M79" s="218"/>
    </row>
    <row r="80" spans="3:13" ht="15.5" x14ac:dyDescent="0.35">
      <c r="C80" s="215" t="s">
        <v>270</v>
      </c>
      <c r="D80" s="199" t="str">
        <f>IFERROR(Data!FK71/Data!D71,"")</f>
        <v/>
      </c>
      <c r="E80" s="199" t="str">
        <f>IFERROR(Data!FK72/Data!D72,"")</f>
        <v/>
      </c>
      <c r="F80" s="200">
        <f>IFERROR(Data!FK62/Data!D62,"")</f>
        <v>0.76791691304512932</v>
      </c>
      <c r="H80" s="215" t="s">
        <v>306</v>
      </c>
      <c r="I80" s="216" t="str">
        <f>IFERROR(Data!FL71/Data!FK71,"")</f>
        <v/>
      </c>
      <c r="J80" s="216" t="str">
        <f>IFERROR(Data!FL72/Data!FK72,"")</f>
        <v/>
      </c>
      <c r="K80" s="217">
        <f>IFERROR(Data!FL62/Data!FK62,"")</f>
        <v>3.4687078566357363</v>
      </c>
    </row>
    <row r="81" spans="3:13" ht="15" customHeight="1" x14ac:dyDescent="0.35">
      <c r="C81" s="82" t="s">
        <v>156</v>
      </c>
      <c r="D81" s="211" t="str">
        <f>IFERROR(Data!FM71,"")</f>
        <v/>
      </c>
      <c r="E81" s="211" t="str">
        <f>IFERROR(Data!FM72,"")</f>
        <v/>
      </c>
      <c r="F81" s="212">
        <f>IFERROR(Data!FM62,"")</f>
        <v>32613</v>
      </c>
      <c r="H81" s="82" t="s">
        <v>156</v>
      </c>
      <c r="I81" s="213" t="str">
        <f>IFERROR(Data!FN71,"")</f>
        <v/>
      </c>
      <c r="J81" s="213" t="str">
        <f>IFERROR(Data!FN72,"")</f>
        <v/>
      </c>
      <c r="K81" s="214">
        <f>IFERROR(Data!FN62,"")</f>
        <v>86226.7</v>
      </c>
      <c r="L81" s="218"/>
      <c r="M81" s="218"/>
    </row>
    <row r="82" spans="3:13" ht="15.5" x14ac:dyDescent="0.35">
      <c r="C82" s="215" t="s">
        <v>270</v>
      </c>
      <c r="D82" s="199" t="str">
        <f>IFERROR(Data!FM71/Data!D71,"")</f>
        <v/>
      </c>
      <c r="E82" s="199" t="str">
        <f>IFERROR(Data!FM72/Data!D72,"")</f>
        <v/>
      </c>
      <c r="F82" s="200">
        <f>IFERROR(Data!FM62/Data!D62,"")</f>
        <v>4.4230132854500184E-2</v>
      </c>
      <c r="H82" s="215" t="s">
        <v>306</v>
      </c>
      <c r="I82" s="216" t="str">
        <f>IFERROR(Data!FN71/Data!FM71,"")</f>
        <v/>
      </c>
      <c r="J82" s="216" t="str">
        <f>IFERROR(Data!FN72/Data!FM72,"")</f>
        <v/>
      </c>
      <c r="K82" s="217">
        <f>IFERROR(Data!FN62/Data!FM62,"")</f>
        <v>2.6439364670530154</v>
      </c>
    </row>
    <row r="83" spans="3:13" ht="15.5" x14ac:dyDescent="0.35">
      <c r="C83" s="82" t="s">
        <v>131</v>
      </c>
      <c r="D83" s="211" t="str">
        <f>IFERROR(Data!FO71,"")</f>
        <v/>
      </c>
      <c r="E83" s="211" t="str">
        <f>IFERROR(Data!FO72,"")</f>
        <v/>
      </c>
      <c r="F83" s="212">
        <f>IFERROR(Data!FO62,"")</f>
        <v>577095</v>
      </c>
      <c r="G83" s="50"/>
      <c r="H83" s="82" t="s">
        <v>131</v>
      </c>
      <c r="I83" s="213" t="str">
        <f>IFERROR(Data!FP71,"")</f>
        <v/>
      </c>
      <c r="J83" s="213" t="str">
        <f>IFERROR(Data!FP72,"")</f>
        <v/>
      </c>
      <c r="K83" s="214">
        <f>IFERROR(Data!FP62,"")</f>
        <v>4971078.4000000004</v>
      </c>
      <c r="L83" s="218"/>
      <c r="M83" s="218"/>
    </row>
    <row r="84" spans="3:13" ht="15.5" x14ac:dyDescent="0.35">
      <c r="C84" s="215" t="s">
        <v>270</v>
      </c>
      <c r="D84" s="199" t="str">
        <f>IFERROR(Data!FO71/Data!D71,"")</f>
        <v/>
      </c>
      <c r="E84" s="199" t="str">
        <f>IFERROR(Data!FO72/Data!D72,"")</f>
        <v/>
      </c>
      <c r="F84" s="200">
        <f>IFERROR(Data!FO62/Data!D62,"")</f>
        <v>0.78266300308673786</v>
      </c>
      <c r="G84" s="50"/>
      <c r="H84" s="215" t="s">
        <v>306</v>
      </c>
      <c r="I84" s="216" t="str">
        <f>IFERROR(Data!FP71/Data!FO71,"")</f>
        <v/>
      </c>
      <c r="J84" s="216" t="str">
        <f>IFERROR(Data!FP72/Data!FO72,"")</f>
        <v/>
      </c>
      <c r="K84" s="217">
        <f>IFERROR(Data!FP62/Data!FO62,"")</f>
        <v>8.6139689305920175</v>
      </c>
    </row>
    <row r="85" spans="3:13" ht="15.5" x14ac:dyDescent="0.35">
      <c r="C85" s="82" t="s">
        <v>137</v>
      </c>
      <c r="D85" s="211" t="str">
        <f>IFERROR(Data!FQ71,"")</f>
        <v/>
      </c>
      <c r="E85" s="211" t="str">
        <f>IFERROR(Data!FQ72,"")</f>
        <v/>
      </c>
      <c r="F85" s="212">
        <f>IFERROR(Data!FQ62,"")</f>
        <v>587886</v>
      </c>
      <c r="G85" s="50"/>
      <c r="H85" s="82" t="s">
        <v>137</v>
      </c>
      <c r="I85" s="213" t="str">
        <f>IFERROR(Data!FR71,"")</f>
        <v/>
      </c>
      <c r="J85" s="213" t="str">
        <f>IFERROR(Data!FR72,"")</f>
        <v/>
      </c>
      <c r="K85" s="214">
        <f>IFERROR(Data!FR62,"")</f>
        <v>1849182.3</v>
      </c>
      <c r="L85" s="218"/>
      <c r="M85" s="218"/>
    </row>
    <row r="86" spans="3:13" ht="15.5" x14ac:dyDescent="0.35">
      <c r="C86" s="215" t="s">
        <v>270</v>
      </c>
      <c r="D86" s="199" t="str">
        <f>IFERROR(Data!FQ71/Data!D71,"")</f>
        <v/>
      </c>
      <c r="E86" s="199" t="str">
        <f>IFERROR(Data!FQ72/Data!D72,"")</f>
        <v/>
      </c>
      <c r="F86" s="200">
        <f>IFERROR(Data!FQ62/Data!D62,"")</f>
        <v>0.79729788376723065</v>
      </c>
      <c r="G86" s="50"/>
      <c r="H86" s="215" t="s">
        <v>306</v>
      </c>
      <c r="I86" s="216" t="str">
        <f>IFERROR(Data!FR71/Data!FQ71,"")</f>
        <v/>
      </c>
      <c r="J86" s="216" t="str">
        <f>IFERROR(Data!FR72/Data!FQ72,"")</f>
        <v/>
      </c>
      <c r="K86" s="217">
        <f>IFERROR(Data!FR62/Data!FQ62,"")</f>
        <v>3.1454776946550864</v>
      </c>
    </row>
    <row r="87" spans="3:13" ht="15.5" x14ac:dyDescent="0.35">
      <c r="C87" s="82" t="s">
        <v>186</v>
      </c>
      <c r="D87" s="211" t="str">
        <f>IFERROR(Data!FS71,"")</f>
        <v/>
      </c>
      <c r="E87" s="211" t="str">
        <f>IFERROR(Data!FS72,"")</f>
        <v/>
      </c>
      <c r="F87" s="212">
        <f>IFERROR(Data!FS62,"")</f>
        <v>7221</v>
      </c>
      <c r="G87" s="50"/>
      <c r="H87" s="82" t="s">
        <v>186</v>
      </c>
      <c r="I87" s="213" t="str">
        <f>IFERROR(Data!FT71,"")</f>
        <v/>
      </c>
      <c r="J87" s="213" t="str">
        <f>IFERROR(Data!FT72,"")</f>
        <v/>
      </c>
      <c r="K87" s="214">
        <f>IFERROR(Data!FT62,"")</f>
        <v>52527.199999999997</v>
      </c>
      <c r="L87" s="218"/>
      <c r="M87" s="218"/>
    </row>
    <row r="88" spans="3:13" ht="15.5" x14ac:dyDescent="0.35">
      <c r="C88" s="219" t="s">
        <v>270</v>
      </c>
      <c r="D88" s="204" t="str">
        <f>IFERROR(Data!FS71/Data!D71,"")</f>
        <v/>
      </c>
      <c r="E88" s="204" t="str">
        <f>IFERROR(Data!FS72/Data!D72,"")</f>
        <v/>
      </c>
      <c r="F88" s="440">
        <f>IFERROR(Data!FS62/Data!D62,"")</f>
        <v>9.7932048367934815E-3</v>
      </c>
      <c r="G88" s="50"/>
      <c r="H88" s="22" t="s">
        <v>306</v>
      </c>
      <c r="I88" s="206" t="str">
        <f>IFERROR(Data!FT71/Data!FS71,"0.0")</f>
        <v>0.0</v>
      </c>
      <c r="J88" s="206" t="str">
        <f>IFERROR(Data!FT72/Data!FS72,"0.0")</f>
        <v>0.0</v>
      </c>
      <c r="K88" s="443">
        <f>IFERROR(Data!FT62/Data!FS62,"")</f>
        <v>7.2742279462678292</v>
      </c>
    </row>
    <row r="89" spans="3:13" ht="15.5" x14ac:dyDescent="0.35">
      <c r="C89" s="56"/>
      <c r="D89" s="220"/>
      <c r="E89" s="221"/>
      <c r="F89" s="50"/>
      <c r="G89" s="50"/>
      <c r="H89" s="56"/>
      <c r="I89" s="50"/>
      <c r="J89" s="50"/>
      <c r="K89" s="50"/>
      <c r="L89" s="218"/>
      <c r="M89" s="218"/>
    </row>
    <row r="90" spans="3:13" ht="15.5" x14ac:dyDescent="0.35">
      <c r="C90" s="56"/>
      <c r="D90" s="220"/>
      <c r="E90" s="220"/>
      <c r="H90" s="56"/>
    </row>
    <row r="91" spans="3:13" ht="15.5" x14ac:dyDescent="0.35">
      <c r="C91" s="56"/>
      <c r="D91" s="220"/>
      <c r="E91" s="220"/>
      <c r="H91" s="56"/>
    </row>
    <row r="92" spans="3:13" ht="15.5" x14ac:dyDescent="0.35">
      <c r="C92" s="56"/>
      <c r="D92" s="220"/>
      <c r="E92" s="220"/>
      <c r="H92" s="56"/>
    </row>
    <row r="93" spans="3:13" ht="15.5" x14ac:dyDescent="0.35">
      <c r="C93" s="56"/>
      <c r="D93" s="220"/>
      <c r="E93" s="220"/>
      <c r="H93" s="56"/>
    </row>
    <row r="94" spans="3:13" ht="15.5" x14ac:dyDescent="0.35">
      <c r="C94" s="56"/>
      <c r="D94" s="220"/>
      <c r="E94" s="220"/>
      <c r="H94" s="56"/>
    </row>
    <row r="95" spans="3:13" ht="15.5" x14ac:dyDescent="0.35">
      <c r="C95" s="56"/>
      <c r="D95" s="220"/>
      <c r="E95" s="220"/>
      <c r="H95" s="56"/>
    </row>
    <row r="96" spans="3:13" ht="15.5" x14ac:dyDescent="0.35">
      <c r="C96" s="56"/>
      <c r="D96" s="220"/>
      <c r="E96" s="220"/>
      <c r="H96" s="56"/>
    </row>
    <row r="97" spans="3:9" ht="15.5" x14ac:dyDescent="0.35">
      <c r="C97" s="56"/>
      <c r="D97" s="220"/>
      <c r="E97" s="220"/>
      <c r="H97" s="56"/>
    </row>
    <row r="98" spans="3:9" ht="15.5" x14ac:dyDescent="0.35">
      <c r="C98" s="56"/>
      <c r="D98" s="220"/>
      <c r="E98" s="220"/>
      <c r="H98" s="56"/>
      <c r="I98" s="56"/>
    </row>
    <row r="99" spans="3:9" ht="15.5" x14ac:dyDescent="0.35">
      <c r="C99" s="56"/>
      <c r="D99" s="220"/>
      <c r="E99" s="220"/>
      <c r="H99" s="56"/>
    </row>
    <row r="100" spans="3:9" ht="15.5" x14ac:dyDescent="0.35">
      <c r="C100" s="56"/>
      <c r="D100" s="220"/>
      <c r="E100" s="220"/>
      <c r="H100" s="56"/>
      <c r="I100" s="56"/>
    </row>
    <row r="101" spans="3:9" ht="15.5" x14ac:dyDescent="0.35">
      <c r="C101" s="56"/>
      <c r="D101" s="220"/>
      <c r="E101" s="220"/>
      <c r="H101" s="56"/>
    </row>
    <row r="102" spans="3:9" ht="15.5" x14ac:dyDescent="0.35">
      <c r="C102" s="56"/>
      <c r="D102" s="220"/>
      <c r="E102" s="220"/>
      <c r="H102" s="56"/>
      <c r="I102" s="56"/>
    </row>
    <row r="103" spans="3:9" ht="15.5" x14ac:dyDescent="0.35">
      <c r="C103" s="56"/>
      <c r="D103" s="220"/>
      <c r="E103" s="220"/>
      <c r="H103" s="56"/>
    </row>
    <row r="104" spans="3:9" ht="15.5" x14ac:dyDescent="0.35">
      <c r="C104" s="56"/>
      <c r="D104" s="220"/>
      <c r="E104" s="220"/>
      <c r="H104" s="56"/>
      <c r="I104" s="56"/>
    </row>
    <row r="105" spans="3:9" ht="15.5" x14ac:dyDescent="0.35">
      <c r="C105" s="56"/>
      <c r="D105" s="220"/>
      <c r="E105" s="220"/>
      <c r="H105" s="56"/>
    </row>
    <row r="106" spans="3:9" ht="15.5" x14ac:dyDescent="0.35">
      <c r="C106" s="56"/>
      <c r="D106" s="220"/>
      <c r="E106" s="220"/>
      <c r="H106" s="56"/>
      <c r="I106" s="56"/>
    </row>
    <row r="107" spans="3:9" ht="15.5" x14ac:dyDescent="0.35">
      <c r="C107" s="56"/>
      <c r="D107" s="220"/>
      <c r="E107" s="220"/>
      <c r="H107" s="56"/>
    </row>
    <row r="108" spans="3:9" ht="15.5" x14ac:dyDescent="0.35">
      <c r="C108" s="56"/>
      <c r="D108" s="220"/>
      <c r="E108" s="220"/>
      <c r="H108" s="56"/>
      <c r="I108" s="56"/>
    </row>
    <row r="109" spans="3:9" ht="15.5" x14ac:dyDescent="0.35">
      <c r="C109" s="56"/>
      <c r="D109" s="220"/>
      <c r="E109" s="220"/>
      <c r="H109" s="56"/>
    </row>
    <row r="110" spans="3:9" ht="15.5" x14ac:dyDescent="0.35">
      <c r="C110" s="56"/>
      <c r="D110" s="220"/>
      <c r="E110" s="220"/>
      <c r="H110" s="56"/>
      <c r="I110" s="56"/>
    </row>
    <row r="111" spans="3:9" ht="15.5" x14ac:dyDescent="0.35">
      <c r="C111" s="56"/>
      <c r="D111" s="220"/>
      <c r="E111" s="220"/>
      <c r="H111" s="56"/>
    </row>
    <row r="112" spans="3:9" ht="15.5" x14ac:dyDescent="0.35">
      <c r="C112" s="56"/>
      <c r="D112" s="220"/>
      <c r="E112" s="220"/>
      <c r="H112" s="56"/>
    </row>
    <row r="113" spans="3:13" ht="15.5" x14ac:dyDescent="0.35">
      <c r="C113" s="56"/>
      <c r="D113" s="220"/>
      <c r="E113" s="220"/>
      <c r="H113" s="56"/>
    </row>
    <row r="114" spans="3:13" ht="15.5" x14ac:dyDescent="0.35">
      <c r="C114" s="139"/>
      <c r="D114" s="220"/>
      <c r="E114" s="220"/>
      <c r="H114" s="139"/>
    </row>
    <row r="115" spans="3:13" x14ac:dyDescent="0.35">
      <c r="C115" s="222"/>
      <c r="D115" s="220"/>
      <c r="E115" s="220"/>
      <c r="F115" s="220"/>
      <c r="H115" s="222"/>
      <c r="I115" s="220"/>
      <c r="J115" s="220"/>
      <c r="K115" s="220"/>
    </row>
    <row r="116" spans="3:13" x14ac:dyDescent="0.35">
      <c r="C116" s="75"/>
      <c r="H116" s="75"/>
    </row>
    <row r="117" spans="3:13" x14ac:dyDescent="0.35">
      <c r="C117" s="75"/>
      <c r="H117" s="75"/>
    </row>
    <row r="118" spans="3:13" x14ac:dyDescent="0.35">
      <c r="C118" s="75"/>
      <c r="H118" s="75"/>
    </row>
    <row r="119" spans="3:13" x14ac:dyDescent="0.35">
      <c r="C119" s="75"/>
      <c r="G119" s="220"/>
      <c r="H119" s="75"/>
      <c r="L119" s="220"/>
      <c r="M119" s="220"/>
    </row>
    <row r="120" spans="3:13" ht="15.5" x14ac:dyDescent="0.35">
      <c r="C120" s="139"/>
      <c r="D120" s="220"/>
      <c r="E120" s="220"/>
      <c r="H120" s="139"/>
      <c r="M120" s="220"/>
    </row>
    <row r="121" spans="3:13" ht="30" customHeight="1" x14ac:dyDescent="0.4">
      <c r="C121" s="223" t="s">
        <v>367</v>
      </c>
      <c r="D121" s="158"/>
      <c r="E121" s="158"/>
      <c r="F121" s="224"/>
      <c r="H121" s="63" t="s">
        <v>368</v>
      </c>
      <c r="I121" s="64"/>
      <c r="J121" s="64"/>
      <c r="K121" s="65"/>
      <c r="M121" s="220"/>
    </row>
    <row r="122" spans="3:13" ht="15.5" x14ac:dyDescent="0.35">
      <c r="C122" s="225" t="s">
        <v>325</v>
      </c>
      <c r="D122" s="226" t="str">
        <f>Data!A71</f>
        <v/>
      </c>
      <c r="E122" s="226" t="str">
        <f>Data!$A$72</f>
        <v/>
      </c>
      <c r="F122" s="227" t="str">
        <f>LEFT(Data!$A$62,9)</f>
        <v>Statewide</v>
      </c>
      <c r="H122" s="225" t="s">
        <v>315</v>
      </c>
      <c r="I122" s="226" t="str">
        <f>Data!A71</f>
        <v/>
      </c>
      <c r="J122" s="226" t="str">
        <f>Data!$A$72</f>
        <v/>
      </c>
      <c r="K122" s="227" t="str">
        <f>LEFT(Data!$A$62,9)</f>
        <v>Statewide</v>
      </c>
    </row>
    <row r="123" spans="3:13" ht="15.5" x14ac:dyDescent="0.35">
      <c r="C123" s="228" t="s">
        <v>134</v>
      </c>
      <c r="D123" s="211" t="str">
        <f>IFERROR(Data!EH71,"")</f>
        <v/>
      </c>
      <c r="E123" s="211" t="str">
        <f>IFERROR(Data!EH72,"")</f>
        <v/>
      </c>
      <c r="F123" s="212">
        <f>IFERROR(Data!EH62,"")</f>
        <v>613942</v>
      </c>
      <c r="H123" s="228" t="s">
        <v>134</v>
      </c>
      <c r="I123" s="213" t="str">
        <f>IFERROR(Data!EI71,"")</f>
        <v/>
      </c>
      <c r="J123" s="213" t="str">
        <f>IFERROR(Data!EI72,"")</f>
        <v/>
      </c>
      <c r="K123" s="214">
        <f>IFERROR(Data!EI62,"")</f>
        <v>1912593.2</v>
      </c>
    </row>
    <row r="124" spans="3:13" ht="15.5" x14ac:dyDescent="0.35">
      <c r="C124" s="229" t="s">
        <v>270</v>
      </c>
      <c r="D124" s="199" t="str">
        <f>IFERROR(Data!EH71/Data!D71,"")</f>
        <v/>
      </c>
      <c r="E124" s="199" t="str">
        <f>IFERROR(Data!EH72/Data!D72,"")</f>
        <v/>
      </c>
      <c r="F124" s="200">
        <f>IFERROR(Data!EH62/Data!D62,"")</f>
        <v>0.83263533636763098</v>
      </c>
      <c r="H124" s="215" t="s">
        <v>306</v>
      </c>
      <c r="I124" s="216" t="str">
        <f>IFERROR(Data!EI71/Data!EH71,"")</f>
        <v/>
      </c>
      <c r="J124" s="216" t="str">
        <f>IFERROR(Data!EI72/Data!EH72,"")</f>
        <v/>
      </c>
      <c r="K124" s="217">
        <f>IFERROR(Data!EI62/Data!EH62,"")</f>
        <v>3.1152669144642329</v>
      </c>
    </row>
    <row r="125" spans="3:13" s="230" customFormat="1" ht="15.5" x14ac:dyDescent="0.35">
      <c r="C125" s="228" t="s">
        <v>149</v>
      </c>
      <c r="D125" s="211" t="str">
        <f>IFERROR(Data!EJ71,"")</f>
        <v/>
      </c>
      <c r="E125" s="211" t="str">
        <f>IFERROR(Data!EJ72,"")</f>
        <v/>
      </c>
      <c r="F125" s="212">
        <f>IFERROR(Data!EJ62,"")</f>
        <v>616596</v>
      </c>
      <c r="H125" s="228" t="s">
        <v>149</v>
      </c>
      <c r="I125" s="213" t="str">
        <f>IFERROR(Data!EK71,"")</f>
        <v/>
      </c>
      <c r="J125" s="213" t="str">
        <f>IFERROR(Data!EK72,"")</f>
        <v/>
      </c>
      <c r="K125" s="214">
        <f>IFERROR(Data!EK62,"")</f>
        <v>14001263.9</v>
      </c>
    </row>
    <row r="126" spans="3:13" s="230" customFormat="1" ht="15.5" x14ac:dyDescent="0.35">
      <c r="C126" s="229" t="s">
        <v>270</v>
      </c>
      <c r="D126" s="199" t="str">
        <f>IFERROR(Data!EJ71/Data!D71,"")</f>
        <v/>
      </c>
      <c r="E126" s="199" t="str">
        <f>IFERROR(Data!EJ72/Data!D72,"")</f>
        <v/>
      </c>
      <c r="F126" s="200">
        <f>IFERROR(Data!EJ62/Data!D62,"")</f>
        <v>0.83623472227496376</v>
      </c>
      <c r="H126" s="215" t="s">
        <v>306</v>
      </c>
      <c r="I126" s="216" t="str">
        <f>IFERROR(Data!EK71/Data!EJ71,"")</f>
        <v/>
      </c>
      <c r="J126" s="216" t="str">
        <f>IFERROR(Data!EK72/Data!EJ72,"")</f>
        <v/>
      </c>
      <c r="K126" s="217">
        <f>IFERROR(Data!EK62/Data!EJ62,"")</f>
        <v>22.707354410343239</v>
      </c>
    </row>
    <row r="127" spans="3:13" ht="15.5" x14ac:dyDescent="0.35">
      <c r="C127" s="228" t="s">
        <v>179</v>
      </c>
      <c r="D127" s="211" t="str">
        <f>IFERROR(Data!EL71,"")</f>
        <v/>
      </c>
      <c r="E127" s="211" t="str">
        <f>IFERROR(Data!EL72,"")</f>
        <v/>
      </c>
      <c r="F127" s="212">
        <f>IFERROR(Data!EL62,"")</f>
        <v>609180</v>
      </c>
      <c r="H127" s="228" t="s">
        <v>179</v>
      </c>
      <c r="I127" s="213" t="str">
        <f>IFERROR(Data!EM71,"")</f>
        <v/>
      </c>
      <c r="J127" s="213" t="str">
        <f>IFERROR(Data!EM72,"")</f>
        <v/>
      </c>
      <c r="K127" s="214">
        <f>IFERROR(Data!EM62,"")</f>
        <v>5715496.5</v>
      </c>
    </row>
    <row r="128" spans="3:13" ht="15.5" x14ac:dyDescent="0.35">
      <c r="C128" s="229" t="s">
        <v>270</v>
      </c>
      <c r="D128" s="199" t="str">
        <f>IFERROR(Data!EL71/Data!D71,"")</f>
        <v/>
      </c>
      <c r="E128" s="199" t="str">
        <f>IFERROR(Data!EL72/Data!D72,"")</f>
        <v/>
      </c>
      <c r="F128" s="200">
        <f>IFERROR(Data!EL62/Data!D62,"")</f>
        <v>0.82617705615259007</v>
      </c>
      <c r="H128" s="215" t="s">
        <v>306</v>
      </c>
      <c r="I128" s="216" t="str">
        <f>IFERROR(Data!EM71/Data!EL71,"")</f>
        <v/>
      </c>
      <c r="J128" s="216" t="str">
        <f>IFERROR(Data!EM72/Data!EL72,"")</f>
        <v/>
      </c>
      <c r="K128" s="217">
        <f>IFERROR(Data!EM62/Data!EL62,"")</f>
        <v>9.3822786368561015</v>
      </c>
    </row>
    <row r="129" spans="3:12" ht="15.5" x14ac:dyDescent="0.35">
      <c r="C129" s="228" t="s">
        <v>135</v>
      </c>
      <c r="D129" s="211" t="str">
        <f>IFERROR(Data!EN71,"")</f>
        <v/>
      </c>
      <c r="E129" s="211" t="str">
        <f>IFERROR(Data!EN72,"")</f>
        <v/>
      </c>
      <c r="F129" s="212">
        <f>IFERROR(Data!EN62,"")</f>
        <v>631887</v>
      </c>
      <c r="H129" s="228" t="s">
        <v>135</v>
      </c>
      <c r="I129" s="213" t="str">
        <f>IFERROR(Data!EO71,"")</f>
        <v/>
      </c>
      <c r="J129" s="213" t="str">
        <f>IFERROR(Data!EO72,"")</f>
        <v/>
      </c>
      <c r="K129" s="214">
        <f>IFERROR(Data!EO62,"")</f>
        <v>3115276.9</v>
      </c>
    </row>
    <row r="130" spans="3:12" ht="15.5" x14ac:dyDescent="0.35">
      <c r="C130" s="229" t="s">
        <v>270</v>
      </c>
      <c r="D130" s="199" t="str">
        <f>IFERROR(Data!EN71/Data!D71,"")</f>
        <v/>
      </c>
      <c r="E130" s="199" t="str">
        <f>IFERROR(Data!EN72/Data!D72,"")</f>
        <v/>
      </c>
      <c r="F130" s="200">
        <f>IFERROR(Data!EN62/Data!D62,"")</f>
        <v>0.85697255569961539</v>
      </c>
      <c r="H130" s="215" t="s">
        <v>306</v>
      </c>
      <c r="I130" s="216" t="str">
        <f>IFERROR(Data!EO71/Data!EN71,"")</f>
        <v/>
      </c>
      <c r="J130" s="216" t="str">
        <f>IFERROR(Data!EO72/Data!EN72,"")</f>
        <v/>
      </c>
      <c r="K130" s="217">
        <f>IFERROR(Data!EO62/Data!EN62,"")</f>
        <v>4.9301170937208711</v>
      </c>
    </row>
    <row r="131" spans="3:12" ht="15.5" x14ac:dyDescent="0.35">
      <c r="C131" s="228" t="s">
        <v>136</v>
      </c>
      <c r="D131" s="211" t="str">
        <f>IFERROR(Data!EP71,"")</f>
        <v/>
      </c>
      <c r="E131" s="211" t="str">
        <f>IFERROR(Data!EP72,"")</f>
        <v/>
      </c>
      <c r="F131" s="212">
        <f>IFERROR(Data!EP62,"")</f>
        <v>610741</v>
      </c>
      <c r="G131" s="50"/>
      <c r="H131" s="228" t="s">
        <v>136</v>
      </c>
      <c r="I131" s="213" t="str">
        <f>IFERROR(Data!EQ71,"")</f>
        <v/>
      </c>
      <c r="J131" s="213" t="str">
        <f>IFERROR(Data!EQ72,"")</f>
        <v/>
      </c>
      <c r="K131" s="214">
        <f>IFERROR(Data!EQ62,"")</f>
        <v>1747037</v>
      </c>
      <c r="L131" s="50"/>
    </row>
    <row r="132" spans="3:12" ht="15.5" x14ac:dyDescent="0.35">
      <c r="C132" s="229" t="s">
        <v>270</v>
      </c>
      <c r="D132" s="199" t="str">
        <f>IFERROR(Data!EP71/Data!D71,"")</f>
        <v/>
      </c>
      <c r="E132" s="199" t="str">
        <f>IFERROR(Data!EP72/Data!D72,"")</f>
        <v/>
      </c>
      <c r="F132" s="200">
        <f>IFERROR(Data!EP62/Data!D62,"")</f>
        <v>0.82829410264895276</v>
      </c>
      <c r="G132" s="50"/>
      <c r="H132" s="215" t="s">
        <v>306</v>
      </c>
      <c r="I132" s="216" t="str">
        <f>IFERROR(Data!EQ71/Data!EP71,"")</f>
        <v/>
      </c>
      <c r="J132" s="216" t="str">
        <f>IFERROR(Data!EQ72/Data!EP72,"")</f>
        <v/>
      </c>
      <c r="K132" s="217">
        <f>IFERROR(Data!EQ62/Data!EP62,"")</f>
        <v>2.8605202532661145</v>
      </c>
      <c r="L132" s="50"/>
    </row>
    <row r="133" spans="3:12" ht="15.5" x14ac:dyDescent="0.35">
      <c r="C133" s="228" t="s">
        <v>180</v>
      </c>
      <c r="D133" s="211" t="str">
        <f>IFERROR(Data!ER71,"")</f>
        <v/>
      </c>
      <c r="E133" s="211" t="str">
        <f>IFERROR(Data!ER72,"")</f>
        <v/>
      </c>
      <c r="F133" s="212">
        <f>IFERROR(Data!ER62,"")</f>
        <v>611931</v>
      </c>
      <c r="G133" s="50"/>
      <c r="H133" s="231" t="s">
        <v>180</v>
      </c>
      <c r="I133" s="213" t="str">
        <f>IFERROR(Data!ES71,"")</f>
        <v/>
      </c>
      <c r="J133" s="213" t="str">
        <f>IFERROR(Data!ES72,"")</f>
        <v/>
      </c>
      <c r="K133" s="214">
        <f>IFERROR(Data!ES62,"")</f>
        <v>1256006.8999999999</v>
      </c>
      <c r="L133" s="50"/>
    </row>
    <row r="134" spans="3:12" ht="15.5" x14ac:dyDescent="0.35">
      <c r="C134" s="229" t="s">
        <v>270</v>
      </c>
      <c r="D134" s="199" t="str">
        <f>IFERROR(Data!ER71/Data!D71,"")</f>
        <v/>
      </c>
      <c r="E134" s="199" t="str">
        <f>IFERROR(Data!ER72/Data!D72,"")</f>
        <v/>
      </c>
      <c r="F134" s="200">
        <f>IFERROR(Data!ER62/Data!D62,"")</f>
        <v>0.82990799459685249</v>
      </c>
      <c r="G134" s="50"/>
      <c r="H134" s="215" t="s">
        <v>306</v>
      </c>
      <c r="I134" s="216" t="str">
        <f>IFERROR(Data!ES71/Data!ER71,"")</f>
        <v/>
      </c>
      <c r="J134" s="216" t="str">
        <f>IFERROR(Data!ES72/Data!ER72,"")</f>
        <v/>
      </c>
      <c r="K134" s="217">
        <f>IFERROR(Data!ES62/Data!ER62,"")</f>
        <v>2.0525302689355498</v>
      </c>
      <c r="L134" s="50"/>
    </row>
    <row r="135" spans="3:12" ht="15.5" x14ac:dyDescent="0.35">
      <c r="C135" s="228" t="s">
        <v>181</v>
      </c>
      <c r="D135" s="211" t="str">
        <f>IFERROR(Data!ET71,"")</f>
        <v/>
      </c>
      <c r="E135" s="211" t="str">
        <f>IFERROR(Data!ET72,"")</f>
        <v/>
      </c>
      <c r="F135" s="212">
        <f>IFERROR(Data!ET62,"")</f>
        <v>96</v>
      </c>
      <c r="G135" s="50"/>
      <c r="H135" s="231" t="s">
        <v>181</v>
      </c>
      <c r="I135" s="232" t="s">
        <v>127</v>
      </c>
      <c r="J135" s="232" t="s">
        <v>127</v>
      </c>
      <c r="K135" s="233" t="s">
        <v>127</v>
      </c>
      <c r="L135" s="50"/>
    </row>
    <row r="136" spans="3:12" ht="15.5" x14ac:dyDescent="0.35">
      <c r="C136" s="234" t="s">
        <v>270</v>
      </c>
      <c r="D136" s="235" t="str">
        <f>IFERROR(Data!ET71/Data!D71,"")</f>
        <v/>
      </c>
      <c r="E136" s="235" t="str">
        <f>IFERROR(Data!ET72/Data!D72,"")</f>
        <v/>
      </c>
      <c r="F136" s="442">
        <f>IFERROR(Data!ET62/Data!D62,"")</f>
        <v>1.3019632520872099E-4</v>
      </c>
      <c r="G136" s="50"/>
      <c r="H136" s="22" t="s">
        <v>306</v>
      </c>
      <c r="I136" s="236" t="s">
        <v>127</v>
      </c>
      <c r="J136" s="236" t="s">
        <v>127</v>
      </c>
      <c r="K136" s="444" t="s">
        <v>127</v>
      </c>
      <c r="L136" s="50"/>
    </row>
    <row r="137" spans="3:12" ht="15.5" x14ac:dyDescent="0.35">
      <c r="C137" s="237"/>
      <c r="D137" s="238"/>
      <c r="E137" s="238"/>
      <c r="F137" s="238"/>
      <c r="G137" s="50"/>
      <c r="H137" s="237"/>
      <c r="I137" s="239"/>
      <c r="J137" s="50"/>
      <c r="K137" s="50"/>
      <c r="L137" s="50"/>
    </row>
    <row r="138" spans="3:12" ht="31.5" x14ac:dyDescent="0.4">
      <c r="C138" s="240" t="s">
        <v>369</v>
      </c>
      <c r="D138" s="64"/>
      <c r="E138" s="64"/>
      <c r="F138" s="241"/>
      <c r="H138" s="242" t="s">
        <v>370</v>
      </c>
      <c r="I138" s="64"/>
      <c r="J138" s="64"/>
      <c r="K138" s="241"/>
    </row>
    <row r="139" spans="3:12" ht="15.5" x14ac:dyDescent="0.35">
      <c r="C139" s="225" t="s">
        <v>326</v>
      </c>
      <c r="D139" s="391" t="str">
        <f>Data!A71</f>
        <v/>
      </c>
      <c r="E139" s="390" t="str">
        <f>Data!$A$72</f>
        <v/>
      </c>
      <c r="F139" s="243" t="str">
        <f>LEFT(Data!$A$62,9)</f>
        <v>Statewide</v>
      </c>
      <c r="H139" s="225" t="s">
        <v>316</v>
      </c>
      <c r="I139" s="391" t="str">
        <f>Data!A71</f>
        <v/>
      </c>
      <c r="J139" s="391" t="str">
        <f>Data!$A$72</f>
        <v/>
      </c>
      <c r="K139" s="244" t="str">
        <f>LEFT(Data!$A$62,9)</f>
        <v>Statewide</v>
      </c>
    </row>
    <row r="140" spans="3:12" ht="15.5" x14ac:dyDescent="0.35">
      <c r="C140" s="231" t="s">
        <v>187</v>
      </c>
      <c r="D140" s="245" t="str">
        <f>IFERROR(Data!FU71/Data!D71,"")</f>
        <v/>
      </c>
      <c r="E140" s="245" t="str">
        <f>IFERROR(Data!FU72/Data!D72,"")</f>
        <v/>
      </c>
      <c r="F140" s="246">
        <f>IFERROR(Data!FU62/Data!D62,"")</f>
        <v>1.8986964092938475E-5</v>
      </c>
      <c r="H140" s="231" t="s">
        <v>187</v>
      </c>
      <c r="I140" s="247" t="str">
        <f>IFERROR(Data!FV71,"")</f>
        <v/>
      </c>
      <c r="J140" s="247" t="str">
        <f>IFERROR(Data!FV72,"0.0")</f>
        <v/>
      </c>
      <c r="K140" s="248">
        <f>IFERROR(Data!FV62,"")</f>
        <v>372.3</v>
      </c>
    </row>
    <row r="141" spans="3:12" ht="15.5" x14ac:dyDescent="0.35">
      <c r="C141" s="231" t="s">
        <v>188</v>
      </c>
      <c r="D141" s="245" t="str">
        <f>IFERROR(Data!FW71/Data!D71,"")</f>
        <v/>
      </c>
      <c r="E141" s="245" t="str">
        <f>IFERROR(Data!FW72/Data!D72,"")</f>
        <v/>
      </c>
      <c r="F141" s="246">
        <f>IFERROR(Data!FW62/Data!D62,"")</f>
        <v>0</v>
      </c>
      <c r="H141" s="231" t="s">
        <v>188</v>
      </c>
      <c r="I141" s="247" t="str">
        <f>IFERROR(Data!FX71,"")</f>
        <v/>
      </c>
      <c r="J141" s="247" t="str">
        <f>IFERROR(Data!FX72,"0.0")</f>
        <v/>
      </c>
      <c r="K141" s="248">
        <f>IFERROR(Data!FX62,"")</f>
        <v>0</v>
      </c>
    </row>
    <row r="142" spans="3:12" ht="15.5" x14ac:dyDescent="0.35">
      <c r="C142" s="231" t="s">
        <v>189</v>
      </c>
      <c r="D142" s="245" t="str">
        <f>IFERROR(Data!FY71/Data!D71,"")</f>
        <v/>
      </c>
      <c r="E142" s="245" t="str">
        <f>IFERROR(Data!FY72/Data!D72,"")</f>
        <v/>
      </c>
      <c r="F142" s="246">
        <f>IFERROR(Data!FY62/Data!D62,"")</f>
        <v>7.5947856371753902E-5</v>
      </c>
      <c r="G142" s="50"/>
      <c r="H142" s="231" t="s">
        <v>189</v>
      </c>
      <c r="I142" s="247" t="str">
        <f>IFERROR(Data!FZ71,"")</f>
        <v/>
      </c>
      <c r="J142" s="247" t="str">
        <f>IFERROR(Data!FZ72,"0.0")</f>
        <v/>
      </c>
      <c r="K142" s="248">
        <f>IFERROR(Data!FZ62,"")</f>
        <v>171.5</v>
      </c>
      <c r="L142" s="50"/>
    </row>
    <row r="143" spans="3:12" ht="15.5" x14ac:dyDescent="0.35">
      <c r="C143" s="219" t="s">
        <v>190</v>
      </c>
      <c r="D143" s="249" t="str">
        <f>IFERROR(Data!GA71/Data!D71,"")</f>
        <v/>
      </c>
      <c r="E143" s="249" t="str">
        <f>IFERROR(Data!GA72/Data!D72,"")</f>
        <v/>
      </c>
      <c r="F143" s="439">
        <f>IFERROR(Data!GA62/Data!D62,"")</f>
        <v>0</v>
      </c>
      <c r="G143" s="50"/>
      <c r="H143" s="219" t="s">
        <v>190</v>
      </c>
      <c r="I143" s="250" t="str">
        <f>IFERROR(Data!GB71,"")</f>
        <v/>
      </c>
      <c r="J143" s="250" t="str">
        <f>IFERROR(Data!GB72,"0.0")</f>
        <v/>
      </c>
      <c r="K143" s="445">
        <f>IFERROR(Data!GB62,"")</f>
        <v>0</v>
      </c>
      <c r="L143" s="50"/>
    </row>
    <row r="144" spans="3:12" ht="15.5" x14ac:dyDescent="0.35">
      <c r="C144" s="251"/>
      <c r="D144" s="252"/>
      <c r="E144" s="252"/>
      <c r="F144" s="252"/>
      <c r="G144" s="50"/>
      <c r="H144" s="50"/>
      <c r="I144" s="50"/>
      <c r="J144" s="50"/>
      <c r="K144" s="50"/>
      <c r="L144" s="50"/>
    </row>
    <row r="145" spans="5:12" x14ac:dyDescent="0.35">
      <c r="E145" s="50"/>
      <c r="F145" s="50"/>
      <c r="G145" s="50"/>
      <c r="H145" s="50"/>
      <c r="I145" s="50"/>
      <c r="J145" s="50"/>
      <c r="K145" s="50"/>
      <c r="L145" s="50"/>
    </row>
    <row r="146" spans="5:12" hidden="1" x14ac:dyDescent="0.35">
      <c r="E146" s="50"/>
      <c r="F146" s="50"/>
      <c r="G146" s="50"/>
      <c r="H146" s="50"/>
      <c r="I146" s="50"/>
      <c r="J146" s="50"/>
      <c r="K146" s="50"/>
      <c r="L146" s="50"/>
    </row>
    <row r="147" spans="5:12" hidden="1" x14ac:dyDescent="0.35">
      <c r="E147" s="50"/>
      <c r="F147" s="50"/>
      <c r="G147" s="50"/>
      <c r="H147" s="50"/>
      <c r="I147" s="50"/>
      <c r="J147" s="50"/>
      <c r="K147" s="50"/>
      <c r="L147" s="50"/>
    </row>
  </sheetData>
  <sheetProtection algorithmName="SHA-512" hashValue="RUJaELy0wPICcU/cUrAXTOLXK9OFcrx8ELOVDfAjpDiGiq5Wmi4buJ5lPrn4p1ZlOo2tGugIFzfE00qB/GQ5tw==" saltValue="OdoXpxaQatdjCbymecODcA==" spinCount="100000" sheet="1" objects="1" scenarios="1"/>
  <sortState xmlns:xlrd2="http://schemas.microsoft.com/office/spreadsheetml/2017/richdata2" ref="C123:F136">
    <sortCondition descending="1" ref="C136"/>
  </sortState>
  <hyperlinks>
    <hyperlink ref="A10:B10" location="Appen_SERVICES" tooltip="Go to IHSS Services definition" display="IHSS Services" xr:uid="{00000000-0004-0000-0500-000000000000}"/>
    <hyperlink ref="F25" location="Navigation!G13" tooltip="Back to Table Selection" display="Navigation!G13" xr:uid="{00000000-0004-0000-0500-000001000000}"/>
    <hyperlink ref="K25" location="Navigation!G14" tooltip="Back to Table Selection" display="Navigation!G14" xr:uid="{00000000-0004-0000-0500-000002000000}"/>
    <hyperlink ref="F88" location="Navigation!G15" tooltip="Back to Table Selection" display="Navigation!G15" xr:uid="{00000000-0004-0000-0500-000003000000}"/>
    <hyperlink ref="K88" location="Navigation!G16" tooltip="Back to Table Selection" display="Navigation!G16" xr:uid="{00000000-0004-0000-0500-000004000000}"/>
    <hyperlink ref="F143" location="Navigation!G19" tooltip="Back to Table Selection" display="Navigation!G19" xr:uid="{00000000-0004-0000-0500-000005000000}"/>
    <hyperlink ref="K143" location="Navigation!G20" tooltip="Back to Table Selection" display="Navigation!G20" xr:uid="{00000000-0004-0000-0500-000006000000}"/>
    <hyperlink ref="A2" location="COUNTY_SELECT" tooltip="Back to County Selection" display="COUNTY_SELECT" xr:uid="{00000000-0004-0000-0500-000007000000}"/>
    <hyperlink ref="K136" location="Navigation!G18" tooltip="Back to Table Selection" display="N/A" xr:uid="{00000000-0004-0000-0500-000008000000}"/>
    <hyperlink ref="A1" location="Nav_Serv" display="The In-Home Supportive Services (IHSS) Public Facing Data workbook (Microsoft Excel) contains several pages of data concerning IHSS recipients and IHSS programs.  It has been categorized into separate Pages (groups) for easier navigation.  To select a cou" xr:uid="{00000000-0004-0000-0500-000009000000}"/>
    <hyperlink ref="F136" location="Navigation!G17" tooltip="Back to Table Selection" display="Navigation!G17" xr:uid="{CAD8624E-21F6-42B7-95B3-646F3D1D846B}"/>
  </hyperlinks>
  <pageMargins left="0.7" right="0.7" top="0.75" bottom="0.75" header="0.3" footer="0.3"/>
  <pageSetup scale="37" fitToHeight="0" orientation="portrait" horizontalDpi="1200" verticalDpi="1200" r:id="rId1"/>
  <rowBreaks count="1" manualBreakCount="1">
    <brk id="89" max="12" man="1"/>
  </rowBreaks>
  <ignoredErrors>
    <ignoredError sqref="D24:K24 D26:K61 G25:H25 D89:K121 G63:H63 D64:H64 G65:H65 G66:H66 G67:H67 G68:H68 G69:H69 G70:H70 G71:H71 G72:H72 G73:H73 G74:H74 G75:H75 G76:H76 G77:H77 G78:H78 G79:H79 G80:H80 G81:H81 G82:H82 G83:H83 G84:H84 G85:H85 G86:H86 G87:H87 G88:H88 D137:K138 G123:H123 G124:H124 G125:H125 G126:H126 G127:H127 G128:H128 G129:H129 G130:H130 G131:H131 G132:H132 G133:H133 G134:H134 G135:K135 G136:K136 D144:K1048576 G140:H140 G141:H141 G142:H142 G143:H143 E62:H62 J62:K62 E122:H122 J122:K122 E139:H139 J139:K139"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Q70"/>
  <sheetViews>
    <sheetView showGridLines="0" showRowColHeaders="0" zoomScale="90" zoomScaleNormal="90" workbookViewId="0">
      <pane ySplit="4" topLeftCell="A5" activePane="bottomLeft" state="frozen"/>
      <selection pane="bottomLeft" activeCell="A5" sqref="A5"/>
    </sheetView>
  </sheetViews>
  <sheetFormatPr defaultColWidth="0" defaultRowHeight="14.5" zeroHeight="1" x14ac:dyDescent="0.35"/>
  <cols>
    <col min="1" max="1" width="9.1796875" style="28" customWidth="1"/>
    <col min="2" max="2" width="14.1796875" style="28" customWidth="1"/>
    <col min="3" max="3" width="19.1796875" style="28" customWidth="1"/>
    <col min="4" max="4" width="15.453125" style="28" customWidth="1"/>
    <col min="5" max="5" width="13.54296875" style="28" customWidth="1"/>
    <col min="6" max="6" width="15.453125" style="28" customWidth="1"/>
    <col min="7" max="7" width="17.54296875" style="28" customWidth="1"/>
    <col min="8" max="8" width="15.453125" style="28" customWidth="1"/>
    <col min="9" max="9" width="14.54296875" style="28" customWidth="1"/>
    <col min="10" max="10" width="15.453125" style="28" customWidth="1"/>
    <col min="11" max="11" width="11.54296875" style="28" customWidth="1"/>
    <col min="12" max="12" width="15.453125" style="28" customWidth="1"/>
    <col min="13" max="13" width="14" style="28" customWidth="1"/>
    <col min="14" max="14" width="15.453125" style="28" customWidth="1"/>
    <col min="15" max="15" width="14" style="28" customWidth="1"/>
    <col min="16" max="16" width="10.81640625" style="28" customWidth="1"/>
    <col min="17" max="17" width="11.81640625" style="28" customWidth="1"/>
    <col min="18" max="16384" width="9.1796875" style="28" hidden="1"/>
  </cols>
  <sheetData>
    <row r="1" spans="1:17" ht="0.75" customHeight="1" x14ac:dyDescent="0.35">
      <c r="A1" s="26" t="s">
        <v>574</v>
      </c>
      <c r="B1" s="27"/>
      <c r="C1" s="27"/>
      <c r="D1" s="27"/>
      <c r="E1" s="27"/>
      <c r="F1" s="27"/>
      <c r="G1" s="27"/>
      <c r="H1" s="27"/>
      <c r="I1" s="27"/>
      <c r="J1" s="27"/>
      <c r="K1" s="27"/>
    </row>
    <row r="2" spans="1:17" ht="24.75" customHeight="1" x14ac:dyDescent="0.35">
      <c r="A2" s="29" t="str">
        <f>COUNTY_SELECT&amp;" County"</f>
        <v>County Name County</v>
      </c>
      <c r="B2" s="57"/>
      <c r="E2" s="30"/>
      <c r="F2" s="30"/>
      <c r="G2" s="30"/>
      <c r="H2" s="30"/>
      <c r="I2" s="30"/>
      <c r="J2" s="30"/>
      <c r="K2" s="30"/>
      <c r="L2" s="30"/>
      <c r="M2" s="30"/>
      <c r="N2" s="30"/>
      <c r="O2" s="30"/>
      <c r="P2" s="30"/>
      <c r="Q2" s="30"/>
    </row>
    <row r="3" spans="1:17" ht="16.5" customHeight="1" x14ac:dyDescent="0.35">
      <c r="A3" s="153" t="str">
        <f>Navigation!A3</f>
        <v xml:space="preserve"> Size County</v>
      </c>
      <c r="B3" s="153"/>
    </row>
    <row r="4" spans="1:17" ht="12" customHeight="1" thickBot="1" x14ac:dyDescent="0.4">
      <c r="A4" s="32"/>
      <c r="B4" s="32"/>
      <c r="C4" s="32"/>
      <c r="D4" s="32"/>
      <c r="E4" s="32"/>
      <c r="F4" s="32"/>
      <c r="G4" s="32"/>
      <c r="H4" s="32"/>
      <c r="I4" s="32"/>
      <c r="J4" s="32"/>
      <c r="K4" s="32"/>
      <c r="L4" s="32"/>
      <c r="M4" s="32"/>
      <c r="N4" s="32"/>
      <c r="O4" s="32"/>
      <c r="P4" s="32"/>
      <c r="Q4" s="32"/>
    </row>
    <row r="5" spans="1:17" ht="20.25" customHeight="1" thickTop="1" x14ac:dyDescent="0.35">
      <c r="A5" s="457" t="s">
        <v>569</v>
      </c>
      <c r="B5" s="454"/>
      <c r="C5" s="454"/>
      <c r="D5" s="454"/>
      <c r="E5" s="454"/>
      <c r="F5" s="454"/>
      <c r="G5" s="454"/>
      <c r="H5" s="454"/>
      <c r="I5" s="454"/>
      <c r="J5" s="454"/>
      <c r="K5" s="454"/>
      <c r="L5" s="454"/>
      <c r="M5" s="454"/>
      <c r="N5" s="454"/>
      <c r="O5" s="454"/>
      <c r="P5" s="454"/>
      <c r="Q5" s="454"/>
    </row>
    <row r="6" spans="1:17" x14ac:dyDescent="0.35"/>
    <row r="7" spans="1:17" s="31" customFormat="1" ht="15.5" x14ac:dyDescent="0.35">
      <c r="D7" s="132"/>
      <c r="E7" s="44"/>
      <c r="F7" s="44"/>
      <c r="G7" s="44"/>
      <c r="H7" s="44"/>
      <c r="N7" s="28"/>
      <c r="O7" s="28"/>
      <c r="P7" s="28"/>
      <c r="Q7" s="28"/>
    </row>
    <row r="8" spans="1:17" s="31" customFormat="1" ht="15.5" x14ac:dyDescent="0.35">
      <c r="D8" s="132"/>
      <c r="E8" s="132"/>
      <c r="F8" s="132"/>
      <c r="G8" s="132"/>
      <c r="H8" s="132"/>
      <c r="I8" s="132"/>
      <c r="N8" s="28"/>
      <c r="O8" s="28"/>
      <c r="P8" s="28"/>
      <c r="Q8" s="28"/>
    </row>
    <row r="9" spans="1:17" s="31" customFormat="1" ht="15.5" x14ac:dyDescent="0.35">
      <c r="A9" s="62" t="s">
        <v>289</v>
      </c>
      <c r="G9" s="132"/>
      <c r="H9" s="132"/>
      <c r="I9" s="132"/>
      <c r="J9" s="132"/>
      <c r="K9" s="132"/>
      <c r="L9" s="132"/>
      <c r="N9" s="28"/>
      <c r="O9" s="28"/>
      <c r="P9" s="28"/>
      <c r="Q9" s="28"/>
    </row>
    <row r="10" spans="1:17" s="31" customFormat="1" ht="15.5" x14ac:dyDescent="0.35">
      <c r="A10" s="27" t="s">
        <v>297</v>
      </c>
      <c r="B10" s="27"/>
      <c r="G10" s="154"/>
      <c r="H10" s="132"/>
      <c r="I10" s="132"/>
      <c r="J10" s="132"/>
      <c r="K10" s="132"/>
      <c r="L10" s="132"/>
      <c r="N10" s="28"/>
      <c r="O10" s="28"/>
      <c r="P10" s="28"/>
      <c r="Q10" s="28"/>
    </row>
    <row r="11" spans="1:17" s="31" customFormat="1" ht="15.5" x14ac:dyDescent="0.35">
      <c r="G11" s="154"/>
      <c r="H11" s="132"/>
      <c r="I11" s="132"/>
      <c r="J11" s="132"/>
      <c r="K11" s="132"/>
      <c r="L11" s="132"/>
      <c r="N11" s="28"/>
      <c r="O11" s="28"/>
      <c r="P11" s="28"/>
      <c r="Q11" s="28"/>
    </row>
    <row r="12" spans="1:17" s="31" customFormat="1" ht="15.5" x14ac:dyDescent="0.35">
      <c r="G12" s="154"/>
      <c r="H12" s="132"/>
      <c r="I12" s="132"/>
      <c r="J12" s="132"/>
      <c r="K12" s="132"/>
      <c r="L12" s="132"/>
      <c r="N12" s="28"/>
      <c r="O12" s="28"/>
      <c r="P12" s="28"/>
      <c r="Q12" s="28"/>
    </row>
    <row r="13" spans="1:17" s="31" customFormat="1" ht="15.5" x14ac:dyDescent="0.35">
      <c r="G13" s="154"/>
      <c r="H13" s="132"/>
      <c r="I13" s="132"/>
      <c r="J13" s="132"/>
      <c r="K13" s="132"/>
      <c r="L13" s="132"/>
      <c r="N13" s="28"/>
      <c r="O13" s="28"/>
      <c r="P13" s="28"/>
      <c r="Q13" s="28"/>
    </row>
    <row r="14" spans="1:17" x14ac:dyDescent="0.35"/>
    <row r="15" spans="1:17" x14ac:dyDescent="0.35"/>
    <row r="16" spans="1:17" x14ac:dyDescent="0.35"/>
    <row r="17" spans="3:15" x14ac:dyDescent="0.35"/>
    <row r="18" spans="3:15" x14ac:dyDescent="0.35"/>
    <row r="19" spans="3:15" x14ac:dyDescent="0.35"/>
    <row r="20" spans="3:15" ht="15" customHeight="1" x14ac:dyDescent="0.35">
      <c r="L20" s="155"/>
      <c r="M20" s="156"/>
      <c r="O20" s="157"/>
    </row>
    <row r="21" spans="3:15" ht="31.5" x14ac:dyDescent="0.4">
      <c r="C21" s="66" t="s">
        <v>371</v>
      </c>
      <c r="D21" s="67"/>
      <c r="E21" s="67"/>
      <c r="F21" s="158"/>
      <c r="G21" s="159"/>
      <c r="H21" s="160"/>
      <c r="I21" s="160"/>
      <c r="J21" s="160"/>
      <c r="K21" s="160"/>
      <c r="L21" s="160"/>
      <c r="M21" s="160"/>
      <c r="N21" s="160"/>
      <c r="O21" s="161"/>
    </row>
    <row r="22" spans="3:15" ht="15.5" x14ac:dyDescent="0.35">
      <c r="C22" s="162" t="s">
        <v>317</v>
      </c>
      <c r="D22" s="16" t="s">
        <v>139</v>
      </c>
      <c r="E22" s="17"/>
      <c r="F22" s="16" t="s">
        <v>144</v>
      </c>
      <c r="G22" s="17"/>
      <c r="H22" s="16" t="s">
        <v>140</v>
      </c>
      <c r="I22" s="17"/>
      <c r="J22" s="16" t="s">
        <v>141</v>
      </c>
      <c r="K22" s="17"/>
      <c r="L22" s="16" t="s">
        <v>142</v>
      </c>
      <c r="M22" s="163"/>
      <c r="N22" s="16" t="s">
        <v>143</v>
      </c>
      <c r="O22" s="164"/>
    </row>
    <row r="23" spans="3:15" ht="15.5" x14ac:dyDescent="0.35">
      <c r="C23" s="165" t="str">
        <f>Data!$A$71</f>
        <v/>
      </c>
      <c r="D23" s="166" t="str">
        <f>IF(IFERROR(Data!$DV$71,"")&lt;11,"&lt;11",IFERROR(Data!$DV$71,""))</f>
        <v/>
      </c>
      <c r="E23" s="167" t="str">
        <f>IFERROR(IF($D$23="&lt;11","&lt;11",$D$23/Data!$D$71),"")</f>
        <v/>
      </c>
      <c r="F23" s="166" t="str">
        <f>IF(IFERROR(Data!$DX$71,"")&lt;11,"&lt;11",IFERROR(Data!$DX$71,""))</f>
        <v/>
      </c>
      <c r="G23" s="167" t="str">
        <f>IFERROR(IF($F$23="&lt;11","&lt;11",$F$23/Data!$D$71),"")</f>
        <v/>
      </c>
      <c r="H23" s="166" t="str">
        <f>IF(IFERROR(Data!$DZ$71,"")&lt;11,"&lt;11",IFERROR(Data!$DZ$71,""))</f>
        <v/>
      </c>
      <c r="I23" s="167" t="str">
        <f>IFERROR(IF($H$23="&lt;11","&lt;11",$H$23/Data!$D$71),"")</f>
        <v/>
      </c>
      <c r="J23" s="166" t="str">
        <f>IF(IFERROR(Data!$EB$71,"")&lt;11,"&lt;11",IFERROR(Data!$EB$71,""))</f>
        <v/>
      </c>
      <c r="K23" s="167" t="str">
        <f>IFERROR(IF($J$23="&lt;11","&lt;11",$J$23/Data!$D$71),"")</f>
        <v/>
      </c>
      <c r="L23" s="166" t="str">
        <f>IF(IFERROR(Data!$ED$71,"")&lt;11,"&lt;11",IFERROR(Data!$ED$71,""))</f>
        <v/>
      </c>
      <c r="M23" s="168" t="str">
        <f>IFERROR(IF($L$23="&lt;11","&lt;11",$L$23/Data!$D$71),"")</f>
        <v/>
      </c>
      <c r="N23" s="166" t="str">
        <f>IF(IFERROR(Data!$EF$71,"")&lt;11,"&lt;11",IFERROR(Data!$EF$71,""))</f>
        <v/>
      </c>
      <c r="O23" s="169" t="str">
        <f>IFERROR(IF($N$23="&lt;11","&lt;11",$N$23/Data!$D$71),"")</f>
        <v/>
      </c>
    </row>
    <row r="24" spans="3:15" ht="15" customHeight="1" x14ac:dyDescent="0.35">
      <c r="C24" s="165" t="str">
        <f>Data!$A$72</f>
        <v/>
      </c>
      <c r="D24" s="166" t="str">
        <f>IFERROR(IF(AND(LEFT(A3,4)="Very",Data!$DV$72&lt;11),"&lt;11",Data!$DV$72),"")</f>
        <v/>
      </c>
      <c r="E24" s="167" t="str">
        <f>IFERROR(IF($D$24="&lt;11","&lt;11",$D$24/Data!$D$72),"")</f>
        <v/>
      </c>
      <c r="F24" s="166" t="str">
        <f>IFERROR(IF(AND(LEFT(A3,4)="Very",Data!$DX$72&lt;11),"&lt;11",Data!$DX$72),"")</f>
        <v/>
      </c>
      <c r="G24" s="167" t="str">
        <f>IFERROR(IF($F$24="&lt;11","&lt;11",$F$24/Data!$D$72),"")</f>
        <v/>
      </c>
      <c r="H24" s="166" t="str">
        <f>IFERROR(IF(AND(LEFT(A3,4)="Very",Data!$DZ$72&lt;11),"&lt;11",Data!$DZ$72),"")</f>
        <v/>
      </c>
      <c r="I24" s="167" t="str">
        <f>IFERROR(IF($H$24="&lt;11","&lt;11",$H$24/Data!$D$72),"")</f>
        <v/>
      </c>
      <c r="J24" s="166" t="str">
        <f>IFERROR(IF(AND(LEFT(A3,4)="Very",Data!$EB$72&lt;11),"&lt;11",Data!$EB$72),"")</f>
        <v/>
      </c>
      <c r="K24" s="167" t="str">
        <f>IFERROR(IF($J$24="&lt;11","&lt;11",$J$24/Data!$D$72),"")</f>
        <v/>
      </c>
      <c r="L24" s="166" t="str">
        <f>IFERROR(IF(AND(LEFT(A3,4)="Very",Data!$ED$72&lt;11),"&lt;11",Data!$ED$72),"")</f>
        <v/>
      </c>
      <c r="M24" s="168" t="str">
        <f>IFERROR(IF($L$24="&lt;11","&lt;11",$L$24/Data!$D$72),"")</f>
        <v/>
      </c>
      <c r="N24" s="166" t="str">
        <f>IFERROR(IF(AND(LEFT(A3,4)="Very",Data!$EF$72&lt;11),"&lt;11",Data!$EF$72),"")</f>
        <v/>
      </c>
      <c r="O24" s="169" t="str">
        <f>IFERROR(IF($N$24="&lt;11","&lt;11",$N$24/Data!$D$72),"")</f>
        <v/>
      </c>
    </row>
    <row r="25" spans="3:15" ht="15" customHeight="1" x14ac:dyDescent="0.35">
      <c r="C25" s="170" t="str">
        <f>LEFT(Data!$A$62,9)</f>
        <v>Statewide</v>
      </c>
      <c r="D25" s="171">
        <f>IFERROR(Data!$DV$62,"")</f>
        <v>68755</v>
      </c>
      <c r="E25" s="172">
        <f>IFERROR($D$25/Data!$D$62,"")</f>
        <v>9.3246336872141788E-2</v>
      </c>
      <c r="F25" s="173">
        <f>IFERROR(Data!$DX$62,"")</f>
        <v>106517</v>
      </c>
      <c r="G25" s="172">
        <f>IFERROR($F$25/Data!$D$62,"")</f>
        <v>0.14445960387768056</v>
      </c>
      <c r="H25" s="173">
        <f>IFERROR(Data!$DZ$62,"")</f>
        <v>151505</v>
      </c>
      <c r="I25" s="172">
        <f>IFERROR($H$25/Data!$D$62,"")</f>
        <v>0.20547285677861743</v>
      </c>
      <c r="J25" s="173">
        <f>IFERROR(Data!$EB$62,"")</f>
        <v>153224</v>
      </c>
      <c r="K25" s="172">
        <f>IFERROR($J$25/Data!$D$62,"")</f>
        <v>0.20780418472688608</v>
      </c>
      <c r="L25" s="173">
        <f>IFERROR(Data!$ED$62,"")</f>
        <v>150237</v>
      </c>
      <c r="M25" s="174">
        <f>IFERROR($L$25/Data!$D$62,"")</f>
        <v>0.20375318031648557</v>
      </c>
      <c r="N25" s="173">
        <f>IFERROR(Data!$EF$62,"")</f>
        <v>107110</v>
      </c>
      <c r="O25" s="442">
        <f>IFERROR($N$25/Data!$D$62,"")</f>
        <v>0.1452638374281886</v>
      </c>
    </row>
    <row r="26" spans="3:15" ht="20.25" customHeight="1" x14ac:dyDescent="0.35">
      <c r="O26" s="102" t="s">
        <v>382</v>
      </c>
    </row>
    <row r="27" spans="3:15" ht="15" customHeight="1" x14ac:dyDescent="0.35"/>
    <row r="28" spans="3:15" ht="15" customHeight="1" x14ac:dyDescent="0.35"/>
    <row r="29" spans="3:15" ht="15" customHeight="1" x14ac:dyDescent="0.35"/>
    <row r="30" spans="3:15" ht="15" customHeight="1" x14ac:dyDescent="0.35"/>
    <row r="31" spans="3:15" ht="15" customHeight="1" x14ac:dyDescent="0.35"/>
    <row r="32" spans="3:15" ht="15" customHeight="1" x14ac:dyDescent="0.35"/>
    <row r="33" spans="3:15" ht="15" customHeight="1" x14ac:dyDescent="0.35"/>
    <row r="34" spans="3:15" ht="15" customHeight="1" x14ac:dyDescent="0.35"/>
    <row r="35" spans="3:15" ht="15" customHeight="1" x14ac:dyDescent="0.35"/>
    <row r="36" spans="3:15" ht="15" customHeight="1" x14ac:dyDescent="0.35"/>
    <row r="37" spans="3:15" ht="15" customHeight="1" x14ac:dyDescent="0.35"/>
    <row r="38" spans="3:15" ht="15" customHeight="1" x14ac:dyDescent="0.35"/>
    <row r="39" spans="3:15" ht="15" customHeight="1" x14ac:dyDescent="0.35"/>
    <row r="40" spans="3:15" ht="15" customHeight="1" x14ac:dyDescent="0.35"/>
    <row r="41" spans="3:15" ht="15" customHeight="1" x14ac:dyDescent="0.35"/>
    <row r="42" spans="3:15" ht="31.5" customHeight="1" x14ac:dyDescent="0.4">
      <c r="C42" s="66" t="s">
        <v>413</v>
      </c>
      <c r="D42" s="67"/>
      <c r="E42" s="67"/>
      <c r="F42" s="158"/>
      <c r="G42" s="159"/>
      <c r="H42" s="160"/>
      <c r="I42" s="160"/>
      <c r="J42" s="160"/>
      <c r="K42" s="160"/>
      <c r="L42" s="160"/>
      <c r="M42" s="160"/>
      <c r="N42" s="160"/>
      <c r="O42" s="161"/>
    </row>
    <row r="43" spans="3:15" ht="15" customHeight="1" x14ac:dyDescent="0.35">
      <c r="C43" s="162" t="s">
        <v>451</v>
      </c>
      <c r="D43" s="16" t="s">
        <v>139</v>
      </c>
      <c r="E43" s="17"/>
      <c r="F43" s="16" t="s">
        <v>144</v>
      </c>
      <c r="G43" s="17"/>
      <c r="H43" s="16" t="s">
        <v>140</v>
      </c>
      <c r="I43" s="17"/>
      <c r="J43" s="16" t="s">
        <v>141</v>
      </c>
      <c r="K43" s="17"/>
      <c r="L43" s="16" t="s">
        <v>142</v>
      </c>
      <c r="M43" s="163"/>
      <c r="N43" s="16" t="s">
        <v>143</v>
      </c>
      <c r="O43" s="164"/>
    </row>
    <row r="44" spans="3:15" ht="15" customHeight="1" x14ac:dyDescent="0.35">
      <c r="C44" s="165" t="str">
        <f>Data!$A$71</f>
        <v/>
      </c>
      <c r="D44" s="175" t="str">
        <f>IFERROR(Data!$DW$71,"")</f>
        <v/>
      </c>
      <c r="E44" s="176" t="str">
        <f>IFERROR(IF(Data!$DV$71="&lt;11","&lt;11",$D$44/Data!$DV$71),"")</f>
        <v/>
      </c>
      <c r="F44" s="175" t="str">
        <f>IFERROR(Data!$DY$71,"")</f>
        <v/>
      </c>
      <c r="G44" s="176" t="str">
        <f>IFERROR(IF(Data!$DX$71="&lt;11","&lt;11",$F$44/Data!$DX$71),"")</f>
        <v/>
      </c>
      <c r="H44" s="175" t="str">
        <f>IFERROR(Data!$EA$71,"")</f>
        <v/>
      </c>
      <c r="I44" s="176" t="str">
        <f>IFERROR(IF(Data!$DZ$71="&lt;11","&lt;11",$H$44/Data!$DZ$71),"")</f>
        <v/>
      </c>
      <c r="J44" s="175" t="str">
        <f>IFERROR(Data!$EC$71,"")</f>
        <v/>
      </c>
      <c r="K44" s="176" t="str">
        <f>IFERROR(IF(Data!$EB$71="&lt;11","&lt;11",$J$44/Data!$EB$71),"")</f>
        <v/>
      </c>
      <c r="L44" s="175" t="str">
        <f>IFERROR(Data!$EE$71,"")</f>
        <v/>
      </c>
      <c r="M44" s="177" t="str">
        <f>IFERROR(IF(Data!$ED$71="&lt;11","&lt;11",$L$44/Data!$ED$71),"")</f>
        <v/>
      </c>
      <c r="N44" s="175" t="str">
        <f>IFERROR(Data!$EG$71,"")</f>
        <v/>
      </c>
      <c r="O44" s="178" t="str">
        <f>IFERROR(IF(Data!$EF$71="&lt;11","&lt;11",$N$44/Data!$EF$71),"")</f>
        <v/>
      </c>
    </row>
    <row r="45" spans="3:15" ht="15" customHeight="1" x14ac:dyDescent="0.35">
      <c r="C45" s="165" t="str">
        <f>Data!$A$72</f>
        <v/>
      </c>
      <c r="D45" s="175" t="str">
        <f>IFERROR(Data!$DW$72,"")</f>
        <v/>
      </c>
      <c r="E45" s="176" t="str">
        <f>IFERROR(IF(Data!$DV$72="&lt;11","&lt;11",$D$45/Data!$DV$72),"")</f>
        <v/>
      </c>
      <c r="F45" s="175" t="str">
        <f>IFERROR(Data!$DY$72,"")</f>
        <v/>
      </c>
      <c r="G45" s="176" t="str">
        <f>IFERROR(IF(Data!$DX$72="&lt;11","&lt;11",$F$45/Data!$DX$72),"")</f>
        <v/>
      </c>
      <c r="H45" s="175" t="str">
        <f>IFERROR(Data!$EA$72,"")</f>
        <v/>
      </c>
      <c r="I45" s="176" t="str">
        <f>IFERROR(IF(Data!$DZ$72="&lt;11","&lt;11",$H$45/Data!$DZ$72),"")</f>
        <v/>
      </c>
      <c r="J45" s="175" t="str">
        <f>IFERROR(Data!$EC$72,"")</f>
        <v/>
      </c>
      <c r="K45" s="176" t="str">
        <f>IFERROR(IF(Data!$EB$72="&lt;11","&lt;11",$J$45/Data!$EB$72),"")</f>
        <v/>
      </c>
      <c r="L45" s="175" t="str">
        <f>IFERROR(Data!$EE$72,"")</f>
        <v/>
      </c>
      <c r="M45" s="177" t="str">
        <f>IFERROR(IF(Data!$ED$72="&lt;11","&lt;11",$L$45/Data!$ED$72),"")</f>
        <v/>
      </c>
      <c r="N45" s="175" t="str">
        <f>IFERROR(Data!$EG$72,"")</f>
        <v/>
      </c>
      <c r="O45" s="178" t="str">
        <f>IFERROR(IF(Data!$EF$72="&lt;11","&lt;11",$N$45/Data!$EF$72),"")</f>
        <v/>
      </c>
    </row>
    <row r="46" spans="3:15" ht="15" customHeight="1" x14ac:dyDescent="0.35">
      <c r="C46" s="170" t="str">
        <f>LEFT(Data!$A$62,9)</f>
        <v>Statewide</v>
      </c>
      <c r="D46" s="179">
        <f>IFERROR(Data!$DW$62,"")</f>
        <v>10541845.199999999</v>
      </c>
      <c r="E46" s="180">
        <f>IFERROR($D$46/Data!$DV$62,"")</f>
        <v>153.32477928877898</v>
      </c>
      <c r="F46" s="181">
        <f>IFERROR(Data!$DY$62,"")</f>
        <v>15531167.800000001</v>
      </c>
      <c r="G46" s="180">
        <f>IFERROR($F$46/Data!$DX$62,"")</f>
        <v>145.80928678051393</v>
      </c>
      <c r="H46" s="181">
        <f>IFERROR(Data!$EA$62,"")</f>
        <v>15626250</v>
      </c>
      <c r="I46" s="180">
        <f>IFERROR($H$46/Data!$DZ$62,"")</f>
        <v>103.14016039074617</v>
      </c>
      <c r="J46" s="181">
        <f>IFERROR(Data!$EC$62,"")</f>
        <v>14820840.800000001</v>
      </c>
      <c r="K46" s="180">
        <f>IFERROR($J$46/Data!$EB$62,"")</f>
        <v>96.726627682347413</v>
      </c>
      <c r="L46" s="181">
        <f>IFERROR(Data!$EE$62,"")</f>
        <v>15332618.6</v>
      </c>
      <c r="M46" s="182">
        <f>IFERROR($L$46/Data!$ED$62,"")</f>
        <v>102.05620852386562</v>
      </c>
      <c r="N46" s="181">
        <f>IFERROR(Data!$EG$62,"")</f>
        <v>13337021</v>
      </c>
      <c r="O46" s="446">
        <f>IFERROR($N$46/Data!$EF$62,"")</f>
        <v>124.51704789468771</v>
      </c>
    </row>
    <row r="47" spans="3:15" ht="15" customHeight="1" x14ac:dyDescent="0.35">
      <c r="O47" s="102" t="s">
        <v>382</v>
      </c>
    </row>
    <row r="48" spans="3:15" ht="15" customHeight="1" x14ac:dyDescent="0.35"/>
    <row r="49" spans="1:10" ht="15" customHeight="1" x14ac:dyDescent="0.35"/>
    <row r="50" spans="1:10" ht="15" customHeight="1" x14ac:dyDescent="0.35"/>
    <row r="51" spans="1:10" ht="15" customHeight="1" x14ac:dyDescent="0.35"/>
    <row r="52" spans="1:10" ht="15" customHeight="1" x14ac:dyDescent="0.35"/>
    <row r="53" spans="1:10" ht="15" customHeight="1" x14ac:dyDescent="0.35">
      <c r="A53" s="62"/>
    </row>
    <row r="54" spans="1:10" ht="15.5" x14ac:dyDescent="0.35">
      <c r="A54" s="31"/>
    </row>
    <row r="55" spans="1:10" x14ac:dyDescent="0.35"/>
    <row r="56" spans="1:10" x14ac:dyDescent="0.35"/>
    <row r="57" spans="1:10" x14ac:dyDescent="0.35"/>
    <row r="58" spans="1:10" x14ac:dyDescent="0.35"/>
    <row r="59" spans="1:10" x14ac:dyDescent="0.35"/>
    <row r="60" spans="1:10" x14ac:dyDescent="0.35"/>
    <row r="61" spans="1:10" x14ac:dyDescent="0.35"/>
    <row r="62" spans="1:10" x14ac:dyDescent="0.35"/>
    <row r="63" spans="1:10" x14ac:dyDescent="0.35"/>
    <row r="64" spans="1:10" ht="31.5" x14ac:dyDescent="0.4">
      <c r="G64" s="63" t="s">
        <v>414</v>
      </c>
      <c r="H64" s="64"/>
      <c r="I64" s="64"/>
      <c r="J64" s="65"/>
    </row>
    <row r="65" spans="7:10" ht="15.5" x14ac:dyDescent="0.35">
      <c r="G65" s="183" t="s">
        <v>452</v>
      </c>
      <c r="H65" s="104" t="str">
        <f>Data!$A$71</f>
        <v/>
      </c>
      <c r="I65" s="104" t="str">
        <f>Data!$A$72</f>
        <v/>
      </c>
      <c r="J65" s="106" t="str">
        <f>LEFT(Data!$A$62,9)</f>
        <v>Statewide</v>
      </c>
    </row>
    <row r="66" spans="7:10" ht="15" customHeight="1" x14ac:dyDescent="0.35">
      <c r="G66" s="184" t="s">
        <v>80</v>
      </c>
      <c r="H66" s="80" t="str">
        <f>IF(Data!$AM$71="&lt;11","&lt;11",Data!$AM$71)</f>
        <v/>
      </c>
      <c r="I66" s="80" t="str">
        <f>IF(Data!$AM$72="&lt;11","&lt;11",Data!$AM$72)</f>
        <v/>
      </c>
      <c r="J66" s="114">
        <f>IFERROR(Data!$AM$62,"")</f>
        <v>428495</v>
      </c>
    </row>
    <row r="67" spans="7:10" ht="15" customHeight="1" x14ac:dyDescent="0.35">
      <c r="G67" s="19" t="s">
        <v>547</v>
      </c>
      <c r="H67" s="52" t="str">
        <f>IFERROR(IF(H66="&lt;11","&lt;11",H66/Data!$D$71),"")</f>
        <v/>
      </c>
      <c r="I67" s="52" t="str">
        <f>IFERROR(IF(I66="&lt;11","&lt;11",I66/Data!$D$72),"")</f>
        <v/>
      </c>
      <c r="J67" s="12">
        <f>IFERROR(J66/Data!$D$62,"")</f>
        <v>0.58112994135740514</v>
      </c>
    </row>
    <row r="68" spans="7:10" ht="15" customHeight="1" x14ac:dyDescent="0.35">
      <c r="G68" s="184" t="s">
        <v>81</v>
      </c>
      <c r="H68" s="80" t="str">
        <f>IF(Data!$AN$71="&lt;11","&lt;11",Data!$AN$71)</f>
        <v/>
      </c>
      <c r="I68" s="80" t="str">
        <f>IF(Data!$AN$72="&lt;11","&lt;11",Data!$AN$72)</f>
        <v/>
      </c>
      <c r="J68" s="114">
        <f>IFERROR(Data!$AN$62,"")</f>
        <v>308853</v>
      </c>
    </row>
    <row r="69" spans="7:10" ht="15" customHeight="1" x14ac:dyDescent="0.35">
      <c r="G69" s="185" t="s">
        <v>303</v>
      </c>
      <c r="H69" s="186" t="str">
        <f>IFERROR(IF(H68="&lt;11","&lt;11",H68/Data!$D$71),"")</f>
        <v/>
      </c>
      <c r="I69" s="186" t="str">
        <f>IFERROR(IF(I68="&lt;11","&lt;11",I68/Data!$D$72),"")</f>
        <v/>
      </c>
      <c r="J69" s="447">
        <f>IFERROR(J68/Data!$D$62,"")</f>
        <v>0.4188700586425948</v>
      </c>
    </row>
    <row r="70" spans="7:10" ht="22.5" customHeight="1" x14ac:dyDescent="0.35">
      <c r="J70" s="102" t="s">
        <v>382</v>
      </c>
    </row>
  </sheetData>
  <sheetProtection algorithmName="SHA-512" hashValue="u9nNL8vIgATM30iAkB24wB4Z4vl5YzhrwftkVBpKfU6qimjo8Gd0MhcUGZHCwp/tp/ihIh2NyuG9dCbC0LReEA==" saltValue="k1j//PNOAsHCzHi1cd+eFw==" spinCount="100000" sheet="1" objects="1" scenarios="1"/>
  <hyperlinks>
    <hyperlink ref="A10:B10" location="Appen_AGE_GROUPS" tooltip="Go to Age Groups definition" display="Age Groups" xr:uid="{00000000-0004-0000-0600-000000000000}"/>
    <hyperlink ref="O25" location="Navigation!H13" tooltip="Back to Table Selection" display="Navigation!H13" xr:uid="{00000000-0004-0000-0600-000001000000}"/>
    <hyperlink ref="J69" location="Navigation!H15" tooltip="Back to Table Selection" display="Navigation!H15" xr:uid="{00000000-0004-0000-0600-000002000000}"/>
    <hyperlink ref="A2" location="COUNTY_SELECT" tooltip="Back to County Selection" display="COUNTY_SELECT" xr:uid="{00000000-0004-0000-0600-000003000000}"/>
    <hyperlink ref="A1" location="Nav_AgeGen" display="The In-Home Supportive Services (IHSS) Public Facing Data workbook (Microsoft Excel) contains several pages of data concerning IHSS recipients and IHSS programs.  It has been categorized into separate Pages (groups) for easier navigation.  To select a cou" xr:uid="{00000000-0004-0000-0600-000004000000}"/>
    <hyperlink ref="O46" location="Navigation!H14" tooltip="Back to Table Selection" display="Navigation!H14" xr:uid="{00000000-0004-0000-0600-000005000000}"/>
  </hyperlinks>
  <printOptions horizontalCentered="1"/>
  <pageMargins left="0.7" right="0.7" top="0.75" bottom="0.75" header="0.3" footer="0.3"/>
  <pageSetup scale="47" orientation="landscape" horizontalDpi="1200" verticalDpi="1200" r:id="rId1"/>
  <ignoredErrors>
    <ignoredError sqref="H68:J68"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XFC97"/>
  <sheetViews>
    <sheetView showGridLines="0" showRowColHeaders="0" zoomScale="90" zoomScaleNormal="90" workbookViewId="0">
      <pane ySplit="4" topLeftCell="A5" activePane="bottomLeft" state="frozen"/>
      <selection pane="bottomLeft" activeCell="I55" sqref="I55"/>
    </sheetView>
  </sheetViews>
  <sheetFormatPr defaultColWidth="0" defaultRowHeight="14.5" zeroHeight="1" x14ac:dyDescent="0.35"/>
  <cols>
    <col min="1" max="1" width="9.1796875" style="28" customWidth="1"/>
    <col min="2" max="2" width="35" style="28" customWidth="1"/>
    <col min="3" max="3" width="12.54296875" style="28" customWidth="1"/>
    <col min="4" max="4" width="13" style="28" customWidth="1"/>
    <col min="5" max="5" width="10.1796875" style="28" customWidth="1"/>
    <col min="6" max="6" width="15.1796875" style="28" customWidth="1"/>
    <col min="7" max="7" width="8" style="28" customWidth="1"/>
    <col min="8" max="8" width="13.54296875" style="28" customWidth="1"/>
    <col min="9" max="9" width="38" style="28" customWidth="1"/>
    <col min="10" max="11" width="13.453125" style="28" customWidth="1"/>
    <col min="12" max="13" width="13.54296875" style="28" customWidth="1"/>
    <col min="14" max="14" width="12.1796875" style="28" customWidth="1"/>
    <col min="15" max="15" width="11" style="28" customWidth="1"/>
    <col min="16" max="16" width="10.453125" style="28" customWidth="1"/>
    <col min="17" max="17" width="14.453125" style="28" hidden="1"/>
    <col min="18" max="19" width="13.1796875" style="28" hidden="1"/>
    <col min="20" max="16383" width="9.1796875" style="28" hidden="1"/>
    <col min="16384" max="16384" width="6.54296875" style="28" hidden="1" customWidth="1"/>
  </cols>
  <sheetData>
    <row r="1" spans="1:20" ht="0.75" customHeight="1" x14ac:dyDescent="0.35">
      <c r="A1" s="26" t="s">
        <v>575</v>
      </c>
      <c r="B1" s="27"/>
      <c r="C1" s="27"/>
      <c r="D1" s="27"/>
      <c r="E1" s="27"/>
      <c r="F1" s="27"/>
      <c r="G1" s="27"/>
      <c r="H1" s="27"/>
      <c r="I1" s="27"/>
      <c r="J1" s="27"/>
      <c r="K1" s="27"/>
    </row>
    <row r="2" spans="1:20" ht="24.75" customHeight="1" x14ac:dyDescent="0.35">
      <c r="A2" s="29" t="str">
        <f>COUNTY_SELECT&amp;" County"</f>
        <v>County Name County</v>
      </c>
      <c r="E2" s="30"/>
      <c r="F2" s="26"/>
      <c r="G2" s="30"/>
      <c r="H2" s="30"/>
    </row>
    <row r="3" spans="1:20" ht="16.5" customHeight="1" x14ac:dyDescent="0.35">
      <c r="A3" s="31" t="str">
        <f>Navigation!A3</f>
        <v xml:space="preserve"> Size County</v>
      </c>
    </row>
    <row r="4" spans="1:20" ht="12" customHeight="1" thickBot="1" x14ac:dyDescent="0.45">
      <c r="A4" s="32"/>
      <c r="B4" s="33"/>
      <c r="C4" s="32"/>
      <c r="D4" s="32"/>
      <c r="E4" s="32"/>
      <c r="F4" s="32"/>
      <c r="G4" s="32"/>
      <c r="H4" s="32"/>
      <c r="I4" s="32"/>
      <c r="J4" s="32"/>
      <c r="K4" s="32"/>
      <c r="L4" s="32"/>
      <c r="M4" s="32"/>
      <c r="N4" s="32"/>
      <c r="O4" s="32"/>
      <c r="P4" s="32"/>
    </row>
    <row r="5" spans="1:20" ht="12" customHeight="1" thickTop="1" x14ac:dyDescent="0.4">
      <c r="A5" s="457" t="s">
        <v>567</v>
      </c>
      <c r="B5" s="459"/>
      <c r="C5" s="454"/>
      <c r="D5" s="454"/>
      <c r="E5" s="454"/>
      <c r="F5" s="454"/>
      <c r="G5" s="454"/>
      <c r="H5" s="454"/>
      <c r="I5" s="454"/>
      <c r="J5" s="454"/>
      <c r="K5" s="454"/>
      <c r="L5" s="454"/>
      <c r="M5" s="454"/>
      <c r="N5" s="454"/>
      <c r="O5" s="454"/>
      <c r="P5" s="454"/>
    </row>
    <row r="6" spans="1:20" ht="12" customHeight="1" x14ac:dyDescent="0.4">
      <c r="B6" s="34"/>
    </row>
    <row r="7" spans="1:20" ht="31" x14ac:dyDescent="0.35">
      <c r="I7" s="35" t="s">
        <v>372</v>
      </c>
      <c r="J7" s="36"/>
      <c r="K7" s="36"/>
      <c r="L7" s="36"/>
      <c r="M7" s="37"/>
      <c r="N7" s="38"/>
      <c r="O7" s="39"/>
      <c r="P7" s="40"/>
      <c r="Q7" s="40"/>
    </row>
    <row r="8" spans="1:20" ht="15.5" x14ac:dyDescent="0.35">
      <c r="I8" s="15" t="s">
        <v>319</v>
      </c>
      <c r="J8" s="41" t="str">
        <f>Data!$A$71</f>
        <v/>
      </c>
      <c r="K8" s="42"/>
      <c r="L8" s="16" t="str">
        <f>Data!$A$72</f>
        <v/>
      </c>
      <c r="M8" s="17"/>
      <c r="N8" s="16" t="str">
        <f>LEFT(Data!$A$62,9)</f>
        <v>Statewide</v>
      </c>
      <c r="O8" s="18"/>
    </row>
    <row r="9" spans="1:20" ht="15.5" x14ac:dyDescent="0.35">
      <c r="I9" s="9" t="str">
        <f>IFERROR('Demo Rank'!B3,"")</f>
        <v/>
      </c>
      <c r="J9" s="10" t="str">
        <f>IFERROR('Demo Rank'!C3,"")</f>
        <v/>
      </c>
      <c r="K9" s="11" t="str">
        <f>IFERROR('Demo Rank'!D3,"0.0%")</f>
        <v>0.0%</v>
      </c>
      <c r="L9" s="10" t="str">
        <f>IFERROR('Demo Rank'!E3,"")</f>
        <v/>
      </c>
      <c r="M9" s="11" t="str">
        <f>IFERROR('Demo Rank'!F3,"0.0%")</f>
        <v>0.0%</v>
      </c>
      <c r="N9" s="10" t="str">
        <f>IFERROR('Demo Rank'!G3,"")</f>
        <v/>
      </c>
      <c r="O9" s="12" t="str">
        <f>IFERROR('Demo Rank'!H3,"0.0%")</f>
        <v>0.0%</v>
      </c>
    </row>
    <row r="10" spans="1:20" ht="15.5" x14ac:dyDescent="0.35">
      <c r="I10" s="9" t="str">
        <f>IFERROR('Demo Rank'!B4,"")</f>
        <v/>
      </c>
      <c r="J10" s="10" t="str">
        <f>IFERROR('Demo Rank'!C4,"")</f>
        <v/>
      </c>
      <c r="K10" s="11" t="str">
        <f>IFERROR('Demo Rank'!D4,"0.0%")</f>
        <v>0.0%</v>
      </c>
      <c r="L10" s="10" t="str">
        <f>IFERROR('Demo Rank'!E4,"")</f>
        <v/>
      </c>
      <c r="M10" s="11" t="str">
        <f>IFERROR('Demo Rank'!F4,"0.0%")</f>
        <v>0.0%</v>
      </c>
      <c r="N10" s="10" t="str">
        <f>IFERROR('Demo Rank'!G4,"")</f>
        <v/>
      </c>
      <c r="O10" s="12" t="str">
        <f>IFERROR('Demo Rank'!H4,"0.0%")</f>
        <v>0.0%</v>
      </c>
    </row>
    <row r="11" spans="1:20" ht="15.5" x14ac:dyDescent="0.35">
      <c r="I11" s="9" t="str">
        <f>IFERROR('Demo Rank'!B5,"")</f>
        <v/>
      </c>
      <c r="J11" s="10" t="str">
        <f>IFERROR('Demo Rank'!C5,"")</f>
        <v/>
      </c>
      <c r="K11" s="11" t="str">
        <f>IFERROR('Demo Rank'!D5,"0.0%")</f>
        <v>0.0%</v>
      </c>
      <c r="L11" s="10" t="str">
        <f>IFERROR('Demo Rank'!E5,"")</f>
        <v/>
      </c>
      <c r="M11" s="11" t="str">
        <f>IFERROR('Demo Rank'!F5,"0.0%")</f>
        <v>0.0%</v>
      </c>
      <c r="N11" s="10" t="str">
        <f>IFERROR('Demo Rank'!G5,"")</f>
        <v/>
      </c>
      <c r="O11" s="12" t="str">
        <f>IFERROR('Demo Rank'!H5,"0.0%")</f>
        <v>0.0%</v>
      </c>
    </row>
    <row r="12" spans="1:20" ht="15.5" x14ac:dyDescent="0.35">
      <c r="I12" s="9" t="str">
        <f>IFERROR('Demo Rank'!B6,"")</f>
        <v/>
      </c>
      <c r="J12" s="10" t="str">
        <f>IFERROR('Demo Rank'!C6,"")</f>
        <v/>
      </c>
      <c r="K12" s="11" t="str">
        <f>IFERROR('Demo Rank'!D6,"0.0%")</f>
        <v>0.0%</v>
      </c>
      <c r="L12" s="10" t="str">
        <f>IFERROR('Demo Rank'!E6,"")</f>
        <v/>
      </c>
      <c r="M12" s="11" t="str">
        <f>IFERROR('Demo Rank'!F6,"0.0%")</f>
        <v>0.0%</v>
      </c>
      <c r="N12" s="10" t="str">
        <f>IFERROR('Demo Rank'!G6,"")</f>
        <v/>
      </c>
      <c r="O12" s="12" t="str">
        <f>IFERROR('Demo Rank'!H6,"0.0%")</f>
        <v>0.0%</v>
      </c>
    </row>
    <row r="13" spans="1:20" ht="15.5" x14ac:dyDescent="0.35">
      <c r="I13" s="9" t="str">
        <f>IFERROR('Demo Rank'!B7,"")</f>
        <v/>
      </c>
      <c r="J13" s="10" t="str">
        <f>IFERROR('Demo Rank'!C7,"")</f>
        <v/>
      </c>
      <c r="K13" s="11" t="str">
        <f>IFERROR('Demo Rank'!D7,"0.0%")</f>
        <v>0.0%</v>
      </c>
      <c r="L13" s="10" t="str">
        <f>IFERROR('Demo Rank'!E7,"")</f>
        <v/>
      </c>
      <c r="M13" s="11" t="str">
        <f>IFERROR('Demo Rank'!F7,"0.0%")</f>
        <v>0.0%</v>
      </c>
      <c r="N13" s="10" t="str">
        <f>IFERROR('Demo Rank'!G7,"")</f>
        <v/>
      </c>
      <c r="O13" s="12" t="str">
        <f>IFERROR('Demo Rank'!H7,"0.0%")</f>
        <v>0.0%</v>
      </c>
    </row>
    <row r="14" spans="1:20" ht="15.5" x14ac:dyDescent="0.35">
      <c r="I14" s="9" t="str">
        <f>IFERROR('Demo Rank'!B8,"")</f>
        <v/>
      </c>
      <c r="J14" s="10" t="str">
        <f>IFERROR('Demo Rank'!C8,"")</f>
        <v/>
      </c>
      <c r="K14" s="11" t="str">
        <f>IFERROR('Demo Rank'!D8,"0.0%")</f>
        <v>0.0%</v>
      </c>
      <c r="L14" s="10" t="str">
        <f>IFERROR('Demo Rank'!E8,"")</f>
        <v/>
      </c>
      <c r="M14" s="11" t="str">
        <f>IFERROR('Demo Rank'!F8,"0.0%")</f>
        <v>0.0%</v>
      </c>
      <c r="N14" s="10" t="str">
        <f>IFERROR('Demo Rank'!G8,"")</f>
        <v/>
      </c>
      <c r="O14" s="12" t="str">
        <f>IFERROR('Demo Rank'!H8,"0.0%")</f>
        <v>0.0%</v>
      </c>
      <c r="Q14" s="43"/>
      <c r="R14" s="40"/>
      <c r="S14" s="40"/>
      <c r="T14" s="40"/>
    </row>
    <row r="15" spans="1:20" ht="15.5" x14ac:dyDescent="0.35">
      <c r="I15" s="9" t="str">
        <f>IFERROR('Demo Rank'!B9,"")</f>
        <v/>
      </c>
      <c r="J15" s="10" t="str">
        <f>IFERROR('Demo Rank'!C9,"")</f>
        <v/>
      </c>
      <c r="K15" s="11" t="str">
        <f>IFERROR('Demo Rank'!D9,"0.0%")</f>
        <v>0.0%</v>
      </c>
      <c r="L15" s="10" t="str">
        <f>IFERROR('Demo Rank'!E9,"")</f>
        <v/>
      </c>
      <c r="M15" s="11" t="str">
        <f>IFERROR('Demo Rank'!F9,"0.0%")</f>
        <v>0.0%</v>
      </c>
      <c r="N15" s="10" t="str">
        <f>IFERROR('Demo Rank'!G9,"")</f>
        <v/>
      </c>
      <c r="O15" s="12" t="str">
        <f>IFERROR('Demo Rank'!H9,"0.0%")</f>
        <v>0.0%</v>
      </c>
    </row>
    <row r="16" spans="1:20" ht="15.5" x14ac:dyDescent="0.35">
      <c r="I16" s="9" t="str">
        <f>IFERROR('Demo Rank'!B10,"")</f>
        <v/>
      </c>
      <c r="J16" s="10" t="str">
        <f>IFERROR('Demo Rank'!C10,"")</f>
        <v/>
      </c>
      <c r="K16" s="11" t="str">
        <f>IFERROR('Demo Rank'!D10,"0.0%")</f>
        <v>0.0%</v>
      </c>
      <c r="L16" s="10" t="str">
        <f>IFERROR('Demo Rank'!E10,"")</f>
        <v/>
      </c>
      <c r="M16" s="11" t="str">
        <f>IFERROR('Demo Rank'!F10,"0.0%")</f>
        <v>0.0%</v>
      </c>
      <c r="N16" s="10" t="str">
        <f>IFERROR('Demo Rank'!G10,"")</f>
        <v/>
      </c>
      <c r="O16" s="12" t="str">
        <f>IFERROR('Demo Rank'!H10,"0.0%")</f>
        <v>0.0%</v>
      </c>
    </row>
    <row r="17" spans="8:19" ht="15.5" x14ac:dyDescent="0.35">
      <c r="H17" s="31"/>
      <c r="I17" s="9" t="str">
        <f>IFERROR('Demo Rank'!B11,"")</f>
        <v/>
      </c>
      <c r="J17" s="10" t="str">
        <f>IFERROR('Demo Rank'!C11,"")</f>
        <v/>
      </c>
      <c r="K17" s="11" t="str">
        <f>IFERROR('Demo Rank'!D11,"0.0%")</f>
        <v>0.0%</v>
      </c>
      <c r="L17" s="10" t="str">
        <f>IFERROR('Demo Rank'!E11,"")</f>
        <v/>
      </c>
      <c r="M17" s="11" t="str">
        <f>IFERROR('Demo Rank'!F11,"0.0%")</f>
        <v>0.0%</v>
      </c>
      <c r="N17" s="10" t="str">
        <f>IFERROR('Demo Rank'!G11,"")</f>
        <v/>
      </c>
      <c r="O17" s="12" t="str">
        <f>IFERROR('Demo Rank'!H11,"0.0%")</f>
        <v>0.0%</v>
      </c>
      <c r="R17" s="44"/>
      <c r="S17" s="44"/>
    </row>
    <row r="18" spans="8:19" ht="15.5" x14ac:dyDescent="0.35">
      <c r="H18" s="45"/>
      <c r="I18" s="9" t="str">
        <f>IFERROR('Demo Rank'!B12,"")</f>
        <v/>
      </c>
      <c r="J18" s="10" t="str">
        <f>IFERROR('Demo Rank'!C12,"")</f>
        <v/>
      </c>
      <c r="K18" s="11" t="str">
        <f>IFERROR('Demo Rank'!D12,"0.0%")</f>
        <v>0.0%</v>
      </c>
      <c r="L18" s="10" t="str">
        <f>IFERROR('Demo Rank'!E12,"")</f>
        <v/>
      </c>
      <c r="M18" s="11" t="str">
        <f>IFERROR('Demo Rank'!F12,"0.0%")</f>
        <v>0.0%</v>
      </c>
      <c r="N18" s="10" t="str">
        <f>IFERROR('Demo Rank'!G12,"")</f>
        <v/>
      </c>
      <c r="O18" s="12" t="str">
        <f>IFERROR('Demo Rank'!H12,"0.0%")</f>
        <v>0.0%</v>
      </c>
      <c r="R18" s="46"/>
      <c r="S18" s="46"/>
    </row>
    <row r="19" spans="8:19" ht="15.5" x14ac:dyDescent="0.35">
      <c r="H19" s="45"/>
      <c r="I19" s="9" t="str">
        <f>IFERROR('Demo Rank'!B13,"")</f>
        <v/>
      </c>
      <c r="J19" s="10" t="str">
        <f>IFERROR('Demo Rank'!C13,"")</f>
        <v/>
      </c>
      <c r="K19" s="11" t="str">
        <f>IFERROR('Demo Rank'!D13,"0.0%")</f>
        <v>0.0%</v>
      </c>
      <c r="L19" s="10" t="str">
        <f>IFERROR('Demo Rank'!E13,"")</f>
        <v/>
      </c>
      <c r="M19" s="11" t="str">
        <f>IFERROR('Demo Rank'!F13,"0.0%")</f>
        <v>0.0%</v>
      </c>
      <c r="N19" s="10" t="str">
        <f>IFERROR('Demo Rank'!G13,"")</f>
        <v/>
      </c>
      <c r="O19" s="12" t="str">
        <f>IFERROR('Demo Rank'!H13,"0.0%")</f>
        <v>0.0%</v>
      </c>
      <c r="R19" s="46"/>
      <c r="S19" s="46"/>
    </row>
    <row r="20" spans="8:19" ht="15.5" x14ac:dyDescent="0.35">
      <c r="H20" s="45"/>
      <c r="I20" s="9" t="str">
        <f>IFERROR('Demo Rank'!B14,"")</f>
        <v/>
      </c>
      <c r="J20" s="10" t="str">
        <f>IFERROR('Demo Rank'!C14,"")</f>
        <v/>
      </c>
      <c r="K20" s="11" t="str">
        <f>IFERROR('Demo Rank'!D14,"0.0%")</f>
        <v>0.0%</v>
      </c>
      <c r="L20" s="10" t="str">
        <f>IFERROR('Demo Rank'!E14,"")</f>
        <v/>
      </c>
      <c r="M20" s="11" t="str">
        <f>IFERROR('Demo Rank'!F14,"0.0%")</f>
        <v>0.0%</v>
      </c>
      <c r="N20" s="10" t="str">
        <f>IFERROR('Demo Rank'!G14,"")</f>
        <v/>
      </c>
      <c r="O20" s="12" t="str">
        <f>IFERROR('Demo Rank'!H14,"0.0%")</f>
        <v>0.0%</v>
      </c>
      <c r="R20" s="46"/>
      <c r="S20" s="46"/>
    </row>
    <row r="21" spans="8:19" ht="15.5" x14ac:dyDescent="0.35">
      <c r="I21" s="9" t="str">
        <f>IFERROR('Demo Rank'!B15,"")</f>
        <v/>
      </c>
      <c r="J21" s="10" t="str">
        <f>IFERROR('Demo Rank'!C15,"")</f>
        <v/>
      </c>
      <c r="K21" s="11" t="str">
        <f>IFERROR('Demo Rank'!D15,"0.0%")</f>
        <v>0.0%</v>
      </c>
      <c r="L21" s="10" t="str">
        <f>IFERROR('Demo Rank'!E15,"")</f>
        <v/>
      </c>
      <c r="M21" s="11" t="str">
        <f>IFERROR('Demo Rank'!F15,"0.0%")</f>
        <v>0.0%</v>
      </c>
      <c r="N21" s="10" t="str">
        <f>IFERROR('Demo Rank'!G15,"")</f>
        <v/>
      </c>
      <c r="O21" s="12" t="str">
        <f>IFERROR('Demo Rank'!H15,"0.0%")</f>
        <v>0.0%</v>
      </c>
    </row>
    <row r="22" spans="8:19" ht="15.5" x14ac:dyDescent="0.35">
      <c r="I22" s="9" t="str">
        <f>IFERROR('Demo Rank'!B16,"")</f>
        <v/>
      </c>
      <c r="J22" s="10" t="str">
        <f>IFERROR('Demo Rank'!C16,"")</f>
        <v/>
      </c>
      <c r="K22" s="11" t="str">
        <f>IFERROR('Demo Rank'!D16,"0.0%")</f>
        <v>0.0%</v>
      </c>
      <c r="L22" s="10" t="str">
        <f>IFERROR('Demo Rank'!E16,"")</f>
        <v/>
      </c>
      <c r="M22" s="11" t="str">
        <f>IFERROR('Demo Rank'!F16,"0.0%")</f>
        <v>0.0%</v>
      </c>
      <c r="N22" s="10" t="str">
        <f>IFERROR('Demo Rank'!G16,"")</f>
        <v/>
      </c>
      <c r="O22" s="12" t="str">
        <f>IFERROR('Demo Rank'!H16,"0.0%")</f>
        <v>0.0%</v>
      </c>
    </row>
    <row r="23" spans="8:19" ht="15.5" x14ac:dyDescent="0.35">
      <c r="I23" s="9" t="str">
        <f>IFERROR('Demo Rank'!B17,"")</f>
        <v/>
      </c>
      <c r="J23" s="10" t="str">
        <f>IFERROR('Demo Rank'!C17,"")</f>
        <v/>
      </c>
      <c r="K23" s="11" t="str">
        <f>IFERROR('Demo Rank'!D17,"0.0%")</f>
        <v>0.0%</v>
      </c>
      <c r="L23" s="10" t="str">
        <f>IFERROR('Demo Rank'!E17,"")</f>
        <v/>
      </c>
      <c r="M23" s="11" t="str">
        <f>IFERROR('Demo Rank'!F17,"0.0%")</f>
        <v>0.0%</v>
      </c>
      <c r="N23" s="10" t="str">
        <f>IFERROR('Demo Rank'!G17,"")</f>
        <v/>
      </c>
      <c r="O23" s="12" t="str">
        <f>IFERROR('Demo Rank'!H17,"0.0%")</f>
        <v>0.0%</v>
      </c>
    </row>
    <row r="24" spans="8:19" ht="15.5" x14ac:dyDescent="0.35">
      <c r="I24" s="9" t="str">
        <f>IFERROR('Demo Rank'!B18,"")</f>
        <v/>
      </c>
      <c r="J24" s="10" t="str">
        <f>IFERROR('Demo Rank'!C18,"")</f>
        <v/>
      </c>
      <c r="K24" s="11" t="str">
        <f>IFERROR('Demo Rank'!D18,"0.0%")</f>
        <v>0.0%</v>
      </c>
      <c r="L24" s="10" t="str">
        <f>IFERROR('Demo Rank'!E18,"")</f>
        <v/>
      </c>
      <c r="M24" s="11" t="str">
        <f>IFERROR('Demo Rank'!F18,"0.0%")</f>
        <v>0.0%</v>
      </c>
      <c r="N24" s="10" t="str">
        <f>IFERROR('Demo Rank'!G18,"")</f>
        <v/>
      </c>
      <c r="O24" s="12" t="str">
        <f>IFERROR('Demo Rank'!H18,"0.0%")</f>
        <v>0.0%</v>
      </c>
    </row>
    <row r="25" spans="8:19" ht="15.5" x14ac:dyDescent="0.35">
      <c r="I25" s="9" t="str">
        <f>IFERROR('Demo Rank'!B19,"")</f>
        <v/>
      </c>
      <c r="J25" s="10" t="str">
        <f>IFERROR('Demo Rank'!C19,"")</f>
        <v/>
      </c>
      <c r="K25" s="11" t="str">
        <f>IFERROR('Demo Rank'!D19,"0.0%")</f>
        <v>0.0%</v>
      </c>
      <c r="L25" s="10" t="str">
        <f>IFERROR('Demo Rank'!E19,"")</f>
        <v/>
      </c>
      <c r="M25" s="11" t="str">
        <f>IFERROR('Demo Rank'!F19,"0.0%")</f>
        <v>0.0%</v>
      </c>
      <c r="N25" s="10" t="str">
        <f>IFERROR('Demo Rank'!G19,"")</f>
        <v/>
      </c>
      <c r="O25" s="12" t="str">
        <f>IFERROR('Demo Rank'!H19,"0.0%")</f>
        <v>0.0%</v>
      </c>
    </row>
    <row r="26" spans="8:19" ht="15.5" x14ac:dyDescent="0.35">
      <c r="I26" s="9" t="str">
        <f>IFERROR('Demo Rank'!B20,"")</f>
        <v/>
      </c>
      <c r="J26" s="10" t="str">
        <f>IFERROR('Demo Rank'!C20,"")</f>
        <v/>
      </c>
      <c r="K26" s="11" t="str">
        <f>IFERROR('Demo Rank'!D20,"0.0%")</f>
        <v>0.0%</v>
      </c>
      <c r="L26" s="10" t="str">
        <f>IFERROR('Demo Rank'!E20,"")</f>
        <v/>
      </c>
      <c r="M26" s="11" t="str">
        <f>IFERROR('Demo Rank'!F20,"0.0%")</f>
        <v>0.0%</v>
      </c>
      <c r="N26" s="10" t="str">
        <f>IFERROR('Demo Rank'!G20,"")</f>
        <v/>
      </c>
      <c r="O26" s="12" t="str">
        <f>IFERROR('Demo Rank'!H20,"0.0%")</f>
        <v>0.0%</v>
      </c>
    </row>
    <row r="27" spans="8:19" ht="15.5" x14ac:dyDescent="0.35">
      <c r="I27" s="9" t="str">
        <f>IFERROR('Demo Rank'!B21,"")</f>
        <v/>
      </c>
      <c r="J27" s="10" t="str">
        <f>IFERROR('Demo Rank'!C21,"")</f>
        <v/>
      </c>
      <c r="K27" s="11" t="str">
        <f>IFERROR('Demo Rank'!D21,"0.0%")</f>
        <v>0.0%</v>
      </c>
      <c r="L27" s="10" t="str">
        <f>IFERROR('Demo Rank'!E21,"")</f>
        <v/>
      </c>
      <c r="M27" s="11" t="str">
        <f>IFERROR('Demo Rank'!F21,"0.0%")</f>
        <v>0.0%</v>
      </c>
      <c r="N27" s="13" t="str">
        <f>IFERROR('Demo Rank'!G21,"")</f>
        <v/>
      </c>
      <c r="O27" s="101" t="str">
        <f>IFERROR('Demo Rank'!H21,"0.0%")</f>
        <v>0.0%</v>
      </c>
    </row>
    <row r="28" spans="8:19" x14ac:dyDescent="0.35">
      <c r="I28" s="47"/>
      <c r="J28" s="47"/>
      <c r="K28" s="47"/>
      <c r="L28" s="47"/>
      <c r="M28" s="47"/>
      <c r="O28" s="48" t="s">
        <v>382</v>
      </c>
    </row>
    <row r="29" spans="8:19" x14ac:dyDescent="0.35">
      <c r="I29" s="49"/>
      <c r="O29" s="50"/>
    </row>
    <row r="30" spans="8:19" x14ac:dyDescent="0.35">
      <c r="O30" s="50"/>
    </row>
    <row r="31" spans="8:19" x14ac:dyDescent="0.35"/>
    <row r="32" spans="8:19" x14ac:dyDescent="0.35">
      <c r="I32" s="51"/>
    </row>
    <row r="33" spans="9:16" x14ac:dyDescent="0.35"/>
    <row r="34" spans="9:16" x14ac:dyDescent="0.35"/>
    <row r="35" spans="9:16" x14ac:dyDescent="0.35"/>
    <row r="36" spans="9:16" x14ac:dyDescent="0.35"/>
    <row r="37" spans="9:16" x14ac:dyDescent="0.35"/>
    <row r="38" spans="9:16" x14ac:dyDescent="0.35"/>
    <row r="39" spans="9:16" x14ac:dyDescent="0.35"/>
    <row r="40" spans="9:16" ht="31" x14ac:dyDescent="0.35">
      <c r="I40" s="35" t="s">
        <v>373</v>
      </c>
      <c r="J40" s="36"/>
      <c r="K40" s="36"/>
      <c r="L40" s="36"/>
      <c r="M40" s="37"/>
      <c r="N40" s="38"/>
      <c r="O40" s="39"/>
    </row>
    <row r="41" spans="9:16" ht="15.5" x14ac:dyDescent="0.35">
      <c r="I41" s="15" t="s">
        <v>318</v>
      </c>
      <c r="J41" s="16" t="str">
        <f>Data!$A$71</f>
        <v/>
      </c>
      <c r="K41" s="17"/>
      <c r="L41" s="16" t="str">
        <f>Data!$A$72</f>
        <v/>
      </c>
      <c r="M41" s="17"/>
      <c r="N41" s="16" t="str">
        <f>LEFT(Data!$A$62,9)</f>
        <v>Statewide</v>
      </c>
      <c r="O41" s="18"/>
    </row>
    <row r="42" spans="9:16" ht="15.5" x14ac:dyDescent="0.35">
      <c r="I42" s="19" t="str">
        <f>IFERROR('Demo Rank'!B26,"")</f>
        <v/>
      </c>
      <c r="J42" s="20" t="str">
        <f>IFERROR('Demo Rank'!C26,"")</f>
        <v/>
      </c>
      <c r="K42" s="11" t="str">
        <f>IFERROR('Demo Rank'!D26,"0.0%")</f>
        <v>0.0%</v>
      </c>
      <c r="L42" s="21" t="str">
        <f>IFERROR('Demo Rank'!E26,"")</f>
        <v/>
      </c>
      <c r="M42" s="11" t="str">
        <f>IFERROR('Demo Rank'!F26,"0.0%")</f>
        <v>0.0%</v>
      </c>
      <c r="N42" s="21" t="str">
        <f>IFERROR('Demo Rank'!G26,"")</f>
        <v/>
      </c>
      <c r="O42" s="12" t="str">
        <f>IFERROR('Demo Rank'!H26,"0.0%")</f>
        <v>0.0%</v>
      </c>
    </row>
    <row r="43" spans="9:16" ht="15.5" x14ac:dyDescent="0.35">
      <c r="I43" s="19" t="str">
        <f>IFERROR('Demo Rank'!B27,"")</f>
        <v/>
      </c>
      <c r="J43" s="20" t="str">
        <f>IFERROR('Demo Rank'!C27,"")</f>
        <v/>
      </c>
      <c r="K43" s="11" t="str">
        <f>IFERROR('Demo Rank'!D27,"0.0%")</f>
        <v>0.0%</v>
      </c>
      <c r="L43" s="21" t="str">
        <f>IFERROR('Demo Rank'!E27,"")</f>
        <v/>
      </c>
      <c r="M43" s="11" t="str">
        <f>IFERROR('Demo Rank'!F27,"0.0%")</f>
        <v>0.0%</v>
      </c>
      <c r="N43" s="21" t="str">
        <f>IFERROR('Demo Rank'!G27,"")</f>
        <v/>
      </c>
      <c r="O43" s="12" t="str">
        <f>IFERROR('Demo Rank'!H27,"0.0%")</f>
        <v>0.0%</v>
      </c>
    </row>
    <row r="44" spans="9:16" ht="15.5" x14ac:dyDescent="0.35">
      <c r="I44" s="19" t="str">
        <f>IFERROR('Demo Rank'!B28,"")</f>
        <v/>
      </c>
      <c r="J44" s="20" t="str">
        <f>IFERROR('Demo Rank'!C28,"")</f>
        <v/>
      </c>
      <c r="K44" s="11" t="str">
        <f>IFERROR('Demo Rank'!D28,"0.0%")</f>
        <v>0.0%</v>
      </c>
      <c r="L44" s="21" t="str">
        <f>IFERROR('Demo Rank'!E28,"")</f>
        <v/>
      </c>
      <c r="M44" s="11" t="str">
        <f>IFERROR('Demo Rank'!F28,"0.0%")</f>
        <v>0.0%</v>
      </c>
      <c r="N44" s="21" t="str">
        <f>IFERROR('Demo Rank'!G28,"")</f>
        <v/>
      </c>
      <c r="O44" s="12" t="str">
        <f>IFERROR('Demo Rank'!H28,"0.0%")</f>
        <v>0.0%</v>
      </c>
    </row>
    <row r="45" spans="9:16" ht="15.5" x14ac:dyDescent="0.35">
      <c r="I45" s="19" t="str">
        <f>IFERROR('Demo Rank'!B29,"")</f>
        <v/>
      </c>
      <c r="J45" s="20" t="str">
        <f>IFERROR('Demo Rank'!C29,"")</f>
        <v/>
      </c>
      <c r="K45" s="11" t="str">
        <f>IFERROR('Demo Rank'!D29,"0.0%")</f>
        <v>0.0%</v>
      </c>
      <c r="L45" s="21" t="str">
        <f>IFERROR('Demo Rank'!E29,"")</f>
        <v/>
      </c>
      <c r="M45" s="11" t="str">
        <f>IFERROR('Demo Rank'!F29,"0.0%")</f>
        <v>0.0%</v>
      </c>
      <c r="N45" s="21" t="str">
        <f>IFERROR('Demo Rank'!G29,"")</f>
        <v/>
      </c>
      <c r="O45" s="12" t="str">
        <f>IFERROR('Demo Rank'!H29,"0.0%")</f>
        <v>0.0%</v>
      </c>
    </row>
    <row r="46" spans="9:16" ht="15.5" x14ac:dyDescent="0.35">
      <c r="I46" s="19" t="str">
        <f>IFERROR('Demo Rank'!B30,"")</f>
        <v/>
      </c>
      <c r="J46" s="20" t="str">
        <f>IFERROR('Demo Rank'!C30,"")</f>
        <v/>
      </c>
      <c r="K46" s="11" t="str">
        <f>IFERROR('Demo Rank'!D30,"0.0%")</f>
        <v>0.0%</v>
      </c>
      <c r="L46" s="21" t="str">
        <f>IFERROR('Demo Rank'!E30,"")</f>
        <v/>
      </c>
      <c r="M46" s="11" t="str">
        <f>IFERROR('Demo Rank'!F30,"0.0%")</f>
        <v>0.0%</v>
      </c>
      <c r="N46" s="21" t="str">
        <f>IFERROR('Demo Rank'!G30,"")</f>
        <v/>
      </c>
      <c r="O46" s="12" t="str">
        <f>IFERROR('Demo Rank'!H30,"0.0%")</f>
        <v>0.0%</v>
      </c>
    </row>
    <row r="47" spans="9:16" ht="15.5" x14ac:dyDescent="0.35">
      <c r="I47" s="19" t="str">
        <f>IFERROR('Demo Rank'!B31,"")</f>
        <v/>
      </c>
      <c r="J47" s="20" t="str">
        <f>IFERROR('Demo Rank'!C31,"")</f>
        <v/>
      </c>
      <c r="K47" s="11" t="str">
        <f>IFERROR('Demo Rank'!D31,"0.0%")</f>
        <v>0.0%</v>
      </c>
      <c r="L47" s="21" t="str">
        <f>IFERROR('Demo Rank'!E31,"")</f>
        <v/>
      </c>
      <c r="M47" s="11" t="str">
        <f>IFERROR('Demo Rank'!F31,"0.0%")</f>
        <v>0.0%</v>
      </c>
      <c r="N47" s="21" t="str">
        <f>IFERROR('Demo Rank'!G31,"")</f>
        <v/>
      </c>
      <c r="O47" s="12" t="str">
        <f>IFERROR('Demo Rank'!H31,"0.0%")</f>
        <v>0.0%</v>
      </c>
    </row>
    <row r="48" spans="9:16" ht="15.5" x14ac:dyDescent="0.35">
      <c r="I48" s="19" t="str">
        <f>IFERROR('Demo Rank'!B32,"")</f>
        <v/>
      </c>
      <c r="J48" s="20" t="str">
        <f>IFERROR('Demo Rank'!C32,"")</f>
        <v/>
      </c>
      <c r="K48" s="11" t="str">
        <f>IFERROR('Demo Rank'!D32,"0.0%")</f>
        <v>0.0%</v>
      </c>
      <c r="L48" s="21" t="str">
        <f>IFERROR('Demo Rank'!E32,"")</f>
        <v/>
      </c>
      <c r="M48" s="11" t="str">
        <f>IFERROR('Demo Rank'!F32,"0.0%")</f>
        <v>0.0%</v>
      </c>
      <c r="N48" s="21" t="str">
        <f>IFERROR('Demo Rank'!G32,"")</f>
        <v/>
      </c>
      <c r="O48" s="12" t="str">
        <f>IFERROR('Demo Rank'!H32,"0.0%")</f>
        <v>0.0%</v>
      </c>
      <c r="P48" s="52"/>
    </row>
    <row r="49" spans="9:15" ht="15.5" x14ac:dyDescent="0.35">
      <c r="I49" s="19" t="str">
        <f>IFERROR('Demo Rank'!B33,"")</f>
        <v/>
      </c>
      <c r="J49" s="20" t="str">
        <f>IFERROR('Demo Rank'!C33,"")</f>
        <v/>
      </c>
      <c r="K49" s="11" t="str">
        <f>IFERROR('Demo Rank'!D33,"0.0%")</f>
        <v>0.0%</v>
      </c>
      <c r="L49" s="21" t="str">
        <f>IFERROR('Demo Rank'!E33,"")</f>
        <v/>
      </c>
      <c r="M49" s="11" t="str">
        <f>IFERROR('Demo Rank'!F33,"0.0%")</f>
        <v>0.0%</v>
      </c>
      <c r="N49" s="21" t="str">
        <f>IFERROR('Demo Rank'!G33,"")</f>
        <v/>
      </c>
      <c r="O49" s="12" t="str">
        <f>IFERROR('Demo Rank'!H33,"0.0%")</f>
        <v>0.0%</v>
      </c>
    </row>
    <row r="50" spans="9:15" ht="15.5" x14ac:dyDescent="0.35">
      <c r="I50" s="19" t="str">
        <f>IFERROR('Demo Rank'!B34,"")</f>
        <v/>
      </c>
      <c r="J50" s="20" t="str">
        <f>IFERROR('Demo Rank'!C34,"")</f>
        <v/>
      </c>
      <c r="K50" s="11" t="str">
        <f>IFERROR('Demo Rank'!D34,"0.0%")</f>
        <v>0.0%</v>
      </c>
      <c r="L50" s="21" t="str">
        <f>IFERROR('Demo Rank'!E34,"")</f>
        <v/>
      </c>
      <c r="M50" s="11" t="str">
        <f>IFERROR('Demo Rank'!F34,"0.0%")</f>
        <v>0.0%</v>
      </c>
      <c r="N50" s="21" t="str">
        <f>IFERROR('Demo Rank'!G34,"")</f>
        <v/>
      </c>
      <c r="O50" s="12" t="str">
        <f>IFERROR('Demo Rank'!H34,"0.0%")</f>
        <v>0.0%</v>
      </c>
    </row>
    <row r="51" spans="9:15" ht="15.5" x14ac:dyDescent="0.35">
      <c r="I51" s="19" t="str">
        <f>IFERROR('Demo Rank'!B35,"")</f>
        <v/>
      </c>
      <c r="J51" s="20" t="str">
        <f>IFERROR('Demo Rank'!C35,"")</f>
        <v/>
      </c>
      <c r="K51" s="11" t="str">
        <f>IFERROR('Demo Rank'!D35,"0.0%")</f>
        <v>0.0%</v>
      </c>
      <c r="L51" s="21" t="str">
        <f>IFERROR('Demo Rank'!E35,"")</f>
        <v/>
      </c>
      <c r="M51" s="11" t="str">
        <f>IFERROR('Demo Rank'!F35,"0.0%")</f>
        <v>0.0%</v>
      </c>
      <c r="N51" s="21" t="str">
        <f>IFERROR('Demo Rank'!G35,"")</f>
        <v/>
      </c>
      <c r="O51" s="12" t="str">
        <f>IFERROR('Demo Rank'!H35,"0.0%")</f>
        <v>0.0%</v>
      </c>
    </row>
    <row r="52" spans="9:15" ht="15.5" x14ac:dyDescent="0.35">
      <c r="I52" s="19" t="str">
        <f>IFERROR('Demo Rank'!B36,"")</f>
        <v/>
      </c>
      <c r="J52" s="20" t="str">
        <f>IFERROR('Demo Rank'!C36,"")</f>
        <v/>
      </c>
      <c r="K52" s="11" t="str">
        <f>IFERROR('Demo Rank'!D36,"0.0%")</f>
        <v>0.0%</v>
      </c>
      <c r="L52" s="21" t="str">
        <f>IFERROR('Demo Rank'!E36,"")</f>
        <v/>
      </c>
      <c r="M52" s="11" t="str">
        <f>IFERROR('Demo Rank'!F36,"0.0%")</f>
        <v>0.0%</v>
      </c>
      <c r="N52" s="21" t="str">
        <f>IFERROR('Demo Rank'!G36,"")</f>
        <v/>
      </c>
      <c r="O52" s="12" t="str">
        <f>IFERROR('Demo Rank'!H36,"0.0%")</f>
        <v>0.0%</v>
      </c>
    </row>
    <row r="53" spans="9:15" ht="15.5" x14ac:dyDescent="0.35">
      <c r="I53" s="19" t="str">
        <f>IFERROR('Demo Rank'!B37,"")</f>
        <v/>
      </c>
      <c r="J53" s="20" t="str">
        <f>IFERROR('Demo Rank'!C37,"")</f>
        <v/>
      </c>
      <c r="K53" s="11" t="str">
        <f>IFERROR('Demo Rank'!D37,"0.0%")</f>
        <v>0.0%</v>
      </c>
      <c r="L53" s="21" t="str">
        <f>IFERROR('Demo Rank'!E37,"")</f>
        <v/>
      </c>
      <c r="M53" s="11" t="str">
        <f>IFERROR('Demo Rank'!F37,"0.0%")</f>
        <v>0.0%</v>
      </c>
      <c r="N53" s="21" t="str">
        <f>IFERROR('Demo Rank'!G37,"")</f>
        <v/>
      </c>
      <c r="O53" s="12" t="str">
        <f>IFERROR('Demo Rank'!H37,"0.0%")</f>
        <v>0.0%</v>
      </c>
    </row>
    <row r="54" spans="9:15" ht="15.5" x14ac:dyDescent="0.35">
      <c r="I54" s="19" t="str">
        <f>IFERROR('Demo Rank'!B38,"")</f>
        <v/>
      </c>
      <c r="J54" s="20" t="str">
        <f>IFERROR('Demo Rank'!C38,"")</f>
        <v/>
      </c>
      <c r="K54" s="11" t="str">
        <f>IFERROR('Demo Rank'!D38,"0.0%")</f>
        <v>0.0%</v>
      </c>
      <c r="L54" s="21" t="str">
        <f>IFERROR('Demo Rank'!E38,"")</f>
        <v/>
      </c>
      <c r="M54" s="11" t="str">
        <f>IFERROR('Demo Rank'!F38,"0.0%")</f>
        <v>0.0%</v>
      </c>
      <c r="N54" s="21" t="str">
        <f>IFERROR('Demo Rank'!G38,"")</f>
        <v/>
      </c>
      <c r="O54" s="12" t="str">
        <f>IFERROR('Demo Rank'!H38,"0.0%")</f>
        <v>0.0%</v>
      </c>
    </row>
    <row r="55" spans="9:15" ht="15.5" x14ac:dyDescent="0.35">
      <c r="I55" s="19" t="str">
        <f>IFERROR('Demo Rank'!B39,"")</f>
        <v/>
      </c>
      <c r="J55" s="20" t="str">
        <f>IFERROR('Demo Rank'!C39,"")</f>
        <v/>
      </c>
      <c r="K55" s="11" t="str">
        <f>IFERROR('Demo Rank'!D39,"0.0%")</f>
        <v>0.0%</v>
      </c>
      <c r="L55" s="21" t="str">
        <f>IFERROR('Demo Rank'!E39,"")</f>
        <v/>
      </c>
      <c r="M55" s="11" t="str">
        <f>IFERROR('Demo Rank'!F39,"0.0%")</f>
        <v>0.0%</v>
      </c>
      <c r="N55" s="21" t="str">
        <f>IFERROR('Demo Rank'!G39,"")</f>
        <v/>
      </c>
      <c r="O55" s="12" t="str">
        <f>IFERROR('Demo Rank'!H39,"0.0%")</f>
        <v>0.0%</v>
      </c>
    </row>
    <row r="56" spans="9:15" ht="15.5" x14ac:dyDescent="0.35">
      <c r="I56" s="19" t="str">
        <f>IFERROR('Demo Rank'!B40,"")</f>
        <v/>
      </c>
      <c r="J56" s="20" t="str">
        <f>IFERROR('Demo Rank'!C40,"")</f>
        <v/>
      </c>
      <c r="K56" s="11" t="str">
        <f>IFERROR('Demo Rank'!D40,"0.0%")</f>
        <v>0.0%</v>
      </c>
      <c r="L56" s="21" t="str">
        <f>IFERROR('Demo Rank'!E40,"")</f>
        <v/>
      </c>
      <c r="M56" s="11" t="str">
        <f>IFERROR('Demo Rank'!F40,"0.0%")</f>
        <v>0.0%</v>
      </c>
      <c r="N56" s="21" t="str">
        <f>IFERROR('Demo Rank'!G40,"")</f>
        <v/>
      </c>
      <c r="O56" s="12" t="str">
        <f>IFERROR('Demo Rank'!H40,"0.0%")</f>
        <v>0.0%</v>
      </c>
    </row>
    <row r="57" spans="9:15" ht="15.5" x14ac:dyDescent="0.35">
      <c r="I57" s="19" t="str">
        <f>IFERROR('Demo Rank'!B41,"")</f>
        <v/>
      </c>
      <c r="J57" s="20" t="str">
        <f>IFERROR('Demo Rank'!C41,"")</f>
        <v/>
      </c>
      <c r="K57" s="11" t="str">
        <f>IFERROR('Demo Rank'!D41,"0.0%")</f>
        <v>0.0%</v>
      </c>
      <c r="L57" s="21" t="str">
        <f>IFERROR('Demo Rank'!E41,"")</f>
        <v/>
      </c>
      <c r="M57" s="11" t="str">
        <f>IFERROR('Demo Rank'!F41,"0.0%")</f>
        <v>0.0%</v>
      </c>
      <c r="N57" s="21" t="str">
        <f>IFERROR('Demo Rank'!G41,"")</f>
        <v/>
      </c>
      <c r="O57" s="12" t="str">
        <f>IFERROR('Demo Rank'!H41,"0.0%")</f>
        <v>0.0%</v>
      </c>
    </row>
    <row r="58" spans="9:15" ht="15.5" x14ac:dyDescent="0.35">
      <c r="I58" s="19" t="str">
        <f>IFERROR('Demo Rank'!B42,"")</f>
        <v/>
      </c>
      <c r="J58" s="20" t="str">
        <f>IFERROR('Demo Rank'!C42,"")</f>
        <v/>
      </c>
      <c r="K58" s="11" t="str">
        <f>IFERROR('Demo Rank'!D42,"0.0%")</f>
        <v>0.0%</v>
      </c>
      <c r="L58" s="21" t="str">
        <f>IFERROR('Demo Rank'!E42,"")</f>
        <v/>
      </c>
      <c r="M58" s="11" t="str">
        <f>IFERROR('Demo Rank'!F42,"0.0%")</f>
        <v>0.0%</v>
      </c>
      <c r="N58" s="21" t="str">
        <f>IFERROR('Demo Rank'!G42,"")</f>
        <v/>
      </c>
      <c r="O58" s="12" t="str">
        <f>IFERROR('Demo Rank'!H42,"0.0%")</f>
        <v>0.0%</v>
      </c>
    </row>
    <row r="59" spans="9:15" ht="15.5" x14ac:dyDescent="0.35">
      <c r="I59" s="19" t="str">
        <f>IFERROR('Demo Rank'!B43,"")</f>
        <v/>
      </c>
      <c r="J59" s="20" t="str">
        <f>IFERROR('Demo Rank'!C43,"")</f>
        <v/>
      </c>
      <c r="K59" s="11" t="str">
        <f>IFERROR('Demo Rank'!D43,"0.0%")</f>
        <v>0.0%</v>
      </c>
      <c r="L59" s="21" t="str">
        <f>IFERROR('Demo Rank'!E43,"")</f>
        <v/>
      </c>
      <c r="M59" s="11" t="str">
        <f>IFERROR('Demo Rank'!F43,"0.0%")</f>
        <v>0.0%</v>
      </c>
      <c r="N59" s="21" t="str">
        <f>IFERROR('Demo Rank'!G43,"")</f>
        <v/>
      </c>
      <c r="O59" s="12" t="str">
        <f>IFERROR('Demo Rank'!H43,"0.0%")</f>
        <v>0.0%</v>
      </c>
    </row>
    <row r="60" spans="9:15" ht="15.5" x14ac:dyDescent="0.35">
      <c r="I60" s="19" t="str">
        <f>IFERROR('Demo Rank'!B44,"")</f>
        <v/>
      </c>
      <c r="J60" s="20" t="str">
        <f>IFERROR('Demo Rank'!C44,"")</f>
        <v/>
      </c>
      <c r="K60" s="11" t="str">
        <f>IFERROR('Demo Rank'!D44,"0.0%")</f>
        <v>0.0%</v>
      </c>
      <c r="L60" s="21" t="str">
        <f>IFERROR('Demo Rank'!E44,"")</f>
        <v/>
      </c>
      <c r="M60" s="11" t="str">
        <f>IFERROR('Demo Rank'!F44,"0.0%")</f>
        <v>0.0%</v>
      </c>
      <c r="N60" s="21" t="str">
        <f>IFERROR('Demo Rank'!G44,"")</f>
        <v/>
      </c>
      <c r="O60" s="12" t="str">
        <f>IFERROR('Demo Rank'!H44,"0.0%")</f>
        <v>0.0%</v>
      </c>
    </row>
    <row r="61" spans="9:15" ht="15.5" x14ac:dyDescent="0.35">
      <c r="I61" s="19" t="str">
        <f>IFERROR('Demo Rank'!B45,"")</f>
        <v/>
      </c>
      <c r="J61" s="20" t="str">
        <f>IFERROR('Demo Rank'!C45,"")</f>
        <v/>
      </c>
      <c r="K61" s="11" t="str">
        <f>IFERROR('Demo Rank'!D45,"0.0%")</f>
        <v>0.0%</v>
      </c>
      <c r="L61" s="21" t="str">
        <f>IFERROR('Demo Rank'!E45,"")</f>
        <v/>
      </c>
      <c r="M61" s="11" t="str">
        <f>IFERROR('Demo Rank'!F45,"0.0%")</f>
        <v>0.0%</v>
      </c>
      <c r="N61" s="21" t="str">
        <f>IFERROR('Demo Rank'!G45,"")</f>
        <v/>
      </c>
      <c r="O61" s="12" t="str">
        <f>IFERROR('Demo Rank'!H45,"0.0%")</f>
        <v>0.0%</v>
      </c>
    </row>
    <row r="62" spans="9:15" ht="15.5" x14ac:dyDescent="0.35">
      <c r="I62" s="19" t="str">
        <f>IFERROR('Demo Rank'!B46,"")</f>
        <v/>
      </c>
      <c r="J62" s="20" t="str">
        <f>IFERROR('Demo Rank'!C46,"")</f>
        <v/>
      </c>
      <c r="K62" s="11" t="str">
        <f>IFERROR('Demo Rank'!D46,"0.0%")</f>
        <v>0.0%</v>
      </c>
      <c r="L62" s="21" t="str">
        <f>IFERROR('Demo Rank'!E46,"")</f>
        <v/>
      </c>
      <c r="M62" s="11" t="str">
        <f>IFERROR('Demo Rank'!F46,"0.0%")</f>
        <v>0.0%</v>
      </c>
      <c r="N62" s="21" t="str">
        <f>IFERROR('Demo Rank'!G46,"")</f>
        <v/>
      </c>
      <c r="O62" s="12" t="str">
        <f>IFERROR('Demo Rank'!H46,"0.0%")</f>
        <v>0.0%</v>
      </c>
    </row>
    <row r="63" spans="9:15" ht="15.5" x14ac:dyDescent="0.35">
      <c r="I63" s="19" t="str">
        <f>IFERROR('Demo Rank'!B47,"")</f>
        <v/>
      </c>
      <c r="J63" s="20" t="str">
        <f>IFERROR('Demo Rank'!C47,"")</f>
        <v/>
      </c>
      <c r="K63" s="11" t="str">
        <f>IFERROR('Demo Rank'!D47,"0.0%")</f>
        <v>0.0%</v>
      </c>
      <c r="L63" s="21" t="str">
        <f>IFERROR('Demo Rank'!E47,"")</f>
        <v/>
      </c>
      <c r="M63" s="11" t="str">
        <f>IFERROR('Demo Rank'!F47,"0.0%")</f>
        <v>0.0%</v>
      </c>
      <c r="N63" s="21" t="str">
        <f>IFERROR('Demo Rank'!G47,"")</f>
        <v/>
      </c>
      <c r="O63" s="12" t="str">
        <f>IFERROR('Demo Rank'!H47,"0.0%")</f>
        <v>0.0%</v>
      </c>
    </row>
    <row r="64" spans="9:15" ht="15.5" x14ac:dyDescent="0.35">
      <c r="I64" s="19" t="str">
        <f>IFERROR('Demo Rank'!B48,"")</f>
        <v/>
      </c>
      <c r="J64" s="20" t="str">
        <f>IFERROR('Demo Rank'!C48,"")</f>
        <v/>
      </c>
      <c r="K64" s="11" t="str">
        <f>IFERROR('Demo Rank'!D48,"0.0%")</f>
        <v>0.0%</v>
      </c>
      <c r="L64" s="21" t="str">
        <f>IFERROR('Demo Rank'!E48,"")</f>
        <v/>
      </c>
      <c r="M64" s="11" t="str">
        <f>IFERROR('Demo Rank'!F48,"0.0%")</f>
        <v>0.0%</v>
      </c>
      <c r="N64" s="21" t="str">
        <f>IFERROR('Demo Rank'!G48,"")</f>
        <v/>
      </c>
      <c r="O64" s="12" t="str">
        <f>IFERROR('Demo Rank'!H48,"0.0%")</f>
        <v>0.0%</v>
      </c>
    </row>
    <row r="65" spans="9:15" ht="15.5" x14ac:dyDescent="0.35">
      <c r="I65" s="19" t="str">
        <f>IFERROR('Demo Rank'!B49,"")</f>
        <v/>
      </c>
      <c r="J65" s="20" t="str">
        <f>IFERROR('Demo Rank'!C49,"")</f>
        <v/>
      </c>
      <c r="K65" s="11" t="str">
        <f>IFERROR('Demo Rank'!D49,"0.0%")</f>
        <v>0.0%</v>
      </c>
      <c r="L65" s="21" t="str">
        <f>IFERROR('Demo Rank'!E49,"")</f>
        <v/>
      </c>
      <c r="M65" s="11" t="str">
        <f>IFERROR('Demo Rank'!F49,"0.0%")</f>
        <v>0.0%</v>
      </c>
      <c r="N65" s="21" t="str">
        <f>IFERROR('Demo Rank'!G49,"")</f>
        <v/>
      </c>
      <c r="O65" s="12" t="str">
        <f>IFERROR('Demo Rank'!H49,"0.0%")</f>
        <v>0.0%</v>
      </c>
    </row>
    <row r="66" spans="9:15" ht="15.5" x14ac:dyDescent="0.35">
      <c r="I66" s="19" t="str">
        <f>IFERROR('Demo Rank'!B50,"")</f>
        <v/>
      </c>
      <c r="J66" s="20" t="str">
        <f>IFERROR('Demo Rank'!C50,"")</f>
        <v/>
      </c>
      <c r="K66" s="11" t="str">
        <f>IFERROR('Demo Rank'!D50,"0.0%")</f>
        <v>0.0%</v>
      </c>
      <c r="L66" s="21" t="str">
        <f>IFERROR('Demo Rank'!E50,"")</f>
        <v/>
      </c>
      <c r="M66" s="11" t="str">
        <f>IFERROR('Demo Rank'!F50,"0.0%")</f>
        <v>0.0%</v>
      </c>
      <c r="N66" s="21" t="str">
        <f>IFERROR('Demo Rank'!G50,"")</f>
        <v/>
      </c>
      <c r="O66" s="12" t="str">
        <f>IFERROR('Demo Rank'!H50,"0.0%")</f>
        <v>0.0%</v>
      </c>
    </row>
    <row r="67" spans="9:15" ht="15.5" x14ac:dyDescent="0.35">
      <c r="I67" s="19" t="str">
        <f>IFERROR('Demo Rank'!B51,"")</f>
        <v/>
      </c>
      <c r="J67" s="20" t="str">
        <f>IFERROR('Demo Rank'!C51,"")</f>
        <v/>
      </c>
      <c r="K67" s="11" t="str">
        <f>IFERROR('Demo Rank'!D51,"0.0%")</f>
        <v>0.0%</v>
      </c>
      <c r="L67" s="21" t="str">
        <f>IFERROR('Demo Rank'!E51,"")</f>
        <v/>
      </c>
      <c r="M67" s="11" t="str">
        <f>IFERROR('Demo Rank'!F51,"0.0%")</f>
        <v>0.0%</v>
      </c>
      <c r="N67" s="21" t="str">
        <f>IFERROR('Demo Rank'!G51,"")</f>
        <v/>
      </c>
      <c r="O67" s="12" t="str">
        <f>IFERROR('Demo Rank'!H51,"0.0%")</f>
        <v>0.0%</v>
      </c>
    </row>
    <row r="68" spans="9:15" ht="15.5" x14ac:dyDescent="0.35">
      <c r="I68" s="19" t="str">
        <f>IFERROR('Demo Rank'!B52,"")</f>
        <v/>
      </c>
      <c r="J68" s="20" t="str">
        <f>IFERROR('Demo Rank'!C52,"")</f>
        <v/>
      </c>
      <c r="K68" s="11" t="str">
        <f>IFERROR('Demo Rank'!D52,"0.0%")</f>
        <v>0.0%</v>
      </c>
      <c r="L68" s="21" t="str">
        <f>IFERROR('Demo Rank'!E52,"")</f>
        <v/>
      </c>
      <c r="M68" s="11" t="str">
        <f>IFERROR('Demo Rank'!F52,"0.0%")</f>
        <v>0.0%</v>
      </c>
      <c r="N68" s="21" t="str">
        <f>IFERROR('Demo Rank'!G52,"")</f>
        <v/>
      </c>
      <c r="O68" s="12" t="str">
        <f>IFERROR('Demo Rank'!H52,"0.0%")</f>
        <v>0.0%</v>
      </c>
    </row>
    <row r="69" spans="9:15" ht="15.5" x14ac:dyDescent="0.35">
      <c r="I69" s="19" t="str">
        <f>IFERROR('Demo Rank'!B53,"")</f>
        <v/>
      </c>
      <c r="J69" s="20" t="str">
        <f>IFERROR('Demo Rank'!C53,"")</f>
        <v/>
      </c>
      <c r="K69" s="11" t="str">
        <f>IFERROR('Demo Rank'!D53,"0.0%")</f>
        <v>0.0%</v>
      </c>
      <c r="L69" s="21" t="str">
        <f>IFERROR('Demo Rank'!E53,"")</f>
        <v/>
      </c>
      <c r="M69" s="11" t="str">
        <f>IFERROR('Demo Rank'!F53,"0.0%")</f>
        <v>0.0%</v>
      </c>
      <c r="N69" s="21" t="str">
        <f>IFERROR('Demo Rank'!G53,"")</f>
        <v/>
      </c>
      <c r="O69" s="12" t="str">
        <f>IFERROR('Demo Rank'!H53,"0.0%")</f>
        <v>0.0%</v>
      </c>
    </row>
    <row r="70" spans="9:15" ht="15.5" x14ac:dyDescent="0.35">
      <c r="I70" s="9" t="str">
        <f>IFERROR('Demo Rank'!B54,"")</f>
        <v/>
      </c>
      <c r="J70" s="20" t="str">
        <f>IFERROR('Demo Rank'!C54,"")</f>
        <v/>
      </c>
      <c r="K70" s="11" t="str">
        <f>IFERROR('Demo Rank'!D54,"0.0%")</f>
        <v>0.0%</v>
      </c>
      <c r="L70" s="21" t="str">
        <f>IFERROR('Demo Rank'!E54,"")</f>
        <v/>
      </c>
      <c r="M70" s="11" t="str">
        <f>IFERROR('Demo Rank'!F54,"0.0%")</f>
        <v>0.0%</v>
      </c>
      <c r="N70" s="21" t="str">
        <f>IFERROR('Demo Rank'!G54,"")</f>
        <v/>
      </c>
      <c r="O70" s="12" t="str">
        <f>IFERROR('Demo Rank'!H54,"0.0%")</f>
        <v>0.0%</v>
      </c>
    </row>
    <row r="71" spans="9:15" ht="15.5" x14ac:dyDescent="0.35">
      <c r="I71" s="9" t="str">
        <f>IFERROR('Demo Rank'!B55,"")</f>
        <v/>
      </c>
      <c r="J71" s="20" t="str">
        <f>IFERROR('Demo Rank'!C55,"")</f>
        <v/>
      </c>
      <c r="K71" s="11" t="str">
        <f>IFERROR('Demo Rank'!D55,"0.0%")</f>
        <v>0.0%</v>
      </c>
      <c r="L71" s="21" t="str">
        <f>IFERROR('Demo Rank'!E55,"")</f>
        <v/>
      </c>
      <c r="M71" s="11" t="str">
        <f>IFERROR('Demo Rank'!F55,"0.0%")</f>
        <v>0.0%</v>
      </c>
      <c r="N71" s="21" t="str">
        <f>IFERROR('Demo Rank'!G55,"")</f>
        <v/>
      </c>
      <c r="O71" s="12" t="str">
        <f>IFERROR('Demo Rank'!H55,"0.0%")</f>
        <v>0.0%</v>
      </c>
    </row>
    <row r="72" spans="9:15" ht="15.5" x14ac:dyDescent="0.35">
      <c r="I72" s="9" t="str">
        <f>IFERROR('Demo Rank'!B56,"")</f>
        <v/>
      </c>
      <c r="J72" s="20" t="str">
        <f>IFERROR('Demo Rank'!C56,"")</f>
        <v/>
      </c>
      <c r="K72" s="11" t="str">
        <f>IFERROR('Demo Rank'!D56,"0.0%")</f>
        <v>0.0%</v>
      </c>
      <c r="L72" s="21" t="str">
        <f>IFERROR('Demo Rank'!E56,"")</f>
        <v/>
      </c>
      <c r="M72" s="11" t="str">
        <f>IFERROR('Demo Rank'!F56,"0.0%")</f>
        <v>0.0%</v>
      </c>
      <c r="N72" s="21" t="str">
        <f>IFERROR('Demo Rank'!G56,"")</f>
        <v/>
      </c>
      <c r="O72" s="12" t="str">
        <f>IFERROR('Demo Rank'!H56,"0.0%")</f>
        <v>0.0%</v>
      </c>
    </row>
    <row r="73" spans="9:15" ht="15.5" x14ac:dyDescent="0.35">
      <c r="I73" s="19" t="str">
        <f>IFERROR('Demo Rank'!B57,"")</f>
        <v/>
      </c>
      <c r="J73" s="20" t="str">
        <f>IFERROR('Demo Rank'!C57,"")</f>
        <v/>
      </c>
      <c r="K73" s="11" t="str">
        <f>IFERROR('Demo Rank'!D57,"0.0%")</f>
        <v>0.0%</v>
      </c>
      <c r="L73" s="21" t="str">
        <f>IFERROR('Demo Rank'!E57,"")</f>
        <v/>
      </c>
      <c r="M73" s="11" t="str">
        <f>IFERROR('Demo Rank'!F57,"0.0%")</f>
        <v>0.0%</v>
      </c>
      <c r="N73" s="21" t="str">
        <f>IFERROR('Demo Rank'!G57,"")</f>
        <v/>
      </c>
      <c r="O73" s="12" t="str">
        <f>IFERROR('Demo Rank'!H57,"0.0%")</f>
        <v>0.0%</v>
      </c>
    </row>
    <row r="74" spans="9:15" ht="15.5" x14ac:dyDescent="0.35">
      <c r="I74" s="22" t="str">
        <f>IFERROR('Demo Rank'!B58,"")</f>
        <v/>
      </c>
      <c r="J74" s="23" t="str">
        <f>IFERROR('Demo Rank'!C58,"")</f>
        <v/>
      </c>
      <c r="K74" s="24" t="str">
        <f>IFERROR('Demo Rank'!D58,"0.0%")</f>
        <v>0.0%</v>
      </c>
      <c r="L74" s="25" t="str">
        <f>IFERROR('Demo Rank'!E58,"")</f>
        <v/>
      </c>
      <c r="M74" s="24" t="str">
        <f>IFERROR('Demo Rank'!F58,"0.0%")</f>
        <v>0.0%</v>
      </c>
      <c r="N74" s="25" t="str">
        <f>IFERROR('Demo Rank'!G58,"")</f>
        <v/>
      </c>
      <c r="O74" s="101" t="str">
        <f>IFERROR('Demo Rank'!H58,"0.0%")</f>
        <v>0.0%</v>
      </c>
    </row>
    <row r="75" spans="9:15" x14ac:dyDescent="0.35">
      <c r="O75" s="48" t="s">
        <v>382</v>
      </c>
    </row>
    <row r="76" spans="9:15" x14ac:dyDescent="0.35">
      <c r="I76" s="49"/>
      <c r="O76" s="50"/>
    </row>
    <row r="77" spans="9:15" x14ac:dyDescent="0.35">
      <c r="I77" s="49"/>
      <c r="O77" s="50"/>
    </row>
    <row r="78" spans="9:15" hidden="1" x14ac:dyDescent="0.35">
      <c r="I78" s="49"/>
      <c r="O78" s="50"/>
    </row>
    <row r="81" spans="8:14" x14ac:dyDescent="0.35"/>
    <row r="91" spans="8:14" ht="15.5" hidden="1" x14ac:dyDescent="0.35">
      <c r="H91" s="56"/>
    </row>
    <row r="92" spans="8:14" ht="15.5" hidden="1" x14ac:dyDescent="0.35">
      <c r="H92" s="56"/>
    </row>
    <row r="93" spans="8:14" ht="15.5" hidden="1" x14ac:dyDescent="0.35">
      <c r="H93" s="56"/>
      <c r="I93" s="53"/>
      <c r="J93" s="54"/>
      <c r="K93" s="55"/>
      <c r="L93" s="54"/>
      <c r="M93" s="55"/>
      <c r="N93" s="54"/>
    </row>
    <row r="94" spans="8:14" ht="15.5" hidden="1" x14ac:dyDescent="0.35">
      <c r="H94" s="56"/>
      <c r="I94" s="53"/>
      <c r="J94" s="54"/>
      <c r="K94" s="55"/>
      <c r="L94" s="54"/>
      <c r="M94" s="55"/>
      <c r="N94" s="54"/>
    </row>
    <row r="95" spans="8:14" ht="15.5" hidden="1" x14ac:dyDescent="0.35">
      <c r="H95" s="56"/>
      <c r="I95" s="53"/>
      <c r="J95" s="54"/>
      <c r="K95" s="55"/>
      <c r="L95" s="54"/>
      <c r="M95" s="55"/>
      <c r="N95" s="54"/>
    </row>
    <row r="96" spans="8:14" ht="15.5" hidden="1" x14ac:dyDescent="0.35">
      <c r="I96" s="53"/>
      <c r="J96" s="54"/>
      <c r="K96" s="55"/>
      <c r="L96" s="54"/>
      <c r="M96" s="55"/>
      <c r="N96" s="54"/>
    </row>
    <row r="97" spans="9:14" ht="15.5" hidden="1" x14ac:dyDescent="0.35">
      <c r="I97" s="53"/>
      <c r="J97" s="54"/>
      <c r="K97" s="55"/>
      <c r="L97" s="54"/>
      <c r="M97" s="55"/>
      <c r="N97" s="54"/>
    </row>
  </sheetData>
  <sheetProtection algorithmName="SHA-512" hashValue="4eUeIwAJLg/Z+Ke9NNk08hTe9G23TjZ+vV1hJ61K1SN/o+LgfjUwSygNK5nAWRRM8D9/sRkJur5cSz6OtK5QYg==" saltValue="C6pP2eTWDXsDSnRj0Kcy0g==" spinCount="100000" sheet="1" objects="1" scenarios="1"/>
  <hyperlinks>
    <hyperlink ref="A2" location="COUNTY_SELECT" tooltip="Back to County Selection" display="COUNTY_SELECT" xr:uid="{00000000-0004-0000-0700-000000000000}"/>
    <hyperlink ref="A1" location="Nav_EthLang" display="The In-Home Supportive Services (IHSS) Public Facing Data workbook (Microsoft Excel) contains several pages of data concerning IHSS recipients and IHSS programs.  It has been categorized into separate Pages (groups) for easier navigation.  To select a cou" xr:uid="{00000000-0004-0000-0700-000001000000}"/>
    <hyperlink ref="O27" location="Navigation!I13" tooltip="Back to Table Selection" display="Navigation!I13" xr:uid="{00000000-0004-0000-0700-000003000000}"/>
    <hyperlink ref="O74" location="Navigation!I14" tooltip="Back to Table Selection" display="Navigation!I14" xr:uid="{08CFABB9-3266-474E-8B64-5162F83DD2FE}"/>
  </hyperlinks>
  <printOptions horizontalCentered="1"/>
  <pageMargins left="0.7" right="0.7" top="0.75" bottom="0.75" header="0.3" footer="0.3"/>
  <pageSetup scale="47" fitToWidth="0" orientation="landscape"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Q116"/>
  <sheetViews>
    <sheetView showGridLines="0" showRowColHeaders="0" zoomScaleNormal="100" workbookViewId="0">
      <pane ySplit="4" topLeftCell="A5" activePane="bottomLeft" state="frozen"/>
      <selection pane="bottomLeft" activeCell="A5" sqref="A5"/>
    </sheetView>
  </sheetViews>
  <sheetFormatPr defaultColWidth="0" defaultRowHeight="14.5" zeroHeight="1" x14ac:dyDescent="0.35"/>
  <cols>
    <col min="1" max="1" width="9.1796875" style="28" customWidth="1"/>
    <col min="2" max="2" width="5.54296875" style="28" customWidth="1"/>
    <col min="3" max="3" width="10.453125" style="28" customWidth="1"/>
    <col min="4" max="4" width="28.453125" style="28" customWidth="1"/>
    <col min="5" max="5" width="19.54296875" style="28" bestFit="1" customWidth="1"/>
    <col min="6" max="7" width="19.54296875" style="28" customWidth="1"/>
    <col min="8" max="8" width="2" style="28" customWidth="1"/>
    <col min="9" max="9" width="28.453125" style="28" customWidth="1"/>
    <col min="10" max="10" width="19.54296875" style="28" customWidth="1"/>
    <col min="11" max="11" width="14.54296875" style="28" customWidth="1"/>
    <col min="12" max="12" width="16.1796875" style="28" customWidth="1"/>
    <col min="13" max="13" width="12.453125" style="28" customWidth="1"/>
    <col min="14" max="14" width="11.54296875" style="28" customWidth="1"/>
    <col min="15" max="15" width="9.453125" style="28" customWidth="1"/>
    <col min="16" max="16" width="6.453125" style="28" customWidth="1"/>
    <col min="17" max="17" width="11.1796875" style="28" customWidth="1"/>
    <col min="18" max="16384" width="9.1796875" style="28" hidden="1"/>
  </cols>
  <sheetData>
    <row r="1" spans="1:17" ht="0.75" customHeight="1" x14ac:dyDescent="0.35">
      <c r="A1" s="26" t="s">
        <v>359</v>
      </c>
      <c r="B1" s="27"/>
      <c r="C1" s="27"/>
      <c r="D1" s="27"/>
      <c r="E1" s="27"/>
      <c r="F1" s="27"/>
      <c r="G1" s="27"/>
      <c r="H1" s="27"/>
      <c r="I1" s="27"/>
      <c r="J1" s="27"/>
      <c r="K1" s="27"/>
    </row>
    <row r="2" spans="1:17" ht="24.75" customHeight="1" x14ac:dyDescent="0.35">
      <c r="A2" s="29" t="str">
        <f>COUNTY_SELECT&amp;" County"</f>
        <v>County Name County</v>
      </c>
      <c r="B2" s="57"/>
      <c r="C2" s="57"/>
      <c r="E2" s="58"/>
      <c r="F2" s="59"/>
      <c r="G2" s="59"/>
      <c r="H2" s="59"/>
      <c r="I2" s="59"/>
      <c r="J2" s="30"/>
      <c r="K2" s="60"/>
      <c r="L2" s="60"/>
      <c r="M2" s="60"/>
      <c r="N2" s="60"/>
      <c r="O2" s="60"/>
      <c r="P2" s="60"/>
      <c r="Q2" s="60"/>
    </row>
    <row r="3" spans="1:17" ht="16.5" customHeight="1" x14ac:dyDescent="0.35">
      <c r="A3" s="31" t="str">
        <f>Navigation!A3</f>
        <v xml:space="preserve"> Size County</v>
      </c>
      <c r="B3" s="31"/>
      <c r="C3" s="31"/>
    </row>
    <row r="4" spans="1:17" ht="12" customHeight="1" thickBot="1" x14ac:dyDescent="0.4">
      <c r="A4" s="32"/>
      <c r="B4" s="32"/>
      <c r="C4" s="32"/>
      <c r="D4" s="61"/>
      <c r="E4" s="32"/>
      <c r="F4" s="32"/>
      <c r="G4" s="32"/>
      <c r="H4" s="32"/>
      <c r="I4" s="32"/>
      <c r="J4" s="32"/>
      <c r="K4" s="32"/>
      <c r="L4" s="32"/>
      <c r="M4" s="32"/>
      <c r="N4" s="32"/>
      <c r="O4" s="32"/>
      <c r="P4" s="32"/>
      <c r="Q4" s="32"/>
    </row>
    <row r="5" spans="1:17" ht="12" customHeight="1" thickTop="1" x14ac:dyDescent="0.35">
      <c r="A5" s="457"/>
      <c r="B5" s="454"/>
      <c r="C5" s="454"/>
      <c r="D5" s="458"/>
      <c r="E5" s="454"/>
      <c r="F5" s="454"/>
      <c r="G5" s="454"/>
      <c r="H5" s="454"/>
      <c r="I5" s="454"/>
      <c r="J5" s="454"/>
      <c r="K5" s="454"/>
      <c r="L5" s="454"/>
      <c r="M5" s="454"/>
      <c r="N5" s="454"/>
      <c r="O5" s="454"/>
      <c r="P5" s="454"/>
      <c r="Q5" s="454"/>
    </row>
    <row r="6" spans="1:17" x14ac:dyDescent="0.35"/>
    <row r="7" spans="1:17" x14ac:dyDescent="0.35"/>
    <row r="8" spans="1:17" x14ac:dyDescent="0.35"/>
    <row r="9" spans="1:17" x14ac:dyDescent="0.35"/>
    <row r="10" spans="1:17" ht="15.5" x14ac:dyDescent="0.35">
      <c r="A10" s="62" t="s">
        <v>289</v>
      </c>
    </row>
    <row r="11" spans="1:17" ht="15.5" x14ac:dyDescent="0.35">
      <c r="A11" s="27" t="s">
        <v>290</v>
      </c>
      <c r="B11" s="27"/>
      <c r="C11" s="27"/>
    </row>
    <row r="12" spans="1:17" ht="15.5" x14ac:dyDescent="0.35">
      <c r="A12" s="27" t="s">
        <v>291</v>
      </c>
      <c r="B12" s="27"/>
      <c r="C12" s="27"/>
    </row>
    <row r="13" spans="1:17" ht="15.5" x14ac:dyDescent="0.35">
      <c r="A13" s="373" t="s">
        <v>641</v>
      </c>
      <c r="B13" s="27"/>
      <c r="C13" s="27"/>
    </row>
    <row r="14" spans="1:17" ht="15.5" x14ac:dyDescent="0.35">
      <c r="A14" s="373" t="s">
        <v>147</v>
      </c>
      <c r="B14" s="27"/>
      <c r="C14" s="27"/>
    </row>
    <row r="15" spans="1:17" x14ac:dyDescent="0.35"/>
    <row r="16" spans="1:17" x14ac:dyDescent="0.35"/>
    <row r="17" spans="4:15" x14ac:dyDescent="0.35"/>
    <row r="18" spans="4:15" x14ac:dyDescent="0.35"/>
    <row r="19" spans="4:15" x14ac:dyDescent="0.35"/>
    <row r="20" spans="4:15" x14ac:dyDescent="0.35"/>
    <row r="21" spans="4:15" x14ac:dyDescent="0.35"/>
    <row r="22" spans="4:15" ht="34.5" customHeight="1" x14ac:dyDescent="0.4">
      <c r="D22" s="63" t="s">
        <v>374</v>
      </c>
      <c r="E22" s="64"/>
      <c r="F22" s="64"/>
      <c r="G22" s="65"/>
      <c r="I22" s="66" t="s">
        <v>375</v>
      </c>
      <c r="J22" s="67"/>
      <c r="K22" s="67"/>
      <c r="L22" s="68"/>
    </row>
    <row r="23" spans="4:15" ht="15.75" customHeight="1" x14ac:dyDescent="0.35">
      <c r="D23" s="69" t="s">
        <v>328</v>
      </c>
      <c r="E23" s="70" t="str">
        <f>Data!A71</f>
        <v/>
      </c>
      <c r="F23" s="70" t="str">
        <f>Data!$A$72</f>
        <v/>
      </c>
      <c r="G23" s="71" t="str">
        <f>LEFT(Data!$A$62,9)</f>
        <v>Statewide</v>
      </c>
      <c r="I23" s="69" t="s">
        <v>327</v>
      </c>
      <c r="J23" s="70" t="str">
        <f>Data!A71</f>
        <v/>
      </c>
      <c r="K23" s="70" t="str">
        <f>Data!$A$72</f>
        <v/>
      </c>
      <c r="L23" s="71" t="str">
        <f>LEFT(Data!$A$62,9)</f>
        <v>Statewide</v>
      </c>
    </row>
    <row r="24" spans="4:15" ht="15.75" customHeight="1" x14ac:dyDescent="0.35">
      <c r="D24" s="72" t="s">
        <v>269</v>
      </c>
      <c r="E24" s="73" t="str">
        <f>IFERROR(Data!$Y$71,"")</f>
        <v/>
      </c>
      <c r="F24" s="73" t="str">
        <f>IFERROR(Data!$Y$72,"")</f>
        <v/>
      </c>
      <c r="G24" s="74">
        <f>IFERROR(Data!$Y$62,"")</f>
        <v>640029</v>
      </c>
      <c r="H24" s="75"/>
      <c r="I24" s="76" t="str">
        <f>D24</f>
        <v xml:space="preserve">Total Providers </v>
      </c>
      <c r="J24" s="77" t="str">
        <f>IFERROR(E24,"")</f>
        <v/>
      </c>
      <c r="K24" s="77" t="str">
        <f>IFERROR(F24,"")</f>
        <v/>
      </c>
      <c r="L24" s="78">
        <f>IFERROR(G24,"")</f>
        <v>640029</v>
      </c>
    </row>
    <row r="25" spans="4:15" ht="15.75" customHeight="1" x14ac:dyDescent="0.35">
      <c r="D25" s="79" t="s">
        <v>145</v>
      </c>
      <c r="E25" s="80" t="str">
        <f>IFERROR(Data!$Z$71,"")</f>
        <v/>
      </c>
      <c r="F25" s="80" t="str">
        <f>IFERROR(Data!$Z$72,"")</f>
        <v/>
      </c>
      <c r="G25" s="81">
        <f>IFERROR(Data!$Z$62,"")</f>
        <v>369817</v>
      </c>
      <c r="I25" s="82" t="s">
        <v>148</v>
      </c>
      <c r="J25" s="80" t="str">
        <f>IFERROR(Data!$AA$71,"")</f>
        <v/>
      </c>
      <c r="K25" s="80" t="str">
        <f>IFERROR(Data!$AA$72,"")</f>
        <v/>
      </c>
      <c r="L25" s="81">
        <f>IFERROR(Data!$AA$62,"")</f>
        <v>461102</v>
      </c>
    </row>
    <row r="26" spans="4:15" ht="15.75" customHeight="1" x14ac:dyDescent="0.35">
      <c r="D26" s="83" t="s">
        <v>254</v>
      </c>
      <c r="E26" s="84" t="str">
        <f>IFERROR(E25/E24,"")</f>
        <v/>
      </c>
      <c r="F26" s="84" t="str">
        <f>IFERROR(F25/F24,"")</f>
        <v/>
      </c>
      <c r="G26" s="85">
        <f>IFERROR(G25/G24,"")</f>
        <v>0.57781288035385892</v>
      </c>
      <c r="I26" s="83" t="s">
        <v>254</v>
      </c>
      <c r="J26" s="84" t="str">
        <f>IFERROR(J25/J24,"")</f>
        <v/>
      </c>
      <c r="K26" s="84" t="str">
        <f>IFERROR(K25/K24,"")</f>
        <v/>
      </c>
      <c r="L26" s="85">
        <f>IFERROR(L25/L24,"")</f>
        <v>0.7204392300973862</v>
      </c>
    </row>
    <row r="27" spans="4:15" ht="15.75" customHeight="1" x14ac:dyDescent="0.35">
      <c r="D27" s="9" t="s">
        <v>545</v>
      </c>
      <c r="E27" s="86" t="str">
        <f>IFERROR(Data!$AB$71,"")</f>
        <v/>
      </c>
      <c r="F27" s="86" t="str">
        <f>IFERROR(Data!$AB$72,"")</f>
        <v/>
      </c>
      <c r="G27" s="87">
        <f>IFERROR(Data!$AB$62,"")</f>
        <v>316509</v>
      </c>
      <c r="I27" s="19" t="s">
        <v>146</v>
      </c>
      <c r="J27" s="86" t="str">
        <f>IFERROR(Data!$AC$71,"")</f>
        <v/>
      </c>
      <c r="K27" s="86" t="str">
        <f>IFERROR(Data!$AC$72,"")</f>
        <v/>
      </c>
      <c r="L27" s="87">
        <f>IFERROR(Data!$AC$62,"")</f>
        <v>31368</v>
      </c>
    </row>
    <row r="28" spans="4:15" ht="15.75" customHeight="1" x14ac:dyDescent="0.35">
      <c r="D28" s="88" t="s">
        <v>254</v>
      </c>
      <c r="E28" s="89" t="str">
        <f>IFERROR(E27/$J$24,"")</f>
        <v/>
      </c>
      <c r="F28" s="89" t="str">
        <f>IFERROR(F27/$K$24,"")</f>
        <v/>
      </c>
      <c r="G28" s="448">
        <f>IFERROR(G27/$L$24,"")</f>
        <v>0.49452290443089297</v>
      </c>
      <c r="I28" s="83" t="s">
        <v>254</v>
      </c>
      <c r="J28" s="84" t="str">
        <f>IFERROR(J27/$J$24,"")</f>
        <v/>
      </c>
      <c r="K28" s="84" t="str">
        <f>IFERROR(K27/$K$24,"")</f>
        <v/>
      </c>
      <c r="L28" s="85">
        <f>IFERROR(L27/$L$24,"")</f>
        <v>4.9010279221722769E-2</v>
      </c>
    </row>
    <row r="29" spans="4:15" ht="15.75" customHeight="1" x14ac:dyDescent="0.35">
      <c r="I29" s="19" t="s">
        <v>147</v>
      </c>
      <c r="J29" s="86" t="str">
        <f>IFERROR(Data!$AD$71,"")</f>
        <v/>
      </c>
      <c r="K29" s="86" t="str">
        <f>IFERROR(Data!$AD$72,"")</f>
        <v/>
      </c>
      <c r="L29" s="87">
        <f>IFERROR(Data!$AD$62,"")</f>
        <v>125786</v>
      </c>
    </row>
    <row r="30" spans="4:15" ht="15.75" customHeight="1" x14ac:dyDescent="0.35">
      <c r="I30" s="88" t="s">
        <v>254</v>
      </c>
      <c r="J30" s="90" t="str">
        <f>IFERROR(J29/$J$24,"")</f>
        <v/>
      </c>
      <c r="K30" s="90" t="str">
        <f>IFERROR(K29/$K$24,"")</f>
        <v/>
      </c>
      <c r="L30" s="110">
        <f>IFERROR(L29/$L$24,"")</f>
        <v>0.19653171965645308</v>
      </c>
    </row>
    <row r="31" spans="4:15" x14ac:dyDescent="0.35"/>
    <row r="32" spans="4:15" ht="31" x14ac:dyDescent="0.35">
      <c r="I32" s="91" t="s">
        <v>376</v>
      </c>
      <c r="J32" s="92"/>
      <c r="K32" s="92"/>
      <c r="L32" s="92"/>
      <c r="M32" s="93"/>
      <c r="N32" s="94"/>
      <c r="O32" s="95"/>
    </row>
    <row r="33" spans="9:15" ht="15.5" x14ac:dyDescent="0.35">
      <c r="I33" s="96" t="s">
        <v>380</v>
      </c>
      <c r="J33" s="97" t="str">
        <f>Data!$A$71</f>
        <v/>
      </c>
      <c r="K33" s="98"/>
      <c r="L33" s="99" t="str">
        <f>Data!$A$72</f>
        <v/>
      </c>
      <c r="M33" s="98"/>
      <c r="N33" s="99" t="str">
        <f>LEFT(Data!$A$62,9)</f>
        <v>Statewide</v>
      </c>
      <c r="O33" s="100"/>
    </row>
    <row r="34" spans="9:15" ht="15.5" x14ac:dyDescent="0.35">
      <c r="I34" s="19" t="str">
        <f>IFERROR('Demo Rank'!B64,"")</f>
        <v/>
      </c>
      <c r="J34" s="20" t="str">
        <f>IFERROR('Demo Rank'!C64,"")</f>
        <v/>
      </c>
      <c r="K34" s="11" t="str">
        <f>IFERROR('Demo Rank'!D64,"0.0%")</f>
        <v>0.0%</v>
      </c>
      <c r="L34" s="20" t="str">
        <f>IFERROR('Demo Rank'!E64,"")</f>
        <v/>
      </c>
      <c r="M34" s="11" t="str">
        <f>IFERROR('Demo Rank'!F64,"0.0%")</f>
        <v>0.0%</v>
      </c>
      <c r="N34" s="20" t="str">
        <f>IFERROR('Demo Rank'!G64,"")</f>
        <v/>
      </c>
      <c r="O34" s="12" t="str">
        <f>IFERROR('Demo Rank'!H64,"0.0%")</f>
        <v>0.0%</v>
      </c>
    </row>
    <row r="35" spans="9:15" ht="15.5" x14ac:dyDescent="0.35">
      <c r="I35" s="19" t="str">
        <f>IFERROR('Demo Rank'!B65,"")</f>
        <v/>
      </c>
      <c r="J35" s="20" t="str">
        <f>IFERROR('Demo Rank'!C65,"")</f>
        <v/>
      </c>
      <c r="K35" s="11" t="str">
        <f>IFERROR('Demo Rank'!D65,"0.0%")</f>
        <v>0.0%</v>
      </c>
      <c r="L35" s="20" t="str">
        <f>IFERROR('Demo Rank'!E65,"")</f>
        <v/>
      </c>
      <c r="M35" s="11" t="str">
        <f>IFERROR('Demo Rank'!F65,"0.0%")</f>
        <v>0.0%</v>
      </c>
      <c r="N35" s="20" t="str">
        <f>IFERROR('Demo Rank'!G65,"")</f>
        <v/>
      </c>
      <c r="O35" s="12" t="str">
        <f>IFERROR('Demo Rank'!H65,"0.0%")</f>
        <v>0.0%</v>
      </c>
    </row>
    <row r="36" spans="9:15" ht="15.5" x14ac:dyDescent="0.35">
      <c r="I36" s="19" t="str">
        <f>IFERROR('Demo Rank'!B66,"")</f>
        <v/>
      </c>
      <c r="J36" s="20" t="str">
        <f>IFERROR('Demo Rank'!C66,"")</f>
        <v/>
      </c>
      <c r="K36" s="11" t="str">
        <f>IFERROR('Demo Rank'!D66,"0.0%")</f>
        <v>0.0%</v>
      </c>
      <c r="L36" s="20" t="str">
        <f>IFERROR('Demo Rank'!E66,"")</f>
        <v/>
      </c>
      <c r="M36" s="11" t="str">
        <f>IFERROR('Demo Rank'!F66,"0.0%")</f>
        <v>0.0%</v>
      </c>
      <c r="N36" s="20" t="str">
        <f>IFERROR('Demo Rank'!G66,"")</f>
        <v/>
      </c>
      <c r="O36" s="12" t="str">
        <f>IFERROR('Demo Rank'!H66,"0.0%")</f>
        <v>0.0%</v>
      </c>
    </row>
    <row r="37" spans="9:15" ht="15.5" x14ac:dyDescent="0.35">
      <c r="I37" s="19" t="str">
        <f>IFERROR('Demo Rank'!B67,"")</f>
        <v/>
      </c>
      <c r="J37" s="20" t="str">
        <f>IFERROR('Demo Rank'!C67,"")</f>
        <v/>
      </c>
      <c r="K37" s="11" t="str">
        <f>IFERROR('Demo Rank'!D67,"0.0%")</f>
        <v>0.0%</v>
      </c>
      <c r="L37" s="20" t="str">
        <f>IFERROR('Demo Rank'!E67,"")</f>
        <v/>
      </c>
      <c r="M37" s="11" t="str">
        <f>IFERROR('Demo Rank'!F67,"0.0%")</f>
        <v>0.0%</v>
      </c>
      <c r="N37" s="20" t="str">
        <f>IFERROR('Demo Rank'!G67,"")</f>
        <v/>
      </c>
      <c r="O37" s="12" t="str">
        <f>IFERROR('Demo Rank'!H67,"0.0%")</f>
        <v>0.0%</v>
      </c>
    </row>
    <row r="38" spans="9:15" ht="15.5" x14ac:dyDescent="0.35">
      <c r="I38" s="19" t="str">
        <f>IFERROR('Demo Rank'!B68,"")</f>
        <v/>
      </c>
      <c r="J38" s="20" t="str">
        <f>IFERROR('Demo Rank'!C68,"")</f>
        <v/>
      </c>
      <c r="K38" s="11" t="str">
        <f>IFERROR('Demo Rank'!D68,"0.0%")</f>
        <v>0.0%</v>
      </c>
      <c r="L38" s="20" t="str">
        <f>IFERROR('Demo Rank'!E68,"")</f>
        <v/>
      </c>
      <c r="M38" s="11" t="str">
        <f>IFERROR('Demo Rank'!F68,"0.0%")</f>
        <v>0.0%</v>
      </c>
      <c r="N38" s="20" t="str">
        <f>IFERROR('Demo Rank'!G68,"")</f>
        <v/>
      </c>
      <c r="O38" s="12" t="str">
        <f>IFERROR('Demo Rank'!H68,"0.0%")</f>
        <v>0.0%</v>
      </c>
    </row>
    <row r="39" spans="9:15" ht="15.5" x14ac:dyDescent="0.35">
      <c r="I39" s="19" t="str">
        <f>IFERROR('Demo Rank'!B69,"")</f>
        <v/>
      </c>
      <c r="J39" s="20" t="str">
        <f>IFERROR('Demo Rank'!C69,"")</f>
        <v/>
      </c>
      <c r="K39" s="11" t="str">
        <f>IFERROR('Demo Rank'!D69,"0.0%")</f>
        <v>0.0%</v>
      </c>
      <c r="L39" s="20" t="str">
        <f>IFERROR('Demo Rank'!E69,"")</f>
        <v/>
      </c>
      <c r="M39" s="11" t="str">
        <f>IFERROR('Demo Rank'!F69,"0.0%")</f>
        <v>0.0%</v>
      </c>
      <c r="N39" s="20" t="str">
        <f>IFERROR('Demo Rank'!G69,"")</f>
        <v/>
      </c>
      <c r="O39" s="12" t="str">
        <f>IFERROR('Demo Rank'!H69,"0.0%")</f>
        <v>0.0%</v>
      </c>
    </row>
    <row r="40" spans="9:15" ht="15.5" x14ac:dyDescent="0.35">
      <c r="I40" s="19" t="str">
        <f>IFERROR('Demo Rank'!B70,"")</f>
        <v/>
      </c>
      <c r="J40" s="20" t="str">
        <f>IFERROR('Demo Rank'!C70,"")</f>
        <v/>
      </c>
      <c r="K40" s="11" t="str">
        <f>IFERROR('Demo Rank'!D70,"0.0%")</f>
        <v>0.0%</v>
      </c>
      <c r="L40" s="20" t="str">
        <f>IFERROR('Demo Rank'!E70,"")</f>
        <v/>
      </c>
      <c r="M40" s="11" t="str">
        <f>IFERROR('Demo Rank'!F70,"0.0%")</f>
        <v>0.0%</v>
      </c>
      <c r="N40" s="20" t="str">
        <f>IFERROR('Demo Rank'!G70,"")</f>
        <v/>
      </c>
      <c r="O40" s="12" t="str">
        <f>IFERROR('Demo Rank'!H70,"0.0%")</f>
        <v>0.0%</v>
      </c>
    </row>
    <row r="41" spans="9:15" ht="15.5" x14ac:dyDescent="0.35">
      <c r="I41" s="19" t="str">
        <f>IFERROR('Demo Rank'!B71,"")</f>
        <v/>
      </c>
      <c r="J41" s="20" t="str">
        <f>IFERROR('Demo Rank'!C71,"")</f>
        <v/>
      </c>
      <c r="K41" s="11" t="str">
        <f>IFERROR('Demo Rank'!D71,"0.0%")</f>
        <v>0.0%</v>
      </c>
      <c r="L41" s="20" t="str">
        <f>IFERROR('Demo Rank'!E71,"")</f>
        <v/>
      </c>
      <c r="M41" s="11" t="str">
        <f>IFERROR('Demo Rank'!F71,"0.0%")</f>
        <v>0.0%</v>
      </c>
      <c r="N41" s="20" t="str">
        <f>IFERROR('Demo Rank'!G71,"")</f>
        <v/>
      </c>
      <c r="O41" s="12" t="str">
        <f>IFERROR('Demo Rank'!H71,"0.0%")</f>
        <v>0.0%</v>
      </c>
    </row>
    <row r="42" spans="9:15" ht="15.5" x14ac:dyDescent="0.35">
      <c r="I42" s="19" t="str">
        <f>IFERROR('Demo Rank'!B72,"")</f>
        <v/>
      </c>
      <c r="J42" s="20" t="str">
        <f>IFERROR('Demo Rank'!C72,"")</f>
        <v/>
      </c>
      <c r="K42" s="11" t="str">
        <f>IFERROR('Demo Rank'!D72,"0.0%")</f>
        <v>0.0%</v>
      </c>
      <c r="L42" s="20" t="str">
        <f>IFERROR('Demo Rank'!E72,"")</f>
        <v/>
      </c>
      <c r="M42" s="11" t="str">
        <f>IFERROR('Demo Rank'!F72,"0.0%")</f>
        <v>0.0%</v>
      </c>
      <c r="N42" s="20" t="str">
        <f>IFERROR('Demo Rank'!G72,"")</f>
        <v/>
      </c>
      <c r="O42" s="12" t="str">
        <f>IFERROR('Demo Rank'!H72,"0.0%")</f>
        <v>0.0%</v>
      </c>
    </row>
    <row r="43" spans="9:15" ht="15.5" x14ac:dyDescent="0.35">
      <c r="I43" s="19" t="str">
        <f>IFERROR('Demo Rank'!B73,"")</f>
        <v/>
      </c>
      <c r="J43" s="20" t="str">
        <f>IFERROR('Demo Rank'!C73,"")</f>
        <v/>
      </c>
      <c r="K43" s="11" t="str">
        <f>IFERROR('Demo Rank'!D73,"0.0%")</f>
        <v>0.0%</v>
      </c>
      <c r="L43" s="20" t="str">
        <f>IFERROR('Demo Rank'!E73,"")</f>
        <v/>
      </c>
      <c r="M43" s="11" t="str">
        <f>IFERROR('Demo Rank'!F73,"0.0%")</f>
        <v>0.0%</v>
      </c>
      <c r="N43" s="20" t="str">
        <f>IFERROR('Demo Rank'!G73,"")</f>
        <v/>
      </c>
      <c r="O43" s="12" t="str">
        <f>IFERROR('Demo Rank'!H73,"0.0%")</f>
        <v>0.0%</v>
      </c>
    </row>
    <row r="44" spans="9:15" ht="15.5" x14ac:dyDescent="0.35">
      <c r="I44" s="19" t="str">
        <f>IFERROR('Demo Rank'!B74,"")</f>
        <v/>
      </c>
      <c r="J44" s="20" t="str">
        <f>IFERROR('Demo Rank'!C74,"")</f>
        <v/>
      </c>
      <c r="K44" s="11" t="str">
        <f>IFERROR('Demo Rank'!D74,"0.0%")</f>
        <v>0.0%</v>
      </c>
      <c r="L44" s="20" t="str">
        <f>IFERROR('Demo Rank'!E74,"")</f>
        <v/>
      </c>
      <c r="M44" s="11" t="str">
        <f>IFERROR('Demo Rank'!F74,"0.0%")</f>
        <v>0.0%</v>
      </c>
      <c r="N44" s="20" t="str">
        <f>IFERROR('Demo Rank'!G74,"")</f>
        <v/>
      </c>
      <c r="O44" s="12" t="str">
        <f>IFERROR('Demo Rank'!H74,"0.0%")</f>
        <v>0.0%</v>
      </c>
    </row>
    <row r="45" spans="9:15" ht="15.5" x14ac:dyDescent="0.35">
      <c r="I45" s="19" t="str">
        <f>IFERROR('Demo Rank'!B75,"")</f>
        <v/>
      </c>
      <c r="J45" s="20" t="str">
        <f>IFERROR('Demo Rank'!C75,"")</f>
        <v/>
      </c>
      <c r="K45" s="11" t="str">
        <f>IFERROR('Demo Rank'!D75,"0.0%")</f>
        <v>0.0%</v>
      </c>
      <c r="L45" s="20" t="str">
        <f>IFERROR('Demo Rank'!E75,"")</f>
        <v/>
      </c>
      <c r="M45" s="11" t="str">
        <f>IFERROR('Demo Rank'!F75,"0.0%")</f>
        <v>0.0%</v>
      </c>
      <c r="N45" s="20" t="str">
        <f>IFERROR('Demo Rank'!G75,"")</f>
        <v/>
      </c>
      <c r="O45" s="12" t="str">
        <f>IFERROR('Demo Rank'!H75,"0.0%")</f>
        <v>0.0%</v>
      </c>
    </row>
    <row r="46" spans="9:15" ht="15.5" x14ac:dyDescent="0.35">
      <c r="I46" s="19" t="str">
        <f>IFERROR('Demo Rank'!B76,"")</f>
        <v/>
      </c>
      <c r="J46" s="20" t="str">
        <f>IFERROR('Demo Rank'!C76,"")</f>
        <v/>
      </c>
      <c r="K46" s="11" t="str">
        <f>IFERROR('Demo Rank'!D76,"0.0%")</f>
        <v>0.0%</v>
      </c>
      <c r="L46" s="20" t="str">
        <f>IFERROR('Demo Rank'!E76,"")</f>
        <v/>
      </c>
      <c r="M46" s="11" t="str">
        <f>IFERROR('Demo Rank'!F76,"0.0%")</f>
        <v>0.0%</v>
      </c>
      <c r="N46" s="20" t="str">
        <f>IFERROR('Demo Rank'!G76,"")</f>
        <v/>
      </c>
      <c r="O46" s="12" t="str">
        <f>IFERROR('Demo Rank'!H76,"0.0%")</f>
        <v>0.0%</v>
      </c>
    </row>
    <row r="47" spans="9:15" ht="15.5" x14ac:dyDescent="0.35">
      <c r="I47" s="19" t="str">
        <f>IFERROR('Demo Rank'!B77,"")</f>
        <v/>
      </c>
      <c r="J47" s="20" t="str">
        <f>IFERROR('Demo Rank'!C77,"")</f>
        <v/>
      </c>
      <c r="K47" s="11" t="str">
        <f>IFERROR('Demo Rank'!D77,"0.0%")</f>
        <v>0.0%</v>
      </c>
      <c r="L47" s="20" t="str">
        <f>IFERROR('Demo Rank'!E77,"")</f>
        <v/>
      </c>
      <c r="M47" s="11" t="str">
        <f>IFERROR('Demo Rank'!F77,"0.0%")</f>
        <v>0.0%</v>
      </c>
      <c r="N47" s="20" t="str">
        <f>IFERROR('Demo Rank'!G77,"")</f>
        <v/>
      </c>
      <c r="O47" s="12" t="str">
        <f>IFERROR('Demo Rank'!H77,"0.0%")</f>
        <v>0.0%</v>
      </c>
    </row>
    <row r="48" spans="9:15" ht="15.5" x14ac:dyDescent="0.35">
      <c r="I48" s="19" t="str">
        <f>IFERROR('Demo Rank'!B78,"")</f>
        <v/>
      </c>
      <c r="J48" s="20" t="str">
        <f>IFERROR('Demo Rank'!C78,"")</f>
        <v/>
      </c>
      <c r="K48" s="11" t="str">
        <f>IFERROR('Demo Rank'!D78,"0.0%")</f>
        <v>0.0%</v>
      </c>
      <c r="L48" s="20" t="str">
        <f>IFERROR('Demo Rank'!E78,"")</f>
        <v/>
      </c>
      <c r="M48" s="11" t="str">
        <f>IFERROR('Demo Rank'!F78,"0.0%")</f>
        <v>0.0%</v>
      </c>
      <c r="N48" s="20" t="str">
        <f>IFERROR('Demo Rank'!G78,"")</f>
        <v/>
      </c>
      <c r="O48" s="12" t="str">
        <f>IFERROR('Demo Rank'!H78,"0.0%")</f>
        <v>0.0%</v>
      </c>
    </row>
    <row r="49" spans="9:15" ht="15.5" x14ac:dyDescent="0.35">
      <c r="I49" s="19" t="str">
        <f>IFERROR('Demo Rank'!B79,"")</f>
        <v/>
      </c>
      <c r="J49" s="20" t="str">
        <f>IFERROR('Demo Rank'!C79,"")</f>
        <v/>
      </c>
      <c r="K49" s="11" t="str">
        <f>IFERROR('Demo Rank'!D79,"0.0%")</f>
        <v>0.0%</v>
      </c>
      <c r="L49" s="20" t="str">
        <f>IFERROR('Demo Rank'!E79,"")</f>
        <v/>
      </c>
      <c r="M49" s="11" t="str">
        <f>IFERROR('Demo Rank'!F79,"0.0%")</f>
        <v>0.0%</v>
      </c>
      <c r="N49" s="20" t="str">
        <f>IFERROR('Demo Rank'!G79,"")</f>
        <v/>
      </c>
      <c r="O49" s="12" t="str">
        <f>IFERROR('Demo Rank'!H79,"0.0%")</f>
        <v>0.0%</v>
      </c>
    </row>
    <row r="50" spans="9:15" ht="15.5" x14ac:dyDescent="0.35">
      <c r="I50" s="19" t="str">
        <f>IFERROR('Demo Rank'!B80,"")</f>
        <v/>
      </c>
      <c r="J50" s="20" t="str">
        <f>IFERROR('Demo Rank'!C80,"")</f>
        <v/>
      </c>
      <c r="K50" s="11" t="str">
        <f>IFERROR('Demo Rank'!D80,"0.0%")</f>
        <v>0.0%</v>
      </c>
      <c r="L50" s="20" t="str">
        <f>IFERROR('Demo Rank'!E80,"")</f>
        <v/>
      </c>
      <c r="M50" s="11" t="str">
        <f>IFERROR('Demo Rank'!F80,"0.0%")</f>
        <v>0.0%</v>
      </c>
      <c r="N50" s="20" t="str">
        <f>IFERROR('Demo Rank'!G80,"")</f>
        <v/>
      </c>
      <c r="O50" s="12" t="str">
        <f>IFERROR('Demo Rank'!H80,"0.0%")</f>
        <v>0.0%</v>
      </c>
    </row>
    <row r="51" spans="9:15" ht="15.5" x14ac:dyDescent="0.35">
      <c r="I51" s="19" t="str">
        <f>IFERROR('Demo Rank'!B81,"")</f>
        <v/>
      </c>
      <c r="J51" s="20" t="str">
        <f>IFERROR('Demo Rank'!C81,"")</f>
        <v/>
      </c>
      <c r="K51" s="11" t="str">
        <f>IFERROR('Demo Rank'!D81,"0.0%")</f>
        <v>0.0%</v>
      </c>
      <c r="L51" s="20" t="str">
        <f>IFERROR('Demo Rank'!E81,"")</f>
        <v/>
      </c>
      <c r="M51" s="11" t="str">
        <f>IFERROR('Demo Rank'!F81,"0.0%")</f>
        <v>0.0%</v>
      </c>
      <c r="N51" s="20" t="str">
        <f>IFERROR('Demo Rank'!G81,"")</f>
        <v/>
      </c>
      <c r="O51" s="12" t="str">
        <f>IFERROR('Demo Rank'!H81,"0.0%")</f>
        <v>0.0%</v>
      </c>
    </row>
    <row r="52" spans="9:15" ht="15.5" x14ac:dyDescent="0.35">
      <c r="I52" s="19" t="str">
        <f>IFERROR('Demo Rank'!B82,"")</f>
        <v/>
      </c>
      <c r="J52" s="20" t="str">
        <f>IFERROR('Demo Rank'!C82,"")</f>
        <v/>
      </c>
      <c r="K52" s="11" t="str">
        <f>IFERROR('Demo Rank'!D82,"0.0%")</f>
        <v>0.0%</v>
      </c>
      <c r="L52" s="20" t="str">
        <f>IFERROR('Demo Rank'!E82,"")</f>
        <v/>
      </c>
      <c r="M52" s="11" t="str">
        <f>IFERROR('Demo Rank'!F82,"0.0%")</f>
        <v>0.0%</v>
      </c>
      <c r="N52" s="20" t="str">
        <f>IFERROR('Demo Rank'!G82,"")</f>
        <v/>
      </c>
      <c r="O52" s="12" t="str">
        <f>IFERROR('Demo Rank'!H82,"0.0%")</f>
        <v>0.0%</v>
      </c>
    </row>
    <row r="53" spans="9:15" ht="15.5" x14ac:dyDescent="0.35">
      <c r="I53" s="19" t="str">
        <f>IFERROR('Demo Rank'!B83,"")</f>
        <v/>
      </c>
      <c r="J53" s="20" t="str">
        <f>IFERROR('Demo Rank'!C83,"")</f>
        <v/>
      </c>
      <c r="K53" s="11" t="str">
        <f>IFERROR('Demo Rank'!D83,"0.0%")</f>
        <v>0.0%</v>
      </c>
      <c r="L53" s="20" t="str">
        <f>IFERROR('Demo Rank'!E83,"")</f>
        <v/>
      </c>
      <c r="M53" s="11" t="str">
        <f>IFERROR('Demo Rank'!F83,"0.0%")</f>
        <v>0.0%</v>
      </c>
      <c r="N53" s="20" t="str">
        <f>IFERROR('Demo Rank'!G83,"")</f>
        <v/>
      </c>
      <c r="O53" s="12" t="str">
        <f>IFERROR('Demo Rank'!H83,"0.0%")</f>
        <v>0.0%</v>
      </c>
    </row>
    <row r="54" spans="9:15" ht="15.5" x14ac:dyDescent="0.35">
      <c r="I54" s="19" t="str">
        <f>IFERROR('Demo Rank'!B84,"")</f>
        <v/>
      </c>
      <c r="J54" s="20" t="str">
        <f>IFERROR('Demo Rank'!C84,"")</f>
        <v/>
      </c>
      <c r="K54" s="11" t="str">
        <f>IFERROR('Demo Rank'!D84,"0.0%")</f>
        <v>0.0%</v>
      </c>
      <c r="L54" s="20" t="str">
        <f>IFERROR('Demo Rank'!E84,"")</f>
        <v/>
      </c>
      <c r="M54" s="11" t="str">
        <f>IFERROR('Demo Rank'!F84,"0.0%")</f>
        <v>0.0%</v>
      </c>
      <c r="N54" s="20" t="str">
        <f>IFERROR('Demo Rank'!G84,"")</f>
        <v/>
      </c>
      <c r="O54" s="12" t="str">
        <f>IFERROR('Demo Rank'!H84,"0.0%")</f>
        <v>0.0%</v>
      </c>
    </row>
    <row r="55" spans="9:15" ht="15.5" x14ac:dyDescent="0.35">
      <c r="I55" s="19" t="str">
        <f>IFERROR('Demo Rank'!B85,"")</f>
        <v/>
      </c>
      <c r="J55" s="20" t="str">
        <f>IFERROR('Demo Rank'!C85,"")</f>
        <v/>
      </c>
      <c r="K55" s="11" t="str">
        <f>IFERROR('Demo Rank'!D85,"0.0%")</f>
        <v>0.0%</v>
      </c>
      <c r="L55" s="20" t="str">
        <f>IFERROR('Demo Rank'!E85,"")</f>
        <v/>
      </c>
      <c r="M55" s="11" t="str">
        <f>IFERROR('Demo Rank'!F85,"0.0%")</f>
        <v>0.0%</v>
      </c>
      <c r="N55" s="20" t="str">
        <f>IFERROR('Demo Rank'!G85,"")</f>
        <v/>
      </c>
      <c r="O55" s="12" t="str">
        <f>IFERROR('Demo Rank'!H85,"0.0%")</f>
        <v>0.0%</v>
      </c>
    </row>
    <row r="56" spans="9:15" ht="15.5" x14ac:dyDescent="0.35">
      <c r="I56" s="19" t="str">
        <f>IFERROR('Demo Rank'!B86,"")</f>
        <v/>
      </c>
      <c r="J56" s="20" t="str">
        <f>IFERROR('Demo Rank'!C86,"")</f>
        <v/>
      </c>
      <c r="K56" s="11" t="str">
        <f>IFERROR('Demo Rank'!D86,"0.0%")</f>
        <v>0.0%</v>
      </c>
      <c r="L56" s="20" t="str">
        <f>IFERROR('Demo Rank'!E86,"")</f>
        <v/>
      </c>
      <c r="M56" s="11" t="str">
        <f>IFERROR('Demo Rank'!F86,"0.0%")</f>
        <v>0.0%</v>
      </c>
      <c r="N56" s="20" t="str">
        <f>IFERROR('Demo Rank'!G86,"")</f>
        <v/>
      </c>
      <c r="O56" s="12" t="str">
        <f>IFERROR('Demo Rank'!H86,"0.0%")</f>
        <v>0.0%</v>
      </c>
    </row>
    <row r="57" spans="9:15" ht="15.5" x14ac:dyDescent="0.35">
      <c r="I57" s="19" t="str">
        <f>IFERROR('Demo Rank'!B87,"")</f>
        <v/>
      </c>
      <c r="J57" s="20" t="str">
        <f>IFERROR('Demo Rank'!C87,"")</f>
        <v/>
      </c>
      <c r="K57" s="11" t="str">
        <f>IFERROR('Demo Rank'!D87,"0.0%")</f>
        <v>0.0%</v>
      </c>
      <c r="L57" s="20" t="str">
        <f>IFERROR('Demo Rank'!E87,"")</f>
        <v/>
      </c>
      <c r="M57" s="11" t="str">
        <f>IFERROR('Demo Rank'!F87,"0.0%")</f>
        <v>0.0%</v>
      </c>
      <c r="N57" s="20" t="str">
        <f>IFERROR('Demo Rank'!G87,"")</f>
        <v/>
      </c>
      <c r="O57" s="12" t="str">
        <f>IFERROR('Demo Rank'!H87,"0.0%")</f>
        <v>0.0%</v>
      </c>
    </row>
    <row r="58" spans="9:15" ht="15.5" x14ac:dyDescent="0.35">
      <c r="I58" s="19" t="str">
        <f>IFERROR('Demo Rank'!B88,"")</f>
        <v/>
      </c>
      <c r="J58" s="20" t="str">
        <f>IFERROR('Demo Rank'!C88,"")</f>
        <v/>
      </c>
      <c r="K58" s="11" t="str">
        <f>IFERROR('Demo Rank'!D88,"0.0%")</f>
        <v>0.0%</v>
      </c>
      <c r="L58" s="20" t="str">
        <f>IFERROR('Demo Rank'!E88,"")</f>
        <v/>
      </c>
      <c r="M58" s="11" t="str">
        <f>IFERROR('Demo Rank'!F88,"0.0%")</f>
        <v>0.0%</v>
      </c>
      <c r="N58" s="20" t="str">
        <f>IFERROR('Demo Rank'!G88,"")</f>
        <v/>
      </c>
      <c r="O58" s="12" t="str">
        <f>IFERROR('Demo Rank'!H88,"0.0%")</f>
        <v>0.0%</v>
      </c>
    </row>
    <row r="59" spans="9:15" ht="15.5" x14ac:dyDescent="0.35">
      <c r="I59" s="19" t="str">
        <f>IFERROR('Demo Rank'!B89,"")</f>
        <v/>
      </c>
      <c r="J59" s="20" t="str">
        <f>IFERROR('Demo Rank'!C89,"")</f>
        <v/>
      </c>
      <c r="K59" s="11" t="str">
        <f>IFERROR('Demo Rank'!D89,"0.0%")</f>
        <v>0.0%</v>
      </c>
      <c r="L59" s="20" t="str">
        <f>IFERROR('Demo Rank'!E89,"")</f>
        <v/>
      </c>
      <c r="M59" s="11" t="str">
        <f>IFERROR('Demo Rank'!F89,"0.0%")</f>
        <v>0.0%</v>
      </c>
      <c r="N59" s="20" t="str">
        <f>IFERROR('Demo Rank'!G89,"")</f>
        <v/>
      </c>
      <c r="O59" s="12" t="str">
        <f>IFERROR('Demo Rank'!H89,"0.0%")</f>
        <v>0.0%</v>
      </c>
    </row>
    <row r="60" spans="9:15" ht="15.5" x14ac:dyDescent="0.35">
      <c r="I60" s="19" t="str">
        <f>IFERROR('Demo Rank'!B90,"")</f>
        <v/>
      </c>
      <c r="J60" s="20" t="str">
        <f>IFERROR('Demo Rank'!C90,"")</f>
        <v/>
      </c>
      <c r="K60" s="11" t="str">
        <f>IFERROR('Demo Rank'!D90,"0.0%")</f>
        <v>0.0%</v>
      </c>
      <c r="L60" s="20" t="str">
        <f>IFERROR('Demo Rank'!E90,"")</f>
        <v/>
      </c>
      <c r="M60" s="11" t="str">
        <f>IFERROR('Demo Rank'!F90,"0.0%")</f>
        <v>0.0%</v>
      </c>
      <c r="N60" s="20" t="str">
        <f>IFERROR('Demo Rank'!G90,"")</f>
        <v/>
      </c>
      <c r="O60" s="12" t="str">
        <f>IFERROR('Demo Rank'!H90,"0.0%")</f>
        <v>0.0%</v>
      </c>
    </row>
    <row r="61" spans="9:15" ht="15.5" x14ac:dyDescent="0.35">
      <c r="I61" s="19" t="str">
        <f>IFERROR('Demo Rank'!B91,"")</f>
        <v/>
      </c>
      <c r="J61" s="20" t="str">
        <f>IFERROR('Demo Rank'!C91,"")</f>
        <v/>
      </c>
      <c r="K61" s="11" t="str">
        <f>IFERROR('Demo Rank'!D91,"0.0%")</f>
        <v>0.0%</v>
      </c>
      <c r="L61" s="20" t="str">
        <f>IFERROR('Demo Rank'!E91,"")</f>
        <v/>
      </c>
      <c r="M61" s="11" t="str">
        <f>IFERROR('Demo Rank'!F91,"0.0%")</f>
        <v>0.0%</v>
      </c>
      <c r="N61" s="20" t="str">
        <f>IFERROR('Demo Rank'!G91,"")</f>
        <v/>
      </c>
      <c r="O61" s="12" t="str">
        <f>IFERROR('Demo Rank'!H91,"0.0%")</f>
        <v>0.0%</v>
      </c>
    </row>
    <row r="62" spans="9:15" ht="15.5" x14ac:dyDescent="0.35">
      <c r="I62" s="19" t="str">
        <f>IFERROR('Demo Rank'!B92,"")</f>
        <v/>
      </c>
      <c r="J62" s="20" t="str">
        <f>IFERROR('Demo Rank'!C92,"")</f>
        <v/>
      </c>
      <c r="K62" s="11" t="str">
        <f>IFERROR('Demo Rank'!D92,"0.0%")</f>
        <v>0.0%</v>
      </c>
      <c r="L62" s="20" t="str">
        <f>IFERROR('Demo Rank'!E92,"")</f>
        <v/>
      </c>
      <c r="M62" s="11" t="str">
        <f>IFERROR('Demo Rank'!F92,"0.0%")</f>
        <v>0.0%</v>
      </c>
      <c r="N62" s="20" t="str">
        <f>IFERROR('Demo Rank'!G92,"")</f>
        <v/>
      </c>
      <c r="O62" s="12" t="str">
        <f>IFERROR('Demo Rank'!H92,"0.0%")</f>
        <v>0.0%</v>
      </c>
    </row>
    <row r="63" spans="9:15" ht="15.5" x14ac:dyDescent="0.35">
      <c r="I63" s="19" t="str">
        <f>IFERROR('Demo Rank'!B93,"")</f>
        <v/>
      </c>
      <c r="J63" s="20" t="str">
        <f>IFERROR('Demo Rank'!C93,"")</f>
        <v/>
      </c>
      <c r="K63" s="11" t="str">
        <f>IFERROR('Demo Rank'!D93,"0.0%")</f>
        <v>0.0%</v>
      </c>
      <c r="L63" s="20" t="str">
        <f>IFERROR('Demo Rank'!E93,"")</f>
        <v/>
      </c>
      <c r="M63" s="11" t="str">
        <f>IFERROR('Demo Rank'!F93,"0.0%")</f>
        <v>0.0%</v>
      </c>
      <c r="N63" s="20" t="str">
        <f>IFERROR('Demo Rank'!G93,"")</f>
        <v/>
      </c>
      <c r="O63" s="12" t="str">
        <f>IFERROR('Demo Rank'!H93,"0.0%")</f>
        <v>0.0%</v>
      </c>
    </row>
    <row r="64" spans="9:15" ht="15.5" x14ac:dyDescent="0.35">
      <c r="I64" s="19" t="str">
        <f>IFERROR('Demo Rank'!B94,"")</f>
        <v/>
      </c>
      <c r="J64" s="20" t="str">
        <f>IFERROR('Demo Rank'!C94,"")</f>
        <v/>
      </c>
      <c r="K64" s="11" t="str">
        <f>IFERROR('Demo Rank'!D94,"0.0%")</f>
        <v>0.0%</v>
      </c>
      <c r="L64" s="20" t="str">
        <f>IFERROR('Demo Rank'!E94,"")</f>
        <v/>
      </c>
      <c r="M64" s="11" t="str">
        <f>IFERROR('Demo Rank'!F94,"0.0%")</f>
        <v>0.0%</v>
      </c>
      <c r="N64" s="20" t="str">
        <f>IFERROR('Demo Rank'!G94,"")</f>
        <v/>
      </c>
      <c r="O64" s="12" t="str">
        <f>IFERROR('Demo Rank'!H94,"0.0%")</f>
        <v>0.0%</v>
      </c>
    </row>
    <row r="65" spans="1:15" ht="15.5" x14ac:dyDescent="0.35">
      <c r="I65" s="19" t="str">
        <f>IFERROR('Demo Rank'!B95,"")</f>
        <v/>
      </c>
      <c r="J65" s="20" t="str">
        <f>IFERROR('Demo Rank'!C95,"")</f>
        <v/>
      </c>
      <c r="K65" s="11" t="str">
        <f>IFERROR('Demo Rank'!D95,"0.0%")</f>
        <v>0.0%</v>
      </c>
      <c r="L65" s="20" t="str">
        <f>IFERROR('Demo Rank'!E95,"")</f>
        <v/>
      </c>
      <c r="M65" s="11" t="str">
        <f>IFERROR('Demo Rank'!F95,"0.0%")</f>
        <v>0.0%</v>
      </c>
      <c r="N65" s="20" t="str">
        <f>IFERROR('Demo Rank'!G95,"")</f>
        <v/>
      </c>
      <c r="O65" s="12" t="str">
        <f>IFERROR('Demo Rank'!H95,"0.0%")</f>
        <v>0.0%</v>
      </c>
    </row>
    <row r="66" spans="1:15" ht="15.5" x14ac:dyDescent="0.35">
      <c r="I66" s="22" t="str">
        <f>IFERROR('Demo Rank'!B96,"")</f>
        <v/>
      </c>
      <c r="J66" s="23" t="str">
        <f>IFERROR('Demo Rank'!C96,"")</f>
        <v/>
      </c>
      <c r="K66" s="24" t="str">
        <f>IFERROR('Demo Rank'!D96,"0.0%")</f>
        <v>0.0%</v>
      </c>
      <c r="L66" s="23" t="str">
        <f>IFERROR('Demo Rank'!E96,"")</f>
        <v/>
      </c>
      <c r="M66" s="24" t="str">
        <f>IFERROR('Demo Rank'!F96,"0.0%")</f>
        <v>0.0%</v>
      </c>
      <c r="N66" s="23" t="str">
        <f>IFERROR('Demo Rank'!G96,"")</f>
        <v/>
      </c>
      <c r="O66" s="101" t="str">
        <f>IFERROR('Demo Rank'!H96,"0.0%")</f>
        <v>0.0%</v>
      </c>
    </row>
    <row r="67" spans="1:15" x14ac:dyDescent="0.35">
      <c r="I67" s="49"/>
      <c r="O67" s="102"/>
    </row>
    <row r="68" spans="1:15" x14ac:dyDescent="0.35">
      <c r="O68" s="50"/>
    </row>
    <row r="69" spans="1:15" x14ac:dyDescent="0.35">
      <c r="O69" s="50"/>
    </row>
    <row r="70" spans="1:15" ht="15.5" x14ac:dyDescent="0.35">
      <c r="A70" s="62" t="s">
        <v>289</v>
      </c>
      <c r="O70" s="50"/>
    </row>
    <row r="71" spans="1:15" ht="15.5" x14ac:dyDescent="0.35">
      <c r="A71" s="27" t="s">
        <v>298</v>
      </c>
      <c r="B71" s="27"/>
    </row>
    <row r="72" spans="1:15" x14ac:dyDescent="0.35"/>
    <row r="73" spans="1:15" x14ac:dyDescent="0.35"/>
    <row r="74" spans="1:15" x14ac:dyDescent="0.35"/>
    <row r="75" spans="1:15" x14ac:dyDescent="0.35"/>
    <row r="76" spans="1:15" x14ac:dyDescent="0.35"/>
    <row r="77" spans="1:15" x14ac:dyDescent="0.35"/>
    <row r="78" spans="1:15" x14ac:dyDescent="0.35"/>
    <row r="79" spans="1:15" x14ac:dyDescent="0.35"/>
    <row r="80" spans="1:15" x14ac:dyDescent="0.35"/>
    <row r="81" spans="1:12" x14ac:dyDescent="0.35"/>
    <row r="82" spans="1:12" ht="15" customHeight="1" x14ac:dyDescent="0.35"/>
    <row r="83" spans="1:12" ht="15" customHeight="1" x14ac:dyDescent="0.35"/>
    <row r="84" spans="1:12" ht="31" customHeight="1" x14ac:dyDescent="0.4">
      <c r="D84" s="103" t="s">
        <v>600</v>
      </c>
      <c r="E84" s="64"/>
      <c r="F84" s="64"/>
      <c r="G84" s="65"/>
      <c r="I84" s="63" t="s">
        <v>399</v>
      </c>
      <c r="J84" s="64"/>
      <c r="K84" s="64"/>
      <c r="L84" s="65"/>
    </row>
    <row r="85" spans="1:12" ht="15" customHeight="1" x14ac:dyDescent="0.35">
      <c r="D85" s="69" t="s">
        <v>600</v>
      </c>
      <c r="E85" s="104" t="str">
        <f>Data!A71</f>
        <v/>
      </c>
      <c r="F85" s="105" t="str">
        <f>IF(Data!$A$72="","",Data!$A$72&amp; " Avg.")</f>
        <v/>
      </c>
      <c r="G85" s="106" t="str">
        <f>LEFT(Data!$A$62,9)&amp;" Avg."</f>
        <v>Statewide Avg.</v>
      </c>
      <c r="I85" s="107" t="s">
        <v>602</v>
      </c>
      <c r="J85" s="104" t="str">
        <f>Data!$A$71</f>
        <v/>
      </c>
      <c r="K85" s="104" t="str">
        <f>Data!$A$72</f>
        <v/>
      </c>
      <c r="L85" s="106" t="str">
        <f>LEFT(Data!$A$62,9)</f>
        <v>Statewide</v>
      </c>
    </row>
    <row r="86" spans="1:12" ht="15.5" x14ac:dyDescent="0.35">
      <c r="D86" s="108" t="s">
        <v>284</v>
      </c>
      <c r="E86" s="109" t="str">
        <f>IFERROR(Data!C71,"")</f>
        <v/>
      </c>
      <c r="F86" s="109" t="str">
        <f>IFERROR(Data!C72,"")</f>
        <v/>
      </c>
      <c r="G86" s="449">
        <f>IFERROR(Data!C62,"")</f>
        <v>16.63</v>
      </c>
      <c r="I86" s="76" t="s">
        <v>269</v>
      </c>
      <c r="J86" s="73" t="str">
        <f>IFERROR(Data!$Y$71,"")</f>
        <v/>
      </c>
      <c r="K86" s="73" t="str">
        <f>IFERROR(Data!$Y$72,"")</f>
        <v/>
      </c>
      <c r="L86" s="74">
        <f>IFERROR(Data!$Y$62,"")</f>
        <v>640029</v>
      </c>
    </row>
    <row r="87" spans="1:12" ht="15.5" x14ac:dyDescent="0.35">
      <c r="G87" s="50"/>
      <c r="I87" s="79" t="s">
        <v>400</v>
      </c>
      <c r="J87" s="80" t="str">
        <f>IFERROR(Data!$GT$71,"")</f>
        <v/>
      </c>
      <c r="K87" s="80" t="str">
        <f>IFERROR(Data!$GT$72,"")</f>
        <v/>
      </c>
      <c r="L87" s="81">
        <f>IFERROR(Data!$GT$62,"")</f>
        <v>501023</v>
      </c>
    </row>
    <row r="88" spans="1:12" ht="15.5" x14ac:dyDescent="0.35">
      <c r="G88" s="50"/>
      <c r="I88" s="88" t="s">
        <v>254</v>
      </c>
      <c r="J88" s="90" t="str">
        <f>IFERROR(J87/J86,"")</f>
        <v/>
      </c>
      <c r="K88" s="90" t="str">
        <f>IFERROR(K87/K86,"")</f>
        <v/>
      </c>
      <c r="L88" s="110">
        <f>IFERROR(L87/L86,"")</f>
        <v>0.78281296628746511</v>
      </c>
    </row>
    <row r="89" spans="1:12" x14ac:dyDescent="0.35"/>
    <row r="90" spans="1:12" x14ac:dyDescent="0.35"/>
    <row r="91" spans="1:12" ht="15.5" x14ac:dyDescent="0.35">
      <c r="A91" s="62" t="s">
        <v>289</v>
      </c>
    </row>
    <row r="92" spans="1:12" ht="15.5" x14ac:dyDescent="0.35">
      <c r="A92" s="27" t="s">
        <v>411</v>
      </c>
      <c r="B92" s="111"/>
      <c r="C92" s="27"/>
    </row>
    <row r="93" spans="1:12" ht="15.5" x14ac:dyDescent="0.35">
      <c r="A93" s="27" t="s">
        <v>410</v>
      </c>
      <c r="B93" s="27"/>
      <c r="C93" s="27"/>
    </row>
    <row r="94" spans="1:12" ht="15.5" x14ac:dyDescent="0.35">
      <c r="A94" s="27" t="s">
        <v>548</v>
      </c>
      <c r="B94" s="111"/>
      <c r="C94" s="27"/>
    </row>
    <row r="95" spans="1:12" ht="15.5" x14ac:dyDescent="0.35">
      <c r="A95" s="27" t="s">
        <v>549</v>
      </c>
      <c r="B95" s="27"/>
      <c r="C95" s="27"/>
    </row>
    <row r="96" spans="1:12" ht="15.5" x14ac:dyDescent="0.35">
      <c r="A96" s="27" t="s">
        <v>412</v>
      </c>
      <c r="B96" s="27"/>
    </row>
    <row r="97" spans="4:12" x14ac:dyDescent="0.35"/>
    <row r="98" spans="4:12" x14ac:dyDescent="0.35"/>
    <row r="99" spans="4:12" x14ac:dyDescent="0.35"/>
    <row r="100" spans="4:12" x14ac:dyDescent="0.35"/>
    <row r="101" spans="4:12" x14ac:dyDescent="0.35"/>
    <row r="102" spans="4:12" x14ac:dyDescent="0.35"/>
    <row r="103" spans="4:12" x14ac:dyDescent="0.35"/>
    <row r="104" spans="4:12" x14ac:dyDescent="0.35"/>
    <row r="105" spans="4:12" x14ac:dyDescent="0.35"/>
    <row r="106" spans="4:12" ht="31" customHeight="1" x14ac:dyDescent="0.4">
      <c r="D106" s="103" t="s">
        <v>666</v>
      </c>
      <c r="E106" s="64"/>
      <c r="F106" s="64"/>
      <c r="G106" s="65"/>
      <c r="I106" s="63" t="s">
        <v>551</v>
      </c>
      <c r="J106" s="64"/>
      <c r="K106" s="64"/>
      <c r="L106" s="65"/>
    </row>
    <row r="107" spans="4:12" ht="15.75" customHeight="1" x14ac:dyDescent="0.35">
      <c r="D107" s="112" t="s">
        <v>450</v>
      </c>
      <c r="E107" s="104" t="str">
        <f>Data!$A$71</f>
        <v/>
      </c>
      <c r="F107" s="104" t="str">
        <f>Data!$A$72</f>
        <v/>
      </c>
      <c r="G107" s="106" t="str">
        <f>LEFT(Data!$A$62,9)</f>
        <v>Statewide</v>
      </c>
      <c r="I107" s="107" t="s">
        <v>449</v>
      </c>
      <c r="J107" s="393" t="str">
        <f>Data!$A$71</f>
        <v/>
      </c>
      <c r="K107" s="104" t="str">
        <f>Data!$A$72</f>
        <v/>
      </c>
      <c r="L107" s="106" t="str">
        <f>LEFT(Data!$A$62,9)</f>
        <v>Statewide</v>
      </c>
    </row>
    <row r="108" spans="4:12" ht="15.75" customHeight="1" x14ac:dyDescent="0.35">
      <c r="D108" s="113" t="s">
        <v>401</v>
      </c>
      <c r="E108" s="80" t="str">
        <f>IFERROR(Data!$GX$71,"0.0")</f>
        <v/>
      </c>
      <c r="F108" s="80" t="str">
        <f>IFERROR(Data!$GX$72,"0.0")</f>
        <v/>
      </c>
      <c r="G108" s="114">
        <f>IFERROR(Data!$GX$62,"")</f>
        <v>1845</v>
      </c>
      <c r="I108" s="115" t="s">
        <v>407</v>
      </c>
      <c r="J108" s="80" t="str">
        <f>IFERROR(Data!$HA$71,"")</f>
        <v/>
      </c>
      <c r="K108" s="80" t="str">
        <f>IFERROR(Data!$HA$72,"")</f>
        <v/>
      </c>
      <c r="L108" s="114">
        <f>IFERROR(Data!$HA$62,"")</f>
        <v>1969</v>
      </c>
    </row>
    <row r="109" spans="4:12" ht="15.75" customHeight="1" x14ac:dyDescent="0.35">
      <c r="D109" s="79" t="s">
        <v>404</v>
      </c>
      <c r="E109" s="80" t="str">
        <f>IFERROR(Data!$GU$71,"0.0")</f>
        <v/>
      </c>
      <c r="F109" s="80" t="str">
        <f>IFERROR(Data!$GU$72,"0.0")</f>
        <v/>
      </c>
      <c r="G109" s="114">
        <f>IFERROR(Data!$GU$62,"")</f>
        <v>1079</v>
      </c>
      <c r="I109" s="116" t="s">
        <v>408</v>
      </c>
      <c r="J109" s="80" t="str">
        <f>IFERROR(Data!$GY$71,"")</f>
        <v/>
      </c>
      <c r="K109" s="80" t="str">
        <f>IFERROR(Data!$GY$72,"")</f>
        <v/>
      </c>
      <c r="L109" s="114">
        <f>IFERROR(Data!$GY$62,"")</f>
        <v>1117</v>
      </c>
    </row>
    <row r="110" spans="4:12" ht="15.75" customHeight="1" x14ac:dyDescent="0.35">
      <c r="D110" s="117" t="s">
        <v>403</v>
      </c>
      <c r="E110" s="118" t="str">
        <f>IFERROR(E109/E108,"0.0%")</f>
        <v>0.0%</v>
      </c>
      <c r="F110" s="118" t="str">
        <f>IFERROR(F109/F108,"0.0")</f>
        <v>0.0</v>
      </c>
      <c r="G110" s="119">
        <f>IFERROR(G109/G108,"")</f>
        <v>0.58482384823848244</v>
      </c>
      <c r="I110" s="117" t="s">
        <v>402</v>
      </c>
      <c r="J110" s="52" t="str">
        <f>IFERROR(J109/J108,"0.0%")</f>
        <v>0.0%</v>
      </c>
      <c r="K110" s="52" t="str">
        <f>IFERROR(K109/K108,"0.0%")</f>
        <v>0.0%</v>
      </c>
      <c r="L110" s="12">
        <f>IFERROR(L109/L108,"")</f>
        <v>0.56729304215337739</v>
      </c>
    </row>
    <row r="111" spans="4:12" ht="15.75" customHeight="1" x14ac:dyDescent="0.35">
      <c r="D111" s="120" t="s">
        <v>405</v>
      </c>
      <c r="E111" s="121" t="str">
        <f>IFERROR(Data!$GV$71,"0.0")</f>
        <v/>
      </c>
      <c r="F111" s="121" t="str">
        <f>IFERROR(Data!$GV$72,"0.0")</f>
        <v/>
      </c>
      <c r="G111" s="122">
        <f>IFERROR(Data!$GV$62,"")</f>
        <v>37</v>
      </c>
      <c r="I111" s="116" t="s">
        <v>409</v>
      </c>
      <c r="J111" s="121" t="str">
        <f>IFERROR(Data!$GZ$71,"")</f>
        <v/>
      </c>
      <c r="K111" s="121" t="str">
        <f>IFERROR(Data!$GZ$72,"")</f>
        <v/>
      </c>
      <c r="L111" s="122">
        <f>IFERROR(Data!$GZ$62,"")</f>
        <v>852</v>
      </c>
    </row>
    <row r="112" spans="4:12" ht="15.75" customHeight="1" x14ac:dyDescent="0.35">
      <c r="D112" s="117" t="s">
        <v>403</v>
      </c>
      <c r="E112" s="123" t="str">
        <f>IFERROR(E111/E108,"0.0%")</f>
        <v>0.0%</v>
      </c>
      <c r="F112" s="123" t="str">
        <f>IFERROR(F111/F108,"0.0")</f>
        <v>0.0</v>
      </c>
      <c r="G112" s="124">
        <f>IFERROR(G111/G108,"")</f>
        <v>2.0054200542005421E-2</v>
      </c>
      <c r="I112" s="125" t="s">
        <v>402</v>
      </c>
      <c r="J112" s="126" t="str">
        <f>IFERROR(J111/J108,"0.0%")</f>
        <v>0.0%</v>
      </c>
      <c r="K112" s="126" t="str">
        <f>IFERROR(K111/K108,"0.0%")</f>
        <v>0.0%</v>
      </c>
      <c r="L112" s="110">
        <f>IFERROR(L111/L108,"")</f>
        <v>0.43270695784662266</v>
      </c>
    </row>
    <row r="113" spans="4:7" ht="15.75" customHeight="1" x14ac:dyDescent="0.35">
      <c r="D113" s="116" t="s">
        <v>406</v>
      </c>
      <c r="E113" s="86" t="str">
        <f>IFERROR(Data!$GW$71,"0.0")</f>
        <v/>
      </c>
      <c r="F113" s="86" t="str">
        <f>IFERROR(Data!$GW$72,"0.0")</f>
        <v/>
      </c>
      <c r="G113" s="127">
        <f>IFERROR(Data!$GW$62,"")</f>
        <v>729</v>
      </c>
    </row>
    <row r="114" spans="4:7" ht="15.5" x14ac:dyDescent="0.35">
      <c r="D114" s="125" t="s">
        <v>403</v>
      </c>
      <c r="E114" s="90" t="str">
        <f>IFERROR(E113/E108,"0.0%")</f>
        <v>0.0%</v>
      </c>
      <c r="F114" s="90" t="str">
        <f>IFERROR(F113/F108,"0.0")</f>
        <v>0.0</v>
      </c>
      <c r="G114" s="110">
        <f>IFERROR(G113/G108,"")</f>
        <v>0.39512195121951221</v>
      </c>
    </row>
    <row r="115" spans="4:7" ht="15.5" x14ac:dyDescent="0.35">
      <c r="D115" s="394"/>
    </row>
    <row r="116" spans="4:7" ht="15.5" hidden="1" x14ac:dyDescent="0.35">
      <c r="D116" s="395"/>
    </row>
  </sheetData>
  <sheetProtection algorithmName="SHA-512" hashValue="rKy4lbnFscwGf/PsZ3RkG+QwOOGQTgD3k/x0PX/Cb3AWdz0VPe51VPY0YFV8Bz5gtQ0n1Q0D4cKJ8OquoFrjVQ==" saltValue="4g7K5HPUlOYnzD9HhO+hgw==" spinCount="100000" sheet="1" objects="1" scenarios="1"/>
  <hyperlinks>
    <hyperlink ref="A11:B11" location="Terms!A10" display="Provider" xr:uid="{00000000-0004-0000-0800-000000000000}"/>
    <hyperlink ref="A11" location="Terms!A9" display="Provider" xr:uid="{00000000-0004-0000-0800-000001000000}"/>
    <hyperlink ref="A71:B71" location="Appen_WAGE_RATE" tooltip="Go to Wage Rate definition" display="Wage Rate" xr:uid="{00000000-0004-0000-0800-000002000000}"/>
    <hyperlink ref="A12:C12" location="Appen_LIVEIN" tooltip="Go to Live-In Provider definition" display="Live-In Provider" xr:uid="{00000000-0004-0000-0800-000003000000}"/>
    <hyperlink ref="A2" location="COUNTY_SELECT" tooltip="Back to County Selection" display="COUNTY_SELECT" xr:uid="{00000000-0004-0000-0800-000004000000}"/>
    <hyperlink ref="G86" location="Navigation!J16" tooltip="Back to Table Selection" display="Navigation!J16" xr:uid="{00000000-0004-0000-0800-000005000000}"/>
    <hyperlink ref="L30" location="Navigation!J14" tooltip="Back to Table Selection" display="Navigation!J14" xr:uid="{00000000-0004-0000-0800-000006000000}"/>
    <hyperlink ref="G28" location="Navigation!J13" tooltip="Back to Table Selection" display="Navigation!J13" xr:uid="{00000000-0004-0000-0800-000007000000}"/>
    <hyperlink ref="A11:C11" location="Appen_Prov" tooltip="Go to Provider definition" display="Provider" xr:uid="{00000000-0004-0000-0800-000008000000}"/>
    <hyperlink ref="A1" location="Nav_Prov" display="The In-Home Supportive Services (IHSS) Public Facing Data workbook (Microsoft Excel) contains several pages of data concerning IHSS recipients and IHSS programs.  It has been categorized into separate Pages (groups) for easier navigation.  To select a cou" xr:uid="{00000000-0004-0000-0800-000009000000}"/>
    <hyperlink ref="A96:B96" location="Appen_OT" tooltip="Go to Overtime (OT) definition" display="Overtime (OT)" xr:uid="{900F81E2-F6E3-4725-B829-399BEA4465DD}"/>
    <hyperlink ref="A92:C93" location="Appen_FLSA" tooltip="Go to Fair Labor Standards Act (FLSA) definition" display="Fair Labor Standards" xr:uid="{CB84942E-B8FF-421D-BB5B-254049639861}"/>
    <hyperlink ref="L88" location="Navigation!J17" tooltip="Back to Table Selection" display="Navigation!J17" xr:uid="{C2536560-FE06-4E67-BF69-C32539F77AD8}"/>
    <hyperlink ref="G114" location="Navigation!J18" tooltip="Back to Table Selection" display="Navigation!J18" xr:uid="{E65FF0B5-F445-44E9-93EE-1ABCF70FFAF3}"/>
    <hyperlink ref="L112" location="Navigation!J19" tooltip="Back to Table Selection" display="Navigation!J19" xr:uid="{3B93993D-F751-4EA6-9A4F-3DAFC120E5B0}"/>
    <hyperlink ref="A94:C94" location="Appen_Violations" tooltip="Go to Overtime Violations definition" display="Overtime Violations" xr:uid="{BF2140E3-3DAC-468E-BBEB-70B51C029E9A}"/>
    <hyperlink ref="A95:C95" location="Appen_Exemptions" tooltip="Go to Overtime Exemption definition" display="Overtime Exemptions" xr:uid="{F3F3A27B-D680-4077-8E10-266990E1EE4F}"/>
    <hyperlink ref="A13:C14" location="Appen_RELATIVE_PROV" tooltip="Go to Relative, Spouse, or Parent Providers definition" display="Relative, Spouse, or " xr:uid="{9EAE2523-A833-4A92-B1B7-DF915E7AAD8D}"/>
    <hyperlink ref="O66" location="Navigation!J15" tooltip="Back to Table Selection" display="Navigation!J15" xr:uid="{111CDDA5-1BC9-4270-A461-92DD009A4701}"/>
  </hyperlinks>
  <printOptions horizontalCentered="1"/>
  <pageMargins left="0.7" right="0.7" top="0.75" bottom="0.75" header="0.3" footer="0.3"/>
  <pageSetup scale="37" orientation="portrait" r:id="rId1"/>
  <ignoredErrors>
    <ignoredError sqref="J29:L29"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8 c c 5 f a a 8 - 2 e 6 0 - 4 0 4 4 - b c 7 3 - 5 e c 8 e 3 5 5 a d 5 f " > < T r a n s i t i o n > M o v e T o < / T r a n s i t i o n > < E f f e c t > S t a t i o n < / E f f e c t > < T h e m e > B i n g R o a d < / T h e m e > < T h e m e W i t h L a b e l > f a l s e < / T h e m e W i t h L a b e l > < F l a t M o d e E n a b l e d > t r u e < / F l a t M o d e E n a b l e d > < D u r a t i o n > 1 0 0 0 0 0 0 0 0 < / D u r a t i o n > < T r a n s i t i o n D u r a t i o n > 3 0 0 0 0 0 0 0 < / T r a n s i t i o n D u r a t i o n > < S p e e d > 0 . 5 < / S p e e d > < F r a m e > < C a m e r a > < L a t i t u d e > 3 5 . 2 7 7 9 0 5 5 5 1 2 6 2 9 2 6 < / L a t i t u d e > < L o n g i t u d e > - 1 1 5 . 1 8 1 3 2 1 8 0 3 2 4 3 4 1 < / L o n g i t u d e > < R o t a t i o n > 0 < / R o t a t i o n > < P i v o t A n g l e > 0 < / P i v o t A n g l e > < D i s t a n c e > 0 . 3 4 2 2 0 2 8 4 7 5 7 9 5 4 2 6 1 < / D i s t a n c e > < / C a m e r a > < I m a g e > i V B O R w 0 K G g o A A A A N S U h E U g A A A N Q A A A B 1 C A Y A A A A 2 n s 9 T A A A A A X N S R 0 I A r s 4 c 6 Q A A A A R n Q U 1 B A A C x j w v 8 Y Q U A A A A J c E h Z c w A A A u s A A A L r A b 9 3 E o U A A G B / S U R B V H h e 7 b 0 H g G R X d S b 8 V c 5 V n d N 0 T 0 8 O m p w U R x I i S b C A W c A g 2 9 j G m A U D D q z X e M 3 v 8 G M b / 8 b G y x p j g r 3 G u z b Y i / G y g A 1 G g E F Z m t E E z W h G M 6 O J P d M 5 d + V c 9 Z / v v v e 6 X q X u 6 p 4 e S c B 8 o 6 e K / e q 9 e + 9 3 0 j 3 3 X M v / O R Q p 4 j r h s O X x 5 / / 6 j P 5 K Q 7 F Q 0 J 8 B F q s V 2 X w S b 7 5 1 L b 7 + z B X 1 n t V i h c 3 q U s / N + O 2 3 7 o D F Y s H g V B x f f O w y C o U i i s U C c o U M + t p 8 8 n 5 M / 2 Z t 2 C w O 5 I t Z / R X g c 3 n w D + / f D p e r 9 F v p R B x H R w L Y 2 x W G x x / Q 3 9 U Q + 0 4 U / t c G U L Q U Y I F V v T c z E 5 a / d 8 L n 8 6 j X 9 f C m P z u m P 6 u N r b 0 h / M m D G / R X K 4 9 C P o 9 s O o W h 4 R G s 6 u 6 C u + L e i C v T R 7 G 2 d b / + a m k o 5 o o Y i D + h v y p H p 3 c 7 v I 5 m 9 X w s f h p u e w g h 1 y r k 8 m n V z 2 P x U + j 2 7 5 Q 2 t U h / F p G O L 9 y P R C q d V v 1 j 7 r v F c D X y F F y 2 A J K 5 O f 0 d E 4 r S n 3 k n 2 r z 7 k S 1 Y E f I U 8 c K 4 D R 7 v I / o X F o c T T W j 3 r V P P M / k E / K 4 2 F C I F R M b i e N g 9 j R U h F F E s T O O z D 5 3 X X 2 l g w 8 n / 5 g n 1 p z 9 7 O 5 6 7 N o O Z W E p 9 b r c 4 1 W N O u G e z a p d x c G s X / p 9 / O C 6 E 4 5 / m h V y 2 e U I 5 7 R Z F s J w c B m z y x b z p N T v M b n O r 5 w X 5 e 4 / D j i + 9 f 1 t V p + R y O e R S S T i 9 P l j l + o j U x R T c G 9 x I Z K c w H r 0 o A 6 Q V n Y G N 6 r P F 4 H L 5 c f 8 f P a q / q o 1 G C H V q x I 4 d P T n 9 1 c J I Z K f V N Z q R l U E 4 M T 6 O 9 o 5 2 O N 3 V A k D E k 2 q j 5 c B M K J c 1 h A 7 v F g z G D q v X 6 X Q 7 N r d v V s J w M R Q K e W Q S C f 1 V f S y H U F f C j + v P q t E b O A C H 1 Y 2 k y F u P Q x s z m X w M w 7 E T 6 v l C s I q g 9 t p b Z N w U 0 O F f r 9 4 r D M v f n 0 k h L 2 3 q 3 O 2 C s 8 O x c o T q a 7 X g t 7 7 4 l P 6 q G i R U k 8 + F u X h a f 4 e a r b b E / 1 + / f B f e 9 Z d P 6 q + k Y Z X C y Q l 5 c t J h G m k K Q j K H z Y p P / a c 8 c t m D + I O v H M P e t Z 3 w e 6 1 w 2 V 3 k M X a v C W F w O o n X b H H V 7 J R c N o N s R j r N J x L t q Q Q 8 d 3 r V + 4 p Q s R d E P 7 n g s T c j L Y 3 e 1 7 R L f b Y Q V k J D f e e M E / f f k t F f 1 Q e J M R B + A m t D d + v v l D A 7 M 6 u 0 q d O l C Z a l Y m j u l P R X C i 2 + f o T c H f q 7 G q G G k 8 e l 7 X N Y 5 d 8 j / e G c H 8 A W 2 L A m d K d 6 v h h u J K E M z U S N W A k S 6 u K 4 H 1 u 7 K b B E S 5 5 O I 9 o / h G h h V P t C D V i y d t i T L m Q D c r 2 W I l Z b 7 0 T q X A J 2 j y i D t T k 4 H R 4 U k t I b 2 S J i y a R u 0 6 w A B q c X 5 i U l l 5 l M C + F d n y 4 3 K 6 x y I 3 b R I j a r X R H l 9 k 1 d 6 G n x 4 f P v 1 w h g d z y B P / g Z M S n v H M C r d 1 / G q 3 c N 4 Z 4 d Z x E M H M L d m 5 K 4 G n 5 K a b l K 2 B 1 O W G T s J o 8 n g f 3 a u e Z h L a B g T S K e m c F E r F w L v B z A Q U 3 U M m 0 K 0 k j L J Z M Z Z j I R q W f T c N p 8 c n g V m Y g W z x r 1 6 H O 2 I Z W L q O c v B S K z M 4 j M z Y q l Z B F B m U N / 8 H Y 0 u 9 Y q 0 9 N A b l T e v x h B 6 m g K 2 a t Z u L a 7 E J p c j d Y T 2 + E e b 0 H T y Y 2 w y N 8 T L U e 3 y n M r i o 4 c s s G 4 I p P D K v c d s M J 3 w I / i l j Q s w 3 Z Y n O I Y u C y I n w o j 1 O d f O U I R J r e p D N R O y v w T / N N v r M d n / t M e 9 b w M Z j 4 K + a y 0 + X Q 4 b R Z k c j a x x + U G 5 N 9 s P I O w k D O d i + r f K E c 6 X 3 p / I n 5 W D b C B y J O i e W b V e / k Z 8 T W u Z F D M F O B u D s C z 1 w M K H A N u 0 U p W M T W b b P 3 q 9 Y a 2 5 T U T 7 5 u H A b 0 J F k R P S I j c w P d K J 6 t u 9 E K 9 j m g Q v U 0 7 s E o O Y j Z 5 V T 0 W 8 0 X Y g g 7 E s 5 P K d z A Q c H S r x 1 h m H H N p 7 b s v B X j P 9 C G 9 z h B 8 1 l Z k z 4 g F c 6 g Z / s M b 0 H 5 1 F 1 q O b 4 O z 2 4 X Y v q u I 3 H I F s + 0 X M Z E 4 i 6 H W w 5 j e f R q Z r g j m d l 1 A 0 7 N b 4 J w O 4 s r W i L h c 5 e 2 Y L S R k H D 0 l b T A l Y 0 T 8 U 5 t Y M 0 d i S J 1 K 4 d z 6 L L 4 5 f H X l C E V T T H d F y k D N Q G r 8 z S 8 H 8 d l f K m I 6 d h F N / r z 2 o R k l / i j 0 t v r U Y 4 a C W D 7 z u q R D 5 f w B t x v n h q a x e V W L + n w h Z L J e J N J B N J 1 f C 2 v G g Y L 4 T U V R z 7 Y W G x x r R T s 5 a 9 8 + y d Q f v F N + q w c 2 m 1 0 k d Y / + S W 0 8 e i F Z Z e 7 R 5 1 s O d q z K K f 9 x M d i s D v V o H t w G U i n N R 7 0 e O M U P T W R n l G Q m E o / G M e f W y V V D 2 x P U l p n C 4 s G G l Q Z N y O K E E 8 4 h L w q p g t I Y r m 0 u + F 7 h Q + C V X v h 3 B h G 6 r 0 W 1 G c m g H d P q M G B o / N k 9 L 8 C W F c 3 l E w e p A j b x + V c H b 1 N B D 8 K + z g r v A R 8 8 B z z Y H W 3 C G 1 f 1 r x y h b l l l E v E m W C x W I Z p d i B H W 3 9 E Q 8 k o D 2 K 1 i y s n N O 2 z q + f 7 1 I f z t B + + E 3 2 3 H R F i T 7 P L R P H 7 n b T v E o S y K p n J K 4 y w u x h 3 2 h D i Q L o Q 3 X 0 H B m U U 4 N w i L p 3 q 0 f v 8 F B x 4 + r 5 E 8 o 3 O d k T 2 7 3 Y 7 V T T W 0 q Q l 2 h w v / 7 R t n 9 F c l M K B C O E y R z F w + o 3 y O h R z n x q H d R y I n g 7 4 C y e T 1 E 4 o Y T z w v W m c Q h b k 8 f K / 0 o 6 N v n f L Z + k N 3 q M 9 5 H 1 c j T 6 v n B P v a Y d U E 4 U K w W m 2 Y T m o C w Q A j k p V H Z Q S 2 H r I n s 2 j e G s T 4 m m O 4 m n 5 y n v D s g 0 I x i 6 n E B f V a w y L S S r R S s m t S f 6 H d k 4 F 8 M a M s n q n k B Q x G j 2 A 0 d g p z S d 3 / 0 m X M i h H q 2 n T 9 T m S E Z D Z y u / 5 K B v D J N M K J D F L Z j I r Y p b P i p O Y K O H o p j J / / 9 K O I p X J I p j P z p g u 1 3 7 t f u Q E f / 5 r m a D 7 y h 6 / B H 7 x 1 s w o Y m O G d 6 Y R P j t a T 2 9 X R f n w H E u I D G W j 1 1 I 7 Y H V w 7 h / V t m r S K h T X i t 7 S U b G + C B O N R i d f / c X U g x j B v l R a R D t F M 3 r x q h 0 Z B i R l L T 2 E o / J z + T m 1 k d Q 2 V L 2 R x Z f q I G u R 2 u 0 k K L R P j C U 1 I 2 M V v y F z O Y C Z u U Y E Q A 9 O p y / q z E u i z N B p B b P W U p j a K j f 1 J T c y d y m B 8 w 0 l c i 2 r R R o L m P d u B 5 t n V y C H E c h P 6 J x C B c F B / 1 h i 6 v N u l D U p C k V q Y R 6 6 Q F m 0 c R 6 q g + b B W 8 a 3 U o / r / C i C W W v h U f / K 1 5 / V n w N 3 b x t V j r c b n I P z o g 7 u E R D Y V z t 7 W F 5 L B C P z t D y 6 q x / / 1 K 3 c h k 9 R u I u T q V Y + 9 T f f j A 5 + z 4 l 1 f m c D P y / G O p 5 9 X x 9 u P n M Y v / 2 3 p d 1 4 Y q 2 F q C l x O H 1 a 3 a A 5 4 J Z H M M M L r Z t y + q U 1 / x s G t C Z V c Q X u 0 W u z q k T B M i k Z x d e Z Z T M a u I J u r H c g x t J x x 3 k h a 2 t S q D V K b / T p G q I 6 g o 2 T m u r a 5 0 e I T w f e C J u B o z k b S 5 S a R 3 e q W / l j Y N D b w 3 K A N 8 Y I b T q 8 W 5 W W U d S H U a w P C 1 8 d 5 r T x a 3 e u V 9 u T R 4 y + 3 K q i x 2 F 4 8 6 H d r k d H q N u o L 3 D p P O K f V r 8 7 j t g f R 7 t m s 3 q u F p G 4 h W J t W m F A c 7 G 2 B + p G l L / / 6 v V j l u 0 s 9 T 2 Z n l T / 1 1 7 + 0 X b 0 2 U E y K Y 1 n I 4 Q v f u 6 S / A z w / W K 4 V u g K l h v D Y m 5 B K 3 I k 3 f f y 7 0 j 4 l 6 W l G J u f F p b H 7 1 I T e + s 7 6 f k 1 e H F q C A Q F 2 w O x s R B 1 E L p d X R P N 6 q + / v 0 P k p 9 a g F H 4 p i u h b h d t r m D 4 c t p x 7 9 b g f u 2 t K u v k s Y J u F S Q S 1 E M N p G d P p u U Y + K W A V N A 1 o d S y N v L X g c T U I S D 6 z T N i S t W j A n 1 6 M N F 0 7 c V s I Q I o 0 g W 7 C g N e h Q r g D n A Y 2 2 r 0 T 6 6 R T G L p / F 8 c E 5 z P 1 7 X H + 3 h C P n x c R s c i h / 1 + f Q B N s 1 0 U g j s W f V 8 1 o Y i Z 9 Q x H L I v V U i n Y / I Z 1 q E m d f m 0 t u Y G s p l q y 9 o a f a m j m n 3 v 2 L z U I T d V s C n / r W k e s 3 4 l 9 / Y p x 6 / c 8 a B T a t + o C Y k L 4 7 s x K e + d V R M P 7 1 B R Q A W I M 9 F s u f z R c 1 / M g m S Q r 6 A 7 / 7 u P c h k N P / q f z 8 5 j f / 9 9 E B Z J M 2 M Q t E q f o s L v / H G f d j S 9 x T a / R v h L A Q V + 5 3 u a n K k O H u v m 2 s G b E 4 n H M 7 a 8 y B O l x c T 0 S L i m a f F 9 4 q q T q X D S / T 4 9 0 k n e M X W f k a Z B 7 w R S j 9 D s / T 4 d 8 n n c i 1 1 Y B C H W N O 6 f 1 7 L X p s 7 L n 7 d X s Q y E 5 h M v o A u 3 w 4 l W M y I x + P w + R b 2 Z Y Z m r D g / Y c c r t 9 Q X M o n D C Y x v O a Y G X 2 9 g v z R N U S w H i 5 q G U P 1 k Q l / w V t g t j c 0 X S T e K J a K / q I O E E C i 8 z 4 b Z 9 B F 4 9 L E f m t g A 1 1 X R Z j n R S n K S K + 1 e 7 L j V p j J j r k W Y q a M 7 M i a 4 b c 1 I 5 T W B s B i c 4 v / R j C N o 6 l G o G L g m / Z h f I N D U d W E f P P t F A O m v V w R 5 P Y Z f C x x 8 R J O n i P G Z + 0 R F 3 4 K 7 N u T w 1 Q / f q 9 5 X k K u x p C 1 i K h X R 0 1 w a 8 E Y U + C N v 2 w m 7 g x O W 2 r n + 8 R E t j a k S f / Q z B / C N 3 3 o A v / u 2 3 S U + W r U B 4 H S 5 F J l q h Z b d P r / + r A R m Z t R D J D 6 C J m d S k Y n O a 4 d 3 q 3 q f U U K S i d D I p J l E Z l j 1 L J F 6 c D t K Z t B U v O S v k E y E 1 9 G i o k 4 G m a 7 M P I O r s 8 f V 8 2 y 2 5 J / U w / N j d t E U + o s 6 m G 3 T L A U r d N N V m p C a s J J M R D J b I 9 W n D h Y l 0 x N x e F / t E 3 O L k / R 2 B J x d W C P C K N 0 R h v 0 V V n j u 9 8 H / H w K K T A P h J 5 V W q k U m C r F 0 P i y C r m Q Z L A S S y f j u W O L 0 v D l N 9 P h 2 q 3 k o w u y q G J Z C P q 5 9 d 0 U J t W t 1 f U I 9 8 E e a Z L 5 t b Q 5 7 + v I 4 O q B 1 U j 4 T l g Y u / Z 3 F p V 3 S P d s 6 e e U K H 3 h g C 1 o D L v H D T u P V v / 8 9 d a 4 3 f v w o 3 H 4 b f v l 1 m 9 R 3 3 n R A m 2 D 8 9 T f u w m / / w x H 8 x M c f w h 9 9 9 T g s 1 g I + / e 2 j y K S z Y v d r E R l m S B T y 1 2 8 W j c Z P y a B M y m V q 1 z w c 0 w Z 0 s 3 u t e j S j T y Q 8 o 0 Q E f S u m w N Q C c / E I c 6 c V a w w W n o M h 3 H m I Z 8 / w 8 X T 8 G q L R x k L X b b 7 6 j E o 8 H E e m T S N J u h A V P y a J 3 F S u L K p n I O h c J Y N e + m s R R L 8 X R X 4 q j 9 h D M e Q j e X U k n 0 4 g 9 u 0 o E v K Y u Z x F U k y n w j 4 f j l 2 1 w + s s i m b c i z b P R t U e 3 a E t Q j C v 3 L t + Q o F H z x 8 M O X q V b 0 Q h w 8 M h P l D A 2 a 0 e m S L V K D j P Z i C W L t F j K p b C Z F j z 2 e n f 0 9 r o D 9 6 h t D e R 3 a Q J 3 h U l 1 I m r Y k r V E T 9 s g 7 f + + b P K Z H C J n 3 H 7 u j o D W v 6 8 m C n i q 4 e u 4 m f v 1 Z I Q P / / d c 9 i / v p S t w B S Y 9 z 2 w A W k R s X / 5 b S 1 / 8 F + O D K j H T / 7 r S d G U p W i a 3 Z q W A Z l C i 3 + / a J Q p R N O T y A u h b I 7 a E T e G a 8 0 o 5 m p L e 8 N 0 Y 4 N a r Q 7 l d 2 X y m r l g + B N J f a r A Y d G k 2 L W I Z g 6 z I + r B c Z 0 Z D u H k u F z P w l E + L Z U L 2 N d f u w 9 y k 3 m M 7 9 W E g 4 H 4 I 0 n E m 8 f U c 2 v a i Z Z D m u 9 G G N k S C s L R / E x O S C M k O S Q k G S i Z S Y H X B G B r s 8 F 7 v x e 2 o E 0 d n j u 8 8 L 8 u A K 8 8 O t c 5 4 N n n F p + z W H V t U T F x a w m W d C 4 i Y 8 u K F q 8 m x C h k e P Q G 9 s D v b B O t Q 7 9 I 6 6 t G 4 X N o A a r Z T C n h O + Q t o q 8 1 g m J B G 9 9 0 M 6 7 N H d V N f A s 8 0 5 r F s a K E I t 7 3 w K 1 w O a x i s t j w k b f s w C d + b h 8 O b u l Q A d d s r o A 3 f u I o i o 4 Q I q l S K N M h q v 3 g 1 l K a i 8 U h 9 J O 2 + 9 K j l + e 1 V 5 N P N 5 H k f Y u 8 9 4 + P l 2 b l z X M F h E 2 P d h l o 8 b s Q y 5 6 U 7 w F n L x 5 D J p t W E o + g g 8 0 G N 0 / E O s Q k Z A q p M R 9 S D 5 S E R L E i g p f I a T b 7 W F w L e f c G 9 2 J C D 0 M T / L 1 a E 7 J m d A U 3 o y u k a d + l g J F I J v 4 u h J x o M + 3 u a 0 C E V S 5 d 7 p O 2 H t 2 O p l e 3 w G P T z M u C K 4 O Z W 8 / B F n O L J W 0 T b S b a a z K n s i k 4 o m w t d v g f E J L c L i R Z U 2 3 a n h k p F 2 Z X Z 4 5 j J H w W 8 b S m E c 9 P V A u E g F P G k P h w l d H S 1 c H b x R z U g l 0 E 8 y 4 J f m 8 0 V m v K o e 6 d z 6 P D q 7 W 7 + b e m k 5 f l 1 h x Y 1 3 y n S m t i H m p / 0 w H 9 U / H 3 1 z u Q G 8 v D 9 v b 3 f O S j + r s r A h J n / 4 Z V G B i f w r e f H c b 3 T o 7 i 2 l Q c C f G N H L o p / u U n r u D d r 9 i i G s j u a s L f P X J J J I A D E 2 E 9 U m T c M 0 8 m z z / 1 i w f Q 3 + 4 X C e H F W 2 / v F y c T u D A m k k n / H s 0 f h t u p / Y x J P Q N b V z X h I z + p N b L N b h M N Y M F s a g z h z B A i 2 W v z 2 i S S G R Z T T U s 1 y h Z s e P S y D x v a q y W i A X 7 X C N s z h G y W n p S Y X L o w l 7 6 m X o f l c 4 f N r c x D o s 2 z W T r o g n J 6 D V L W A s 3 C Z u 8 q + J w N 5 B J K W 9 B f a / W s x v R U B O 1 t r S J N i y p S 6 f G U a 7 1 k x o J c 3 i K E r b 6 / y Z M D m O k q r R p w j b W i 7 c B q z C S v i P X h R T S r a S l G V Y t O I Z G 1 i P Y t 6 2 H z 2 Z S g a w Q M N p l T v Z o 8 3 e I n D q j 2 O D 8 e w P Y e 7 b q M 6 B 8 n 2 C m E w u l B O Y a U 3 1 j p k x L M f J h N X R H N 1 C V j w i Z C d F x I U e 7 v 0 S w 0 + q U e G P 4 P i z U D a 0 7 k S 0 r 6 i G O r Q h M L O N 5 y x b S y T N y u A D K H i y t P K I I 8 2 N H f j c P n h 7 Q 3 B A a Z D K Q L d v z e V 8 7 i H x 6 / o o I O Q z M p 7 F v X j P E 5 E 6 l 4 y G d P n 5 r E 1 5 6 + h q N n p / D 9 c 6 M Y n I 6 j p 9 W D W L I k Q U g k z o q b s b W 3 G R 9 9 x x Z x m E v X 4 X b 6 1 e C f G k o o H 8 x q M l G Z 4 M k B P j k d x X j C g 3 W t X D 6 y + C B h S D V m D D Q B E z I 5 C Z r I a Z P F L n t A d b B B K J + z X U i 1 X n V s 5 f K L 5 c L j C C L k 7 o J T f I x U M o V Q K I h w O C r t I p 9 V E M o t C q I W m Y g p + z k U b d p n T A 5 d 1 b o H A 4 k n V E i 5 1 c t r H l S f m d H k X i 1 d 1 R i Z i G S W 2 T E c k P o b g r n k C A a m V 2 H v a p v S 3 t d m T 8 A G l x J E J J T 5 d + P Z C S F V i 5 C q X B i l C 2 G V U 2 h c D / / W 7 B M R n I c q w B g 3 H K n V i K R H V M Q v L 6 5 C X g m p 9 V W R V A M + 6 b 9 m + b 1 o O C c m q 3 P l T T 4 D z I D 4 7 H t L s 9 K c y T d j y t B G A j V f K m a I e c 5 p P l A h n 4 W Z g 0 c r w S 0 N o E + r P 3 i X J i 0 c N g t a A i 7 p H K s 0 o X Y 7 / N t b + p p w d s g c L t X + j q F P p 9 O O t l 4 X I r M i X d I l U o 7 H t M l n l w y o A 1 1 T m J s r z U U t B C Z K m i d x / Y 5 2 T C U 1 K c / 3 e 3 y 7 l P Q 0 M J k 4 p 6 6 X z v a N g E G g p q b g g h P V t W B L i F Y 8 t h k t h 2 + B L 9 U B q 6 c 0 R K L p k t A o g U O 3 N p n C K W 0 C v x K c J D 5 0 u d y s y + V u x W 1 r P c r M G p 5 7 X j S Y X 4 7 S t Z s z H C i s R u L V c 0 0 + u 5 i F e Q e u T h 9 T q w R i m X I y E X 5 X h / J h u d S E l g K X n V Q i 6 O z G q t B 2 6 S M 7 8 h U m Z i 1 k s 9 p 3 U q n 0 j d F Q B i Y j B b z 5 Q B 8 e O 8 N Z 9 X L u X p 2 M 4 8 G D a 3 D 6 2 p z S L t Q E K X F j 2 o J O N S 9 l T A d R i v 3 e 2 3 f J O c Y 1 0 u h i b U I 0 G S P a i U x e T B i x X Y V E 9 + / p w + U x m n c F b O t r F d + t G w c 2 N m E u o Q U s C H Y G / 1 E z O V w 2 x C M Z e a 6 Z g w w H U 7 t Q M o Z C P i S T 4 m v J 7 3 k 8 i 8 + v N L n 6 l B n I g 2 t x q A V D z h 5 0 + L a q V a Q E z Q 3 j O z c S 6 X S m S i s 1 B G n P a c t F p H q m k e y V w S g C z F K 0 z m t a R s t o p t N M d t n 9 y s R E z i l E m 0 L I 0 6 W + Y 4 Z b v l O J Z J Z T D B b R F O N I 5 q 4 h l p p S Q q c r p F 0 v 2 y 2 c H B V B 6 V F a Y i z + v D J 7 C b a b 2 V z j c x 5 G e 3 J 8 N H t 6 0 e T t Q U o 0 U U T M e m Z Q 5 L N r k M l 1 S X 9 u E T P S K p 9 r w o 8 T t 0 3 u v r J z E p z I Z W I w f S l q p 8 U Q i W j B K N 5 X + S i / A R i Z K + L / e V t 1 V K s g G u v L T w w g 4 L a r h q D l x R X m c / H y y T O n D P S P / f N z a g G X G U M z S Z U P a I C r d m / d 0 C b n E q k i z x 8 + P Y w v P X Y e J 6 + k E I 1 r i w P b / D v h N f k j d r s V w R Y v 0 s m 8 C q s T n G u Y L j w n N v s T M i L m F l 3 2 X g v K U Q 4 e F J t 7 v d J G S w U D J J k 6 k 9 W N w M g l X C q S R 8 t / k 7 7 B V K r k T 3 H g t 3 r W q f s r J e B x x X R W S F B L e 1 W D y c J z q W F 1 b u Y h p u X R b i v l Z F 6 b P S n / p 3 C N I Z 1 N S L + U j 4 f K / M 1 6 C I o m 4 n W 6 x V T r C X n R G / I I M Y v o b y 0 X N M z L q z w n I 3 f M u x y K H h P z b / H 7 8 v n c a p w w k + a G E 4 q Y j h b U a t 0 N 3 a W I G U P N h M 3 k w 9 B o e 2 B P e T 4 Y c + U + 9 I a t M s r K B 0 l b s F x r c N 7 q D 4 V 4 Z v i E r L / 1 p c P 4 r 1 9 8 D r / 6 P 2 x 4 + 5 + d w u e + X e 7 M W c W p 9 o u / Q d 8 p n c x g M H p Y m Y V E u j A H O y O O y 4 C h S Z c D S u n h O Z L 6 c f 2 d p S G d r p / 7 t h A 4 X V E J L e + t G o b k t o v 5 T M w m S n 7 q Q r D b N L / H 5 9 T 6 P 5 3 1 i b Z T T x X W t O x T k U p a k T P J a y p L x I w u H 5 N V y 0 n B V K P J x A v 6 q x L o t z p F 0 7 E v G H V e 1 a z 5 h g y 1 U 2 A y u 4 J R 3 q Q e l T U j l Z + D 3 9 m B 6 d T F + e k P A y M x X e D q s D v E 2 n G K X y i O 4 Y t C K O J n 7 t 2 D K + O x s m R S g h r J G H v Z f A E P P T s C p h g Z e P T 5 c f z p 1 8 / g w z 8 p N q 2 8 f v 3 e V X j 3 q z Z g f E 6 k q f T / a 3 b 1 q K U f j 8 n 3 z P j N N + 9 G P F W y f 3 P 6 O Q 9 f K I X r i a C r B + u a b s O G 9 o P o C 9 6 G Z C w 7 L + F T 4 o g b c 0 c 0 E 5 e D y q j j Y u B v Z 7 J i Q t j Z L s v r H p p 8 y 4 E t W P 5 7 1 E g M 9 F D Y W P O l e S f C m M S 2 C P l h K T T c P o Y v b b F O Y W x u P W L p 6 k n w / u Z 9 i l j 1 y g 7 0 B Q 6 g 1 V s q J c B Q e S w 7 M T 9 d Q a i o Y G Y Q s 6 m B q s D E S J x a c G F Q g 3 p t L W h 2 r V Y m / I y c x 0 C P W D r E e P y s e i R x M 7 k U f v B C / s U j F L F v f b t K J g 1 6 H f j y r 9 + D / R s 0 8 + v g 1 k 5 s X 1 1 S u + b I 2 x / + 1 B 6 1 P u r P v n l G B h v w b 8 e H 8 b f f v 6 j M u t f v W 4 X v n R x B N F n e m V x r 9 a d f r 1 9 4 Y 1 1 7 K d 3 J n H / m 8 / q x v u 0 u F a g w S O V 1 d K j O G W m g k E c l 2 M E k J d H u W X x O i Q m z A z N H M R G 7 r M j U H 6 g / A b w Q M p l l E q r Z J o 5 6 6 T p 7 / H u V 6 c M s 7 K C 7 J A j N a U Y q c m n T f q 8 R U 9 N Y G M n I b j I b Q E f w B f G D G 0 9 b M h B 0 d K P X b 8 w D y X m F 9 F 7 d d M u y 0 p K 8 n k k O q O j g R I X Z z c n 4 o L M X b d 5 S U K j b t 0 t l f B j g 5 C 6 j v o w Y E g z X m 8 G a G v Q t q a k Y S H E 7 / H j l Z t u L S 6 j h m T n R F O L E J b J 4 8 J O P 4 e j F a f z B g 3 v k 5 m 0 4 f V W T L p y v Y r + w w X 2 i Q k 9 d n c O H 3 6 x J R 2 Z I m B H X I 3 R 2 W / n 7 Z t + q H N R x Y l b + 4 e P 4 z r G 1 6 G n a K 5 K H + Y C l v 2 d B k E 7 f F s y M J 1 S C b l w P h z N 8 u l Q Y H d w k U m 6 h R F g D A z O l 7 I R e / 7 5 l a y i z G b 0 U c N 0 T U 4 i Y v b 3 K t 1 9 8 i G e U M B m I P I G 5 7 G P q O Y + x R H U B F A 2 L E 2 o q M a C 0 1 P D c Z q x t P 6 G e c 5 n K U s E w f q Y Q h d + h p T w Z K U j E X O b a f J o X Q R M x l h E N l p 1 W j x Q C D F i M x 7 W o L s l H L Z T I T a k U M U Y U j c l d w o j g Z v R p D 4 K h / d K U R 8 m 8 f 9 E I R b P u z 3 7 + d u x e 5 x c J U g q Z / 8 b f n R A z b 0 w G g Q U 7 + 1 u k Y Y p y A 0 B A t M y v v m E L v v L U F T E V x Y H N y Z s V N v 5 z A 7 P 4 7 b f t U A E N g h O W n 3 7 P b S p C V K + i k o F v H L m K N 3 9 c t I 4 4 1 w P h p 3 B p 0 q o y 4 Y k k J h B o c Y r 5 l 5 6 f X D R P 3 C 4 F R m R v s e v R o N 3 f 6 p Y 9 N S c u G 0 W 9 7 P i F w K C P 5 y 6 v D N S o M m E m k t W r k B f D Z L x k F l V i K l E i T T b v w 5 3 r n F j b e g B t v j V K w i 8 V z M u k 5 m m X g c 8 2 b v d s n C d 8 L F M K J D C k T 8 3 D z H w u m u S j m Q A E y c f + Z d S y V t K 0 M b 0 x H C 2 V O Z h L X V U E 1 a D 1 G 4 u / 3 N C w e S W u T e W x p q N D L j q B 0 V k m l V r w W 2 / Z j i M X x t U l j c 7 G N I d U k M 6 m 8 e R Z f S l E i w d X J q L I C S s V e f T 2 4 N 8 8 f H o M / / m N W 5 U p 6 X Z Y 8 N W n h 0 V j a Z + X d 1 R 5 I x p 4 x 1 2 d I m 2 i S G V W o y s A F Q l i d n O b b 6 3 Y 4 N c Q n k 7 D 5 R Y f Q l h u q P 8 b B Y a H e b A I 6 P U g k 8 2 K + V p R x W k R p I 4 k M R Q 6 j K g M R g 4 s O u U N g d G + v E Z + C s p m b / U i Q 2 Y r T M Y y M m R n x G / q w P p 2 F s F h B a s 8 c m B 5 L o s i M M P X L K Q T d G k h e H O m R C W 4 V C Y m v t F s e k C u e V Q E E O t F l O b 6 a N Z x v o l 9 x g l g Z s I s B i a 9 M o p Z C W a I c P K W 1 8 c 5 R p q t N O V Z t I V g 8 I L Z F L Z 2 2 8 q u h z K Y 2 g j c T g s + 8 X 8 f x b q u d r x 2 V x e e P j + u z D u C H c N Z b g P 3 b e 9 S x F E g R / T 2 Z S 0 K L p 8 n u L L 3 / E h U / l Y k j F w G 5 6 h g y c 0 7 w R o 0 U j 2 w u x e 3 9 L b g M w + d R j p X w G f f K y a D M 6 h C q G Z Q 8 m W y G T x z 6 r t o 7 / N i c / s r 9 U 8 W B z O + s 8 Y 6 r x o I h f y i l a s n F V c C s X g c / k X W Q 5 m R D + d h C 9 m U d C e 4 V m s k t o j j z g T k Q v X 1 9 4 S 2 w 2 U v 1 8 a n h y n / o 9 J X f t y y a k 7 I 0 C K D M S W D M i y a q 7 w 4 K s 3 c N U E t N 4 + + I P 0 y m u G 8 N n 7 W 5 h Z t I Y 9 + I R T P M R Q t r R s z g 3 1 n 3 E + j Y O S S k 7 q V S O V i G A 2 L H 2 b X L C u a h B O J C / L 9 f h U p 9 N i a 0 W H d C q v X + u L 6 U G a k x H z 7 0 J v u x e X x s E j E o i L T 2 s 4 A v v R r d 8 2 T y e + x 4 9 O / e C s + / B P b 1 G v F V 1 M f G m Q i m G X R 0 a T 9 X S J r E Y 0 C v P W 2 P u W H v e l A v 3 Q G s 9 x t + M T P 3 Y 6 H T g z h k 9 9 8 T t W x Y I T Q Y r V V k Y m 4 G j k M p 8 O J r j V + 5 D I F 8 c 1 q z / w v B 5 w M z G T K s 0 d W C p V z N w s h / r 2 Y I p M x + U z Q p 1 g M N t Q 2 Y U f D p V I H B u a S B U z F Q j i w x q r I R J A I l W R S q A h s G C 8 Z L G H E l C b b Z E K L r q 0 0 p p O l l e I 1 k S s J + Q 7 v R t V O n L x v 8 2 7 Q E r o F L x m h C E b q v v z r d + O B P d 2 i K a y 4 M h b F O z / 1 J P 7 8 F w + I 2 W Z R u X q / 8 o V n R N v o r S p 2 P u M Q 2 1 c 3 C e m q L 3 1 4 O o H W g F t U v E W t n / r q 4 S H E 0 1 n 8 i / h L l H T p X A 4 f / n s u R t P w x + + 8 F b l 8 E R / / K g d H d d C g I L Y 1 z R 9 m i 7 s 8 L l w a O o F k a u E s 8 U b B 6 2 E m B o k V C c f U s V J o d B 4 q / o M Y P K 9 2 Y z T + n D L L G k J e y C Y D q 6 9 J C x 1 X g u F z 8 7 l G 5 6 z y j v S H r / y a + n U t R D C / g N k J j C p y 5 a 8 Z x p S K e b 2 V M T d W T z s R S 9 V O b l t I h e N r Y S 4 x o j 9 j d k X 5 O G k R E 5 H X / r I g F P H O / / 4 4 3 v B H j 6 F d C C A K Q + F D X z i i B n o t v P 2 u P p w a m N F M u w r Q n 5 y O p v C n P 7 c L Q 9 M Z 5 V z X C w b 8 z Q f u w W 9 9 i W Q t 4 O p k F B / 4 f O 2 i m W w s F u q g d d b U 4 c F w + I Q 2 Y G t f 3 p J A H y H H G u v y m K / h D C 8 X Y 3 M X 1 Y A y B h V 9 F S 4 / o N 2 v 0 o U E 2 e G M K g 2 m E r H y 5 c M g Z Z 7 I z L v Q 5 7 9 N k 8 4 8 9 B A 5 w / s G f O 4 m B D x t 8 8 d 4 5 A K S 4 s e l c h Z c m i q K l Z D D r t 5 y r Z f I l O a M m F z M 0 D x T g S q 1 4 0 T 0 i l y z 9 p v G Y j 7 e 1 + W 5 8 u r C 1 w e L + E k B z K Z q T 0 5 3 B T e p D R a c L n E x p A 2 H 6 9 S s y F y S M a c / f 0 l A T c J h x C K W s 7 E k / v s v m C S E o Z X k w Z j f + K l X r 8 M 3 H m d I t P q y K c n + v 3 d q 1 W 4 + 9 s 8 n V b S w H h h t f M 9 n H 5 N n p e 9 Q s w 1 P a s v L i V x O i / i Z Q b P R 5 u b g z y A a W z m N Q v A e o 1 E t J + x 6 k T S V v O b g Y z k t O u W j 4 h e x x g V h V Q U 7 N K S L 5 e b u f P l i 5 S M V M R V n h E 5 X F S a z x 0 A 8 N S d 9 U j J f H Q 4 X H r / o w d G r W W V R 7 O 2 r N i G 9 z i a l a R g 4 6 P a X F + s x g / 0 6 G j 6 L 8 e g F V d e C f z M 9 2 y f v 1 + / f p a O o w u j m F Q O 1 w M l e + k + c g 6 o F m s 4 v W V D C w J b u I n 7 l b 8 Q M k 5 Z j e g g z H 5 4 + P 4 m 3 3 N o r v g 2 T k a T z h X j d T R 7 8 7 p f 1 y V V h I d d E c R k C k 2 J / 5 y d 3 4 v f / q d y J 3 r u u B c c v l x e B Z F I n B 2 5 f m 7 9 s W 5 x O O b f K v B D Y x Z T 8 x w + 9 C j O J R 1 Q k i v M S B O u 7 G W A Y 1 o 1 2 k U b i M O v F X l K x a N l i R J L D y E J e K p q b g 4 q 8 y 8 U L L 1 y A s 6 v + 4 F j j P Y j J 9 C V 0 + E v Z B t R g R i S M Z b N U e F m 0 U y l n b 3 G 4 X V 6 V C 0 k 8 P 8 y E V L u 0 Y Q G v 2 t L Y u O A W N 3 a X W 0 V 6 2 f c M S g z O n o L V r m n v F m 8 f i t Y M i o U g I l m W 2 F 6 4 f Y s i e C 3 y + 4 3 D g t V i c o 5 F z i P o 7 k T A V Z 7 V U 4 k r c 0 9 h T d M d 8 l e l N n r J C e V 3 2 / D H X 3 2 U V v S 8 E K y F X 3 / T L f j k v 2 h z I y w 3 Z v F Y 8 d n 3 3 o 4 P / H V p o K u f 1 8 / x B w / u w u 9 9 u Z x k v / O 2 n f i T r x 0 T c 6 P U E a t a f B i e K d c M v / 3 W v a o e h a r 7 o A 9 s c 2 U l N i C 3 z C E 5 v / z B W 2 q G q L k / 1 u x c b T N y M V w v o Q a H h t H X y 7 m X C + D a I U a u w q Y 6 e j 2 D B z D S f Q q 9 T d v L T O K p 5 E U 1 t 9 L s X q M t P 6 G / V M M a q A d u 5 j C b W C + C L o s m b x z J d A v W t F Z n n C 8 E C i b C 5 n S p 7 r w y d U R M L U 3 D B d 3 d 4 o t p i z q J 2 d T V q k x x M 7 K i T R 1 6 Z K 5 R M K O F Y X A z 5 p J j a K q R T T 8 R 0 4 I Y 8 d y Y E O t O N S 5 e c h 8 q J q r G m I n W 8 y z L Y O T C G W Q i S C a C O X 5 l M I 1 B k s k r Z D X w F 7 9 4 K z 7 2 f 5 4 T Y p S b c r k a v s t n v n 0 a O 1 Y 3 q 7 A s i c R r M E 7 N 0 G 1 p / 6 k s 3 v o X x x G J z S p y m U E J u 5 J I 5 x o 3 M T 2 6 1 u R k J 0 P Q L e 7 y u Z W i k J W T q k N z p 8 v K l b V 5 N o i E v m 1 + k H I Z y 1 K Q L + S E o H m M z D T j 5 L W 1 a A u U o o 0 q T J 5 N 4 q l L h X I f r Q J O j y a c 8 p l 0 i V y c 4 5 E j z n o g 8 h v E R P S y m j B n 9 M 9 h 8 4 r 7 4 F a + L i t P r Q 0 e R L d v Z 0 0 y 2 S 3 V J q s Z x h J 6 M 5 i 5 X g u Z H I V s A W t 1 M h E v O a E M Q c y 1 S B 9 9 x 2 6 K d u 0 N H R z A H N C 3 b W w V 5 7 3 k G 9 y 2 r h U D E + J k 8 7 0 6 i v E / H l i t T L h P / N x e / O o X S g U 3 z C s 9 D V P P j L l E B r / 5 H 0 t 2 M t O O j M w F g + C c K 2 N A g 5 r k H X / 5 P G b C U / M T k Q a a m x Z P N 6 o F L m o 0 S j 8 b 5 Z 8 j q e r F c v V g n t 8 i 0 U f C z y v Z y a P j 2 d 2 w b 3 a U R e I q Y S u I V h H p b v a L F o N m X l n Q E Z y T v r R j e 9 8 A T g 4 F M R o d x M X x J J J R + T 1 x q P Z 2 x j E 2 6 8 L 5 s R L Z m C n 2 w k h W E S i d S I j 5 6 R A C a g P D b W t C q 3 M 1 O p z r h S S 3 I J t I K i H A C W D e m 9 / R g V W + v e j 1 7 0 e X d y e 8 9 l Y 1 H C q j c R z w H Z 6 t y g + r B 7 + 9 p + b E b q 2 K w Y T T r i 2 I 5 N k N v O Q m H 9 E e S O K j / 8 S o k U P 5 U e m c O P 5 5 7 k I h A 0 N n H A d w R 9 C L A x u 6 E E l m 8 f S J c V i 8 2 o 0 W C 1 y q L s / V V 7 X v M y t 9 a D q B f e t b 8 T 9 / c F G 9 Z 4 B + V 0 f I i v e 9 9 h b 8 9 j + W b 2 W q w Y L 1 X U F c G i t J U l U T Q k + Z 4 i 8 w F F w G 6 d y v / t p t q k q s O b m X q F U T v R J F E S g R W / U c j o I p E E D N s h g i k S i C w Y D y S T j o 7 F 6 X E i L x 7 8 b g e 2 3 J B I u m J z A V u 1 r z n G b N V Q + Z n A c e F 3 d U W Y v J S B A 7 h U T X p j t E y L l l o H G w F 7 G 5 J S F 9 U 3 t c P D X U h N t X h a W f q z / P i + / G I q L N r r T 4 Z u W a c j x z C Z 1 C s M U w m i 8 l N P u t n f I 7 D k T y 5 Z G 8 t a G 7 c C W s b e 7 X 7 d s h n W s V E t c v z L M Y X h a E I v 7 p 8 e P S K d o K W Q 7 O V 2 x v x y P P a 6 l H z H a g R G U I e + e a F h y 9 O C u k E K 1 R k I a u C M Z x D Z R 5 2 c Y 8 5 J w G O f / D v l X 4 1 6 O X 5 L w L X a / 2 3 c + / 7 2 7 8 0 l 8 9 p n w N s x 9 l f F 4 G + Y 2 v / 5 f b 5 D o t o i X K 7 d e M + G 2 x W P 0 o 3 k o S a n R 0 D N 3 d 5 T Z / 6 r k U 3 D u p d X J i P t W w r Q U M o R u m C 6 t S T c f N + z 1 p 7 6 8 K b V P C Z T x + C W e G N 8 H r T I q A 8 8 k 9 y x 2 I V r H I 4 + 0 9 Y f X 6 e n F 5 1 o o e b 7 K K U E u B + Z 4 M m I n G 2 n 1 M X T L A b W o r 5 8 K W g p c N o Y g v f O 9 I q S y z n M p h t 6 j S Y y Q C T T e u a f q J A 3 3 4 + j O D 0 k R F t W 7 K S v N G b 6 9 f / Q 9 b 8 B f f W n i F 7 E / e u R Z f e Z L L I 1 g Y M q s G W G 2 U O o G T x J z f M k D N S X O v J o R U f / L 2 j f D 7 B 2 H X K 9 O s b h Z T V k c 9 b b W S h L p 4 8 T J C I U p Z G U o i c d O D K Y Q 2 c i 7 N J u 2 Z 0 y r L S v v S R K U 5 w 1 w 5 z l X Z r L w v G Y J y s J 4 7 2 2 Y y S s e 7 i M 7 m d f K 5 V d q M 7 W 7 F 8 y M Z R K M 2 + V u b q n H o c 9 m x t T 2 p k k t 5 M M J J + a U i t f L o 1 O s g 8 v z 8 f X n Q + 8 8 q / a y Z q H a 7 Q 0 h J 6 6 S g 5 u f Y A 7 w O h 7 S j 2 o B P T s T z 8 P p 4 7 T y H 9 q i V N C B x 2 O a 8 z l R O + k u u c y 4 1 A 5 s 9 C 7 e l S U w 0 F n z h J t V c v s 9 x J t e Z y W M y f V K N L Z 6 P G y 0 w f c q S l 7 Z Q 8 3 N c k c x r k e v k u X V z m u 1 A 8 5 / X y b 8 z z M K X F a E I N h w v d n V r F r / / l R P 4 n x + 8 S + 2 8 8 Z 0 T I 9 L w V m z o C u D C K H 0 n 7 b e M i N 8 v v m o D v v D 9 i / j b X 7 4 L 7 z b t z 2 v G q h Y v h m d K m Q 5 s k A w H l a W S V C U y E R 9 9 x 3 4 x S Y 8 o D c m J U U q x 3 E L + h b T w P 3 z o I K Z m n 4 L D 6 S g j w f U T i j 5 A + f V V g r v A d 3 d 1 q q q s r i 1 u W J v L T d B a m A 8 A C L k c + m b X X O / D X S i 4 e G 8 u V p 5 2 x W L 6 k 5 G 9 6 P D G M Z F w Y V v r y s y h m c E J 7 3 j W C p c M Z L e t t s 9 X r 2 7 i t Z m c u B J 2 H L 4 M r G n T J q G 7 X N o u G m 4 / z d 5 S G 6 a T C T g 9 L l w N l 6 r i a r X + t O 8 w Y Z g J 0 4 1 g 8 Z Z + k W H U E h + c c S C R z q t g A s l E U F u d H Q r j w Y O l V Z 4 k 0 7 v v W a / I R L z n M 9 V k e u 3 u H r z r v v U y A M q j P p T e h Q K 1 C B v O O I h y w f D 8 o D a f x e / X M 5 f K I J L 0 Z / 7 8 S X Q 0 c 7 F i y f k m r j c h 1 v D j F o J 1 T v T 3 l P g w B w N w t D n U b y 5 2 2 E X y 8 6 D m p o T n e 6 w n M Z I 4 p k L p 1 A D G w Y I 2 Y + E 9 2 N k R Q 5 e / K I 8 p j C a 8 V e e 8 3 o O 9 4 b X n w R q n O b H t E 3 m X e p / X y c 3 Y e F T + D Y 9 E z g 7 u 9 H 5 k w I Z X b t W u V 1 2 3 / n k 2 m U Q m l R R B y v E m / r f 8 T k E s o 1 W h 3 f P 3 O J I 4 L t / l 3 1 j R 5 O F O l l Y U L V n 1 y G X z 3 L S B c 1 x c d m R 8 j 8 f L T k O Z 8 Z l / 0 + a Y + j t 8 G B g P y 4 3 L Y N b H P M 2 I D / / E d o y H k / i 7 h 8 U s o Q W m i w e P m B / / 5 U 2 3 4 N + O D V V N 7 t a D M V C Z L G s G A x h 3 b O 7 C D 0 4 N K T + K o H l E c n F l 6 G K 4 b U M 7 P v K G / r K d z G t p q U Y 1 V L t / H f y u 8 l p + h X R B L b 9 g 8 3 M J Q b o n q 4 I S k 7 H L i K W n G z I T K 0 E z i g s L F U z z U S R c O h d E v 7 c 6 K 3 u l w Y l d m o i G D z U a c y E l p t j m b k 0 o 6 V Z W G U S p Y S p m R a e p 7 u B E 7 I K q S t v t K t U 4 N 0 Y q C 3 4 G Q l p m P v 0 t b j 5 A 9 P m Z T 1 r u u w 2 I B m P e P F Q W j d E e B a x p K f l c N S 7 p 5 Q E m x x q L v a 5 O x P H A n v 5 5 M h G 0 W / / 0 6 6 e x s V s L j x Z l U B l I p n O q U l I j Z K I Z S f + M j v Y v 3 L d Z Z a B T E / K R B 0 u U P X J a c 1 q 5 d x X B d T N l F 7 M A D l + c x N 8 9 P V W W s G q W p g a U L 1 g L x f L 3 U 9 l S n c C M m C q Z c 2 l Y p K 2 8 B 3 3 w 3 u 1 T J h 5 9 l M H Z k 4 p M R C O V e w w Y O Y D z Z C J s G f S K X 8 F 1 Q X 1 N u 9 G 1 y A Z p N w r d / j T W h u S e E 1 F 1 R M J x l d r E r X l 4 R J I s c Y Y y M h E s R l k L z 0 3 l 4 P S V L A 7 l g + l C c z B 2 R B H M A H d A K Z J I O Z e K F h J 2 u x P 9 L e X C 6 m V K q C j W t d M p L p l L 3 z k x j O 3 9 1 d U 7 f + c f n 8 U f v 3 O v M v 2 K i f K G b A R 3 b + 1 U D i n x x c e 0 F a e V e p Y B i P / 8 x p 1 y P X S m S 7 a 8 e c 3 W Q v j a 4 Q H 8 z y d K p O J a K O N g I U p K / V C w T k Z B x U S 0 s Z U M f Z 7 s U 3 n M r h q E p W L H w q H J s z K w S m 0 3 H R s U n 6 / c 9 K y F W v v 1 G i i I J F 7 V t A 3 P D U X h K i 4 t + + F G w W k r q I p J v S 0 F d Q Q 9 W k X a S j C D o x a C r p D 8 v a a F W B u C R 8 4 U y T W 3 Y T R V a h v W n K c v 2 x f a q U h o x g q b f C u D Z l 8 R H / u K K a X I B B Z 4 m U u I / W u s M t T x i X f t x 4 f / 1 9 H 5 I M V i q A x Q G G D i a 0 H Z j + X Q o o x 5 5 U O Z 9 8 o l 6 e t G / C q w v b c Z H 3 v b e j g X X a K u 1 S Q P W 8 7 K S C 7 X U C F X J 7 x o R u 6 I S N 5 X B B B J j a m 9 o q 5 M W b C x U 7 u u Y 6 c f Q 2 t P K a W I K 4 B X N 2 s b 3 i 2 E w e h R G U R J I b j + h g m M c g V t G + G W d h d 9 r r 9 7 Y 2 F e Y F g P C 2 3 m Q D A F L J m J Y D L B u a t N K h q X y M + q P g z 6 m A G h 3 e y V y O P q s R z i H 8 n 3 O G k 8 H H 5 e y O f m T C n c 1 i Z 4 v L U n 7 V + W G m q h j d t Y 4 K X S z y F I p v a g u y E y / e t v S g P V I B N h s z r B 5 d S V I J l + 8 y d 2 V 4 X Z G 1 m M Z + D 0 0 C z e + b k T Y p K l M R 0 t 1 V + Y S V 5 U E a b B W W N Z g A X N z S E 0 u / r 0 1 y V 4 X S 3 I P 2 l R Z C J m E o O q s s 9 w 2 K n Z 9 4 J M q p z g t Q i f z E U w M F M + e U u L 1 s K 5 v Q q t S P D c E 8 n R F 4 1 M K 4 V 8 L g t r z q b I R M R t U 5 g t X M F 0 / r y Q 6 A l c i x 2 S + 6 q 3 Y F H u W q w S L n v p D e 1 A w N I N t 6 U Z W V R n 1 x h 4 W W o o 4 j P f e h q s T k M J Y e T 6 G b C K C G V N c y 5 f N 4 O E U p E 8 v m 3 i 1 e Z V Q X z i p 0 q Z 1 c R Y t I j 3 / l X t d S 0 M E O R M S + e p 1 o 3 B y r 1 y 0 5 n y 6 2 G e 2 l L Q 7 P H g D 9 + e w 9 q O / a I N t A v l E g v O m x S t O V j y L v S E t o p J 4 x c i Z z C a O C n X Q 3 O x i H 7 P X b A 6 S z f H 0 P 9 o Z B Q j c 2 3 Y 3 6 9 J 8 k P H H k H X 2 u o l 8 J w / a / b 2 V k z Y l j C X b E f Q P Y N 0 1 g u P M y r S Q v t N X Y j j 2 s Q + 3 N Z d O 3 x 9 I 1 B L Q 8 0 k H W L W F e C z a 9 e x m I b K Z d J y a K Y b v 8 u K v M O x 0 l q u W j A i u Y b w 7 P X t F / 8 J G E 6 X / m 5 t s H Y B 0 M X F + U u E 1 q B m 6 t B v I b G M H D p C W 8 F r w a + 9 Y S t + 7 h X r V b r P L 7 x y Q y k s L n d l 9 q e 8 8 n k l S M p 6 M B I w 1 W C S w y A T U W s h I L P S W W K Y 8 1 Q L w f h e L F 3 E b / + z U / e p N H m 2 O n C r 3 B E 7 U n 7 P m h U n W M t k Z q V V r i T l O p y u q / u R n y k f 0 C S k 1 Z r H 5 u 7 S m i a v z 6 s W / V W C 2 S a 1 y D Q Z X a 3 q P T R 7 p + F 2 i F F n y 4 i w 8 s r N U l u J n 8 g o o x z N 3 p U r A b A Q W H m p H l o 8 W X j r z E k 1 A l a S 7 f R s k 7 Y u D X 0 m 0 6 7 y 7 V G m H c F 6 f 7 3 + U u S O f q v T V T K h i V q 7 k B A v W 0 I 9 e P e t + N + / / j r 9 l f R n M a 2 I l Z d H g v l + n / r m W f z 9 I 5 f U k v k T A + U O t Z H n R 2 z Q I 4 F m v O f z 5 T v 0 m b E Q M d 7 z K m 0 f X c L I C t A O L c W F k 7 7 1 Q E 1 m R I 4 S q T w e / O w Z z M 1 p I X R q 4 V 5 W S m V U z 5 J H u h j B k E m S J r 4 X R 2 6 t k F k v P 0 e N N Z 2 8 g q n E Z Y z O t h i 8 V I I n b + O 2 m X b R 4 g u b o 1 e n 9 6 l Q c n d w H G v 8 v e g S s y h o 7 0 A s 1 S z + Q r V Z E 3 B P Y S Z X W g 5 + I 5 C V + 6 J m X g g 5 f R f B R L Z a U C 4 E B n J 4 T K c v S X N p g p F 9 z Q x z T t S P x k + q b X L Y d t T m 1 E I 8 C q k i B q K l + c 0 m V 7 / a H K I W X r a E I g 5 f S O M f / r N G K i N b W g t Z l + O X P n c I 9 3 J P 3 g o U p S G I n 7 2 z d t i 0 H k r 7 T F G L l W u y p 8 5 z E 6 / 6 W R L U G G b p V w l G j k g s n o N K 9 + f + 5 q J o K m r W o j J v v b Y 2 4 Z M W P S y w F q E O z 9 0 e B A I + W B 1 F P D O Q x r M D c T x 6 K I v n L + Q x N G H B o R f 8 q v b d t e l L a G n 2 4 M x I F 7 J i L t Z D p 3 M z b u / R s h u 4 0 N C q l + p y F F 2 i D d n G R Y S T n f L / + p p 8 p T G W P o + p 7 B V M Z C 7 J 8 x e U Z q g F h 7 5 / l d e R x 7 O D X I 2 g X j Y M c / 9 R M I 3 E T 2 A 8 c V p p p m R u R q 2 z M s B g x V j + R J m F x M 3 0 6 u F l T S j i y M W 0 k r R K o h R F 4 u r S q R J / / q 9 n 8 f 4 H t N Q S A 2 6 / H f 9 8 v 1 4 x q Q I L L V + g 6 V V P 0 x y / z I R d d m L 9 X m R U b b F h m N d / n 1 r t J z 9 9 G t G I Z u Z 0 B j a J x t g q v + C A Q x / k 3 G o z P Z R S m z s z a L K u Y x j X L o / g 4 H 4 r t m + y Y 3 V X Q c y + I o 5 d X o W T Z 6 3 w C h / 7 W 8 7 g y m T 1 h O 5 0 t E 9 p J b P J 6 7 B 7 4 B C T x u U L w C K / 6 W G 2 t T 2 F o G d U r k 6 7 z 8 H Z b U J Q 5 / z r G 4 E u 1 y Z 0 y s F A D 9 O E r D X 2 b q r E n j 4 u o d G y 4 7 l J W 2 U A x u 5 0 K d / J f N Q T e F e j W u W n g L M H y b i x F o v z T u U + 8 0 L X 9 b I n F P H B 1 x + E 0 8 7 g h G Y w G R O + l f j c Q y + g y e 9 U W 4 g y E v j P H 9 o F 1 w 4 X M u e r J f V i x S T r E Y 4 L 1 H 7 j z T v 0 V 7 X B D l h s 2 F E b G S C p f u a v z i O l z 1 N x 7 6 V i 3 i b + g p Z i x Y l b 9 w Z t c + f M 6 Q x C V / u x u S c D Z y o I l w z + v t Z p 7 F k / h R 2 9 V 3 B g Z x 5 B d 4 c K k 9 / Z G 8 V U R F v f Y 0 Q j v e 6 F J 7 v p K 7 h 8 f t F S d 8 N J 3 5 O L 9 M S n 6 m s 5 C Y c z g p S l 8 X V Z y w E r 2 z X b G 8 / C M M Y C s 0 G Y h G z 0 a z a j t W U t d H r L N z 4 w 0 G L f i D b r F m S T K b g 8 W l C H L k a j l W 1 j / x 7 7 4 S A U w Q R V m g C G X O U M e S 3 M x T L 4 t S 8 c w V + / v 1 R o 3 7 n J i f g P K p M 3 L V X S z A A n W k u B i G p q j M 7 U D 5 s a W M j s I y o X 7 / E 3 3 / 7 p U 0 g m e e 4 i 1 r Q c m F 8 k F 3 u o l B 3 h 3 O 6 E Y 6 u Q r c e L d C G u d j r n 3 q 8 8 e p o 2 o z u 0 S Q h Z i n z t a C e R L P J 7 e q T L v n g Z N F 4 L 4 b L q x V p Y l 8 E m D b 6 Y 2 l 0 h m I X N Y q i 1 + K + Q z y 2 r H P V M 7 g K m C 1 q t w H Q y j l S i e v U u U S s g E f t + D P 5 X + 1 + + Y f N a G B g f U L X 3 X K K t u E E y N x 7 g c o T R 2 Y S Y M u V a K O h x 4 O / e X 1 5 N J y 3 S 3 S U D k g P 2 X Z 9 / H u F E f V + I G o q 2 d l v Q D a 6 b m o l p E c R m b w A / d f d a t S F 3 V 6 g 8 8 m P e t N n Y Y 6 o e L G I 2 W L l 1 Y g X e c t t q 9 H i i 8 P u l c 2 R g p 5 8 V a b l H 8 6 n M G J g 4 g x w C W D 3 e B e e O 2 g M w r Z s t M y k 7 Z m U Q e N 1 h 5 R d t a S o V 1 i e o k c x s 0 f m k 9 k W a T l 5 U / g M 3 b z b Q b S s t R 1 k 6 O N w a Y + Z K T O z W Q j I W F r + o Y o d 4 c S W c l p D a C v R a 9 D B 6 X H u Q y S Y x X v k 9 Q W X I P P 2 C 9 N F m r Y 9 + q A j F b v j L b 2 k p 9 p y C y u Z Z T 4 3 1 H o o 1 J d X O N c 1 q Q 4 F 5 U O m I r 8 E B U i u 4 U Q l G F d W q Y f X L X C 9 T h L m I v 2 F u t I f c m A y n 5 q / B b J L m U Z t Y K i J Y J 5 p I w / Z f P n y 7 S N o 0 0 s f S 8 B y o L g J D Q r n d D n T 5 N q p d S S y u 6 k G a F S l b d i 1 F 6 k 3 5 r u m r 9 J s q Y f 7 c Q M S 0 C M + Z 0 a J w b k V E I B W v L c m v F 4 0 Q y u X 1 q T V X S w E j f a N 5 F v C p G P q c H u D c m 7 g W D F B w m q N W B g V r C B r b I M U f i 8 N 3 T 2 n O b 2 l X 8 h K D t / 9 b b 9 k L p 8 M m g 5 H m S 1 F l g 9 c i E 3 F h p G L D a f l a M c k B t T i Z D B S K T q S z T u W c 0 g 8 h y S r B B Y i K c z V A n 4 B O r P n Q J o r r y z F + / q Z P H E I 6 U 4 B r Z + 3 B x K R e R R a 5 l e z Z 2 p r W o f s B B m w y U B Y j U z 2 w c p J x O G U Q c 9 0 U T 1 Y r T W s l w d 8 y H 1 b 6 0 v L b x u u F y M S l G f X g t P j g k M P A m s B B d D E b X d p I T T k I m f K J 6 r / n Z w a Z s p c z Z W Q i f q g I R U T T L r z 3 f k 6 C q v 5 c E M w U / 9 h P l 5 s n K o m W 2 + J w P B t H j a 0 w D R / K Z s 3 B 7 W S o W 4 g k v 2 f 2 j U h k H p f H 4 / P O s H b C E h g x p H l n P k h M V a K s B v i 7 / C 2 a m + / 4 1 A n Y v e 6 a A y O c a h L z T f N x n L u c V X t n G a h H m q W Q i Z n r j K J d n T m q 1 g L x n l k / j + 8 P z p 5 A o r B 4 z Y z l w m h j 4 3 C 6 3 X J 4 5 l 8 v h F o m t Y E u z 3 a 0 O z a h S 8 x X H v S X J v L a l j u 9 9 g P I j e W E W x Y 0 T a 5 F y 4 m t a q k 8 Y Q Q o s l e z y P V V C 9 c f O k I R j F j / / k 8 f X J R Q x G e + X b 3 3 q s U p f 8 h 2 U a y U o 6 I V t N Q j L U p E j W J k T p B M C 2 d D C B 3 0 B Z I L g W Z M v b A 7 f 4 M a y g b x 9 e R n 3 / g n T 4 u f y K U s 5 a Q K e a O i o f V A i 9 x D / n J 9 a U w f y U K / U z + W Q i b C y L p m E I f 7 0 R r L O 3 L W C C x i c r c E S 7 X y b g S S R x L I D m Z R T B c x N x p G 9 P t h Z K / V 9 3 / n k v p y G / G D K Q h 4 D M 4 d V 4 m y B P 0 u F g E q 6 K u + P d I e B S F P R 3 4 t O i / u g 8 0 j W q j L D q v P i q b 1 P Z j Z f R a 2 I 6 U 2 U 0 k G V + k 2 V A / A H 0 p C E e P h P D 7 w + j v w w d d t U R E z V o X V U F Q S v q h L E u 5 D R b P w H Q f X q N f z E D + e H a T A 5 Q + m X e Y 5 n L U 0 I W o R e W W V g W h q K o N s l W i E T P O o Q a h i t o B 8 K i d 3 I P d Q T C L n Y H Z I C v / x z 5 8 U U j M I U x p E L q c N z 1 2 k l t I G j 3 2 T H c V E v d 8 X X 1 M 0 i n E s B E 5 q X p t 9 V g Z g t T M O 0 d a V a P b U z h h Y K W S e T y k f 0 t E n f S B + Y s 6 d x t T + 5 z A U P K R 2 r c + N C t H 0 5 T c G u I F 2 O D U m G v W 4 0 m K t / l 5 p b g v S i V K k l + Q y C u l w z i l 5 1 C J E 8 8 O 7 p y L Q J P 2 + O n A b 5 n a d R 9 O p j V g 1 d R t y p 4 r w 3 u 2 C u 8 a u l D + 0 h D L A L X C 4 l I M T n p p / Q w L Y V S q J M S P O K N 0 j p 8 b B R Y s G 6 H + w g 4 p G Z j Z 3 T x B S q R x A N S 7 5 X e 3 7 P L 9 Z M 9 W S T E Q j Z o g B 6 d 9 5 U F v l s h n k x C E u O G t J X g t + 4 r 8 9 K e d 2 I C v f I 9 y O I D a t j m I s X E r T o X + 4 J H D C + F w K + e k S U S i 1 q Z F Z 7 5 C k m j B t H c P a e 5 X g T n 4 3 C s V z 0 p 4 i K M y I W i 9 o T 6 T 9 x j Y e h a 1 b T G q b F S k h F z E R 1 T 6 f i W u h b W 6 A H X R 1 Y 3 W z V m e R A Q k V 6 B D / k q Y j t V P q C Q t a 7 / F o O 2 j U 6 F u a 6 K w P G N 5 x E c 5 1 T q S 2 T G I w f g T Z S + V E J n 7 o C f X f v 3 l S D X B K E m o U 5 X / o 5 p G W L S x m m K j + 4 d k 5 b O 3 z 4 T 2 v K W 1 U r E j l 1 n 0 q Q j S V y g F k m 8 o p 6 v k l x i S p G W Y h a R D L O G q a B o b P J T 9 B j V d c L O F T z v G G T z y u b Y + q k 8 r r z o u U L R H Q 2 m p F 9 t w i 5 x E U Z s R 0 e 0 q k t Q g Y r v C 1 t d q R u Z h G + n Q K T a k + + K 0 t s K U d s I + 5 Y T / S g s D 5 b n U 0 n V 0 H S 8 X S G i 5 c r G e + L h f 5 Y 3 K N s 3 L L W 0 S L 6 B W R C M 4 v d d v K t 9 E Z U A s D H 0 d 8 2 x g K s b x K J j b g d v i Q V W l d G o y q t J V w 7 y v I e Y 7 K f V Q T x A B r 9 r F E d T w 7 h S Z n n 8 h f D 2 z r D O F b w g 9 V 2 L w e t v f Z 8 e l v P o c z Q y X n m G a T Y Q Z y o t B I x e f G A N t 6 2 / G o v i P i v E Y R y c y v V I a f q b H M i b a 1 Y J Q 4 W w j m 8 P X 8 b 8 p b q u Z g D V O q H q g p P / f u X e g M W p D M R J X j 7 P e V z y t x Y F m c V h m U e a S F K J y X L Y q W t g Z F 1 3 Y K U X q M e S v x S T J D C D p 6 9 O k B D Z X r p A y E L J u Q y 8 X g O R z A 1 D 0 i y L L i 6 c 0 F 4 B l v g 3 9 f + T U 0 g q G E V h + P 0 b Z O z 0 Z k T m R h X 2 9 D 0 a M J B Y b N I Y L H 4 x H z W 7 Q J t Q t h r q t n R m / i N t i 6 b B i O a O Z q p 2 u L i g J y k j e b S i K f 0 9 p Z + Z T y L 5 d P Y S r u Q W d A C D V 7 V J m G j G I u B d k L e T g 2 l t r u R 4 J Q B r i G y g B X n n K L m n t u 6 c E 3 j 4 4 g Y y q o w s n a / e u 6 8 P 3 n y m s t 1 C W P t J D S Y v x I p D E H q x m N E K o M J K 8 o F o t b O r W o 7 Q j S K I z o 4 F / 8 7 F Y x 8 a b Q 0 9 N V t g I 4 O 5 C D Y 0 2 5 m V Q P X P K t b k 7 Q 5 d 2 u d l J P Z p m a V M B 4 9 L I 8 m o Q L S 6 0 x W 0 L Q c m g b Z m 4 v F Z R Z F d g L J 3 z I j W e R e U F I I P f l 2 S k m F N 2 R O u Y x w W A B 0 X H u F h R X C Z n a y q N y i 8 1 D M X N m P F / a k Z 5 1 3 P N D B W Q i Y v 5 5 L L A H 7 S i 4 N Q 1 O Y h l B C R e 3 S 8 1 b E H s i C q u Y s d a g D d N N V + A d a 4 H H H Y R n b 2 1 N V g s F c R m s Y u U Y q D F 6 f j j B c k 4 c H H a 9 2 M l 9 2 / t V c c r / e / i y k C k l E t i l q s o S U 5 G U v K e Z T W Z w g N e E v E 3 N R R t b k Y n m Y L q g / C / l g 5 k C G o u h I K Q t W u U 8 + m 8 x N 5 A b i V U m Y N Y H / 8 6 C X / 3 i W X R 2 r 4 Z D L y B p I D d e f V / 1 0 B v Y B 7 + z X T 2 f 0 F e t z m a u Y Z z P 7 S K A m M d n F a f f I j e s k 4 m g V j R j L H Z a j S R 7 t w P e V / j g v d 0 r Z L I g O 5 R D 4 u m E S u 6 t R H 4 u h 5 a T a 2 H N 2 T G x 5 Q z i r U v P E W Q E V u 1 m S D N U / 4 l Y 2 w S s / f J Z h 5 j 6 Q q a C y M z C c Q v y Z + V 1 X K w W 8 Z e y Y 1 l l h g f u D c I i W j u 5 N o N s U x z h L Y O K T I V Y A b H H 4 u r a K 4 / k 8 a Q K h q S e T S r h U R k I + p H R U L t W 2 / D e z 2 m V e t Z 1 B T E y E 0 c 0 V X s G / 1 P v P o i L o x G 1 a T U n b O d 7 g 4 O V Q m w B M W M 2 3 Q x Q Q 6 k A H 4 n G J / I f L a g C J 5 3 l N X 0 x / l l e y F h j r e M 8 t K B K f d B M M W d q / M 0 H 7 k C L K 1 l W P S n x c B z e + 8 o n G x c C g w 7 0 C w g O T r l S t U U o d 8 a v B 1 v S h b w n j a s T t 6 K / Q 6 s N v 8 q 3 G 0 5 T D m E l S K r U s y L Y R J A 4 N 7 n U 1 I W h o e j 3 c B P q I H d T F w G h o n H S h t w w v J D P L 5 p 6 l M k m h F N 5 t b F 0 p 3 u D a J 3 F h Z P q L l H C N n 1 v A N 4 3 4 f X p + Y t L B b t d 7 v F H R k O d v J a f b 5 T L Y x H x L z S J W q s w 5 a / 9 7 R P 4 2 j O D Q o K C D A h G B 1 P 6 k R T T r k Q Y r 8 t e d b B 0 l E d Y Y X 5 v H j K u q c U K d o v y x 5 j a p 8 w 5 + Y 8 N 7 a x R F L 9 R 0 H c i m Z R W z M o 1 y q k + + O m n M T J d v t H y I r u 1 V K F y s 2 4 G d 1 b 5 F 8 7 V I 5 m c Y f 8 8 m Y i p p D Y p W g / M m P f s 9 8 C 1 3 a 3 N A 5 r Q 1 7 Q L z b 5 V i k w E 0 4 l o l v G R Y X 6 b 3 a G I Y x y V G I 4 8 r / x k V U D H R C a a e e p v 9 B Q p g p q J 5 2 M / p k y 1 Q 3 j f k x k 9 g r g c y C 2 x + t S P D K E I B m k M D U J p r u 3 J W n s Q j 4 e 1 A M Z F 0 w 4 b x P 7 t T W I X 0 y k u I p E W k 6 X i y O e 5 z a V I 2 2 x e / A 0 m 0 M p v m n 5 C v g J R W E I s 7 b X F b l W R R F U 8 h g w T 0 B 8 z E 9 e A 4 R / x W 9 Q C j q J H 3 Q M P o 6 v U u R z 8 A f k t I b D X v U 4 V f S F y o z l 4 7 m h c O x H m p Q m M l h m g t j L K D 7 d 6 y n e 6 c I 0 3 I x M q 1 / 7 p Q l i b 8 N U L R T Y C L r l Y r A g n h Z 5 R D 9 F A J a l 4 j q G 5 U + g K l q + H 4 1 o o B S G R Q U Y G J B x u M b N F 6 0 2 1 e V X Y n A c X E W q l F U q o K F n S E H 6 k C E X / d z 6 C p s N a I 8 R t o F S G u Y R D 5 8 d h E 0 f V 0 F i V Z l g p B C 5 a q M a a K S o s l j I z y F M J R h + L d h 4 l 8 p e g C Q E 7 f S q f 3 M c C 5 q G B d / / 1 S R k c 2 g C z d 5 u 0 Z Y O o j G q N J c Q f 0 t H m 0 a Y Y p p M l L d h 8 b A v S n a a E 4 x q 4 Z t o + t V E Y E b h K F K V N + K 8 S J I f T U 5 q E J a m c d q + W 3 6 f 3 k T l k X g n 6 S V 6 H i U D y 1 G E r 9 0 e P X V t 6 e / 5 I E a p e s K x Q x 6 a 2 q n B 1 9 R 9 9 + l d v h S 1 d I m I 5 s U r f r w w k z G t H U 9 S n E p W D g 3 9 T y y 9 b C v 7 x y V G l O Z e D V k + p G h T v J 5 m d r Z s J 0 n p 4 O 2 b 3 L b y 7 C c 1 u Z q 5 Q W / E w L y d f C E X x l S o z H g i H 0 6 l I U g v W i i 2 D C A p U m 0 P r O 4 f + W B P C n e 6 g q e 8 L D n T 4 t V J j B n b 0 V A v M x f A j F T a n U m A 9 d C M F S F t t W X u w M l t b b Z V T B 8 y O Y E 4 f N Y o G B g S 4 B H x h G V Q Q 7 W R d p D b g Q g S q 1 L C N g B P Z X / m V n W q + Z j n g x D e J T j J c j T y N g K s D s c y E F k E T k B h t T + 3 A 1 B 2 i v Z b p B z J D e 6 n 7 L j F s z r 5 0 u + s H J a o g U t V Y T s L U I p s Q s l a Z 6 9 Q p 8 Q O 3 c X m 7 9 v r K z B E V v V y j d j d Z P n 6 k C E W s 6 3 D g 2 h T z 4 d i 2 X K 5 g w d Z e C z 7 0 h U f V D o h D 0 x k 0 B z g p m k M k k V F S m Q 6 t o Y E 0 v w u q 6 M s j R 0 b V v J S S u r r U 5 n m Z 5 s R c Q a O C r E G y Y l Z + z 8 G B y f f q g 9 d V b + 5 p O Y Q i 6 b m H c L c 3 D l d F u a u l g u Q x r F r 6 T k F n D 0 b P n E N q V W V Y m 9 e 5 P M 3 K j I N 6 V Y P M a G Q 9 V C V Y w S i e m V L z a S H b a t i L L k S t I 2 j 3 l v w r T q a n H 0 7 D + 0 o t W E E / c j p 5 V b 5 T 8 h U p Z K 7 O H s f a i t r l i + F H j l C N g u u p P v 2 t k j b T h i W J w N F U V D s l c n F i P i 9 S k v M w D c C e 0 y J Y q g a 6 G m w l + 9 + 8 r H s h Q h H L I R V x 1 5 Y O v O 8 V A Y T 8 1 T X 5 G o U q u M n 4 v w 5 q q W u T J 5 B 3 i N S / j i h l J Q z t t x C W Q q i U E G k 0 V l 2 4 t M u 2 c 3 5 1 L n + T A o M d 3 Z x c h 1 k v J 6 8 5 F t x q t 4 1 K K K 0 l 0 m V N c + N a a 3 k 9 9 y M A W n v v f 9 3 t + J l 7 j E 2 K S 4 O f z 4 2 V v j Y x t m 0 p l 4 y l + k 1 l S H Q m t 1 L T U e I x L 4 x B C x b G 5 G t m b h g o B T Z K I I m M Y 7 l 4 4 u w 4 x p M h j M x M V f l B C + W p m b E m e K f + r I R 8 1 Y Z 0 i 4 M C x G n x o 9 m 6 T g 1 q t q M Z h o + V q g j b L w Z + v / J v Z l P X y s h E i 6 H Z v V o 9 r 1 r q L n C E / Z j z a q W w a a H 0 + m v X f W f R F x K a x L o y U 2 s v 5 m r 8 2 B L K Q F t T d T 0 / 7 p G 7 b 5 1 e y 0 8 G v 1 X M P u 4 V Z M 9 W + y h B L 8 0 / 7 b k 9 K / Z 6 R W i O + w c R 2 l d K E t 5 M o O s h k Q E S 5 s 2 3 r c a 6 5 h x 6 W t r k H s q l u l H y e a k o c M 6 L m q l a B i w I L q x s t W 6 A 2 x J U A 7 z D t k 3 V o u D R Y i s F Q k b j p + b J x Y 3 d F g O / b / y N g a B p d 0 G W f + P u g 0 F n 7 d p 5 1 F I t 1 z Y J i f a r h N f + w B 3 q + m q B Q q H N q y 3 7 C X q 0 j J L F 8 G N P K B Z 6 + b 0 H D 2 L X m m b R L i l 8 7 K d 3 i X Q v 4 N j l y X l N Q 9 C E Y / o R s 4 w d F r e Y d 0 K w t A s f e P U O 9 V x p M b e Q I 8 3 l 0 5 w 3 K o 1 A P j P W V p l B L a J p k h L R C B q f 6 r d 1 H 8 V h s y 5 4 3 L G 5 D X / 3 n 7 b i H b s 5 Y V m u C Z Y D D r r + 4 B 3 q Y O Y H 6 6 1 X X u P 1 w A U / O m 3 b h X I u N D n 6 R Y P t U u + b l 4 q Q M L G M V v q Z f Z A Q n 4 i 7 g 5 g R y W i 5 m E Z J A 0 4 3 9 A V v U 8 / N 7 e 9 1 t K I 3 c G B + u x 5 O L l P g c E n G Y g i 4 2 9 H k 7 R R / s r R r 5 k L 4 k f O h G L X p C i U w M u d V R e U 7 A j k M z j j R 0 5 T G F 3 5 w B r 9 w 3 0 5 8 7 + Q l 7 F i z C Z 0 h O 8 b D J X P G L f 7 P + n Y b P v z 3 h / D J d x 3 A 4 H Q O f / q 1 Y 0 i n c m o W v B Y Y v H j 0 + X F 8 / J 1 7 0 d n k x h c f v a z K j F 2 4 F l F p N p / 4 + b 1 Y 3 1 l 7 6 5 N G c H U q i g / + V e 3 s b w 1 F f P 0 3 7 0 Y 6 O q H q P L B g 5 f X C b J H m Y z m M F I 9 X m Z C L w S 6 C p 9 1 a P t G 6 M I p 6 4 Z Q S s h k K t C K c t T Z 9 0 t H p 3 a a 2 8 1 k M h k a j s F B F b U x r 4 1 Y S P 9 J B i e n w E L 7 4 2 A V 8 9 r 2 v w Y U x M Y W a r R i Z 5 a 7 h j T c m v / m X 3 x B H 3 U S o n l Y v H r x r D f a v b 8 W D n 3 w Y d 2 7 u x q H z W h R M a T J R / A U I C Z N i A K j l I I w 2 y n P 9 F E v Z U 4 o w M i h q 4 Z 3 3 r s M D G w p w O p 0 q C 2 D + R 6 4 D B q H m E n k E 5 D J H i s d e l o T q D e w X s 0 z M 7 B p F d 6 5 F D q t 2 p r X A 7 1 0 v o U b j J 8 R E X L x 8 2 o + 0 y d c a 6 s W H 3 n g f z o + y Y 4 D h G Q Y K l t a Q l D a / / 0 5 x T k 0 Z 5 Z / / x R 2 4 d 5 M H P l s C 3 / y v t + P p 8 2 K a G B / L + R n l 4 z w W 0 4 1 U / U C k 1 Z J 2 h m K Z m c 5 B Q F t f D E T 9 j 6 p B k 2 Q h I h l 4 6 t y k + g 0 N 1 0 8 m M 5 4 d 1 C Z G W T a L A 9 G M Z H r 5 k c T a o B h a W m Y C k 3 p r k Y k w C n s y S M T n 1 G T G P U S O z O H K 7 G F l V j e C 4 d h x p B Z I F j b j x 9 6 H a g T f P T G K I j W U k O a T 7 9 y H Q r q U l c B s 6 K / 9 5 j 7 k 9 W R c R v D K Q + Q l T a R S l b j M m s / T L I F W v / q R o R E W I 1 X A r Q 0 o o 9 j / S u K + z V y o a J C 0 i I C 9 V w a M d m 8 e 1 8 L R u X w x h U h h u O 5 i w J W A 1 7 a 4 q U d Q y 5 n N w s j q A W m w H O b m 4 p i Z D V c d 3 K P Y j E w h 3 j D Z b x K q A e z d s B 6 f e d / d + P B b 7 s S V O Z H a w p H 0 O W 3 A U 8 o N T h 3 D w 3 / 8 O l U N Z 1 5 T C T I 5 c Y 3 N 0 T U h m z b b J Q 2 v E 4 G L G m 1 Z G a T z G o 7 a y Q l b x q 5 2 D + H 6 K f M 5 K z E y y y X / c o 6 F 0 m y u A 9 z c L Z + j t L f A 7 f D D Z + 9 E k 8 O Y a i j h 4 s i 9 m I n 2 6 6 9 4 y U X E i z e 2 D v p E j Z 0 H 4 9 l J R P V g h Y H B a C n k n T i a Q E f n B v Q s Y L 5 F Y 9 X l q s 1 B D m p G T i D X w k 1 C N Q D O / Z 4 b z i G R Y f Q N + P c r Y o 5 t d i K T i S P 9 c E b V I X / + 2 n f h d 9 t R M C V 5 O v R d 9 g h 2 C M m X L 2 h b 2 R h g J o b V Z Q M 3 w K Y 2 4 i O N H 6 u c i 4 s Q G b J X f S m 8 U o s T x f 6 n + a k e 5 b h v W x d s p z 3 I T z A X T m M e J T I T d H O D W V W 8 J P 5 w T D 4 X s 3 d + E r s + u O e U Y Q p l h o R I 8 r v U p A S l f J O n G 5 5 C d Z C l t + 0 E W g J X k c v f G G L X g j L n d E 1 O H 4 n + K 3 M H U 7 k o Q j U y M e L f i 2 F 6 / Q V V + 9 1 l b z w r n x u y 5 Z H F Q P Q p V U m W R B 6 J 1 9 7 9 8 i a h l g H 6 Y / 9 + z o U n B 5 p g 2 6 5 J r v 7 2 O x F N Z m B 1 i G Z J a 2 a e M b / B R / p N L E f G J m d 9 C 8 P G p y S v B D V O 1 f t y K p K L 0 U a 1 c p g m q F g h b 7 t j F d L b s o i 5 k s h l c 6 p o y d X I k 7 i a e Q p D w c O I b h + E 7 z 4 / b B 1 C U N G Q h W h e r T Z N H o q r j O t K N L l W y f d s m J k J I z c g x D K N k E w 8 g V w i g + N C 3 k T a X E N C t J d T W w b D 3 Q / N u L 4 6 6 I v j m m g f I + A w l b w 4 n 0 L W 4 l 4 j / l W J 3 I V o A d m 7 o u h r L i / y s h i 4 X o x 7 8 R I 9 r v 1 y p w u b f j c J t Q D u 2 + b F n Z v q h 6 F Z W / 1 q 3 o / U T B q f e W h A E Y f z W a + 7 v U / M I 9 E 6 j q x o q a z 4 O T 5 4 X U 6 1 t I P b l 3 q Z Q W 3 T J l 6 p u R I Z 7 S D R X H Y r P E 4 7 3 H a b e s 6 D 5 + J 7 5 o P n + a X 7 N y M 8 N a y I o s 5 V 1 E x K 8 7 8 y e 1 G + Z g 3 Y 4 N 7 j g e d 2 H 6 x + 6 X 7 5 O D e V R e K x O P J C t v z F I p K P J u A + L R c r m p D v F 3 Q B M Z U Q o e D 2 4 8 5 1 T e j 0 m y V 8 p V B g z X m / m s x 9 M W H M W x k b N f Q H b 1 N 9 w i N 5 K C F X y f v Q 2 q p R j C W 0 m h X c I C A q A o X n W h O 4 E 6 x f U Q s / t r l 8 j c I n T v k n / + V p v O + B 2 / V 3 q u G 3 F P H H D K 3 r f c X M B w Y j O K A N T c R o V C l U X m p y 7 m O V z r i Q 0 8 t z e Z z y G U 0 2 q k E D J E J F p o N H l N 3 f v 3 8 7 4 j G R y D q h / H 4 P h h K H 1 X M D f l c H 2 t 2 N h a 9 V O J k a U E 7 H 3 e W 9 h a b 5 x X z x J 6 L w H S x f 2 M d 7 4 + 4 c N B G 5 U 0 c l O H m 7 l M j d e P 6 0 D P m S y d z I P F Q 9 m K O S R t I y 2 9 9 c v o 0 B i F r g / T c 3 h d Q e U 5 x Q 5 n 2 G C 9 f 0 T z V y 1 c O P p Y b y i 2 + i j 8 F F E R e / i W S a j 0 z X Q E w 0 w / / 7 B m 2 G 3 o D a T F p I Z B S W 5 3 N 1 y D 9 K O W M p C M P 4 F m s K L n 2 x W 1 I 0 V S o n 3 z K n I 8 l H l U s + t v Q 2 a a Q z 3 U i q U B 1 5 S 6 c y S K f L z b B 6 i M Y m 9 G c k t l Z b w d i X t t Z s A 8 3 Y D u 8 t c F p L I X R u A G d g q W H w l Y S m j X S I y 5 r O J R B O N j a X Z s g y L v 9 w w g + P p W W + B r p W B 7 1 y r z E N 3 z n r k H v + M U Q s V c S u / s a X B B C L + f M z V j u + 9 b u v n S c C p T 0 x b 4 5 J U 6 v 6 F v O v b d L p p Z O a 5 x m N d y t z / E g q Q 8 s d v 8 w 0 m v K L S u W X l m h a C V + u D R O x C 2 D V W I 8 9 W L b U 3 L 5 L f K i J F H L p t K o L b k a L Z 7 V 8 v 0 n u y Y I e / 2 6 l H c w a 4 u K s F 4 d H Q h i J l d r c f O 7 F w c Y x j n L U 2 0 n F P B F t 8 V p w a S w N v z 5 l 0 S i 4 j s p e U V V q I d y / l f O P P 6 Y 4 M d C Y t F o K H j o R x + Z W b a D I 0 F O P p U G g R f n 4 i k R i 3 i D R L a Y F t R X h p b n H R 9 P S 7 E p S G S W 8 y M v K 3 S V c t m V W 7 N F R n K A v N 6 d K M I 9 F t Z 3 8 z M i c y 6 m S 0 X O p I U S S m j Y z N G e X b w f W h A 6 q 5 5 X Y 0 J z A b T 1 h I V t 5 m 5 N U 5 s x 7 p z U g x G x G t 6 8 U O H D Y P E L O g / M H i 3 K a U a s M A W G s a y M Y H e 3 v Y N 2 L 2 q H u h T C a K s / e W A w / t o R q B J 3 m J d I N 4 i M / v V c 9 u k R j G W D n s o o t g w 6 V Z 9 z c 6 x O S a d 3 A w W m Q y g y S i g c H n 5 E V I V 4 B p m S g s H B M l h V W B b l s a X D Z E V S H p W L Z R D 3 k x F / I m y r Y J j O a f 8 F B b 3 P Y 1 a N 9 r / i E x 0 W T F V v h z C 8 9 Z 7 D W J K + q 4 i r 3 x b v u 8 t 8 i x N w O t z 2 k s j O 4 t C K b T 8 5 H 8 Y h W 0 y L A R p G 9 l B F f u F n 8 y T b 9 n S W g w n d d D D c J t Q C m Y h Y 0 + 2 u b F P V w 9 I o M b h k d K S G P A W o m z b w T M o i B b s 5 + 6 A j K c x O H K n 0 l M 8 z S n O b V L / 2 P 5 / G B L 1 1 B p q B N R O Z y 4 n Q L g X h 4 C 9 3 w F 9 b A W + x W P 7 s g 6 D R E r M i 4 o / I b p S E R T W t a y O 5 0 I 5 / N K l L 5 7 g n A 4 X L P m 2 y V G r Q W W B J M f T / n K i u s Y o C k 8 s j n r A Q 7 E n t W Z Y U z 9 a o v e E D 5 n U 5 b + Z w R z U m n t f F 5 p E K d T R T M 7 V k L m X x M h G B K V U Q y H y 5 P f X f h J q E W A G u G f P Z b z 6 A t 0 D i p l E O b Y q E S 4 3 V e S F L S H B w 0 z P V z 6 G Y e Q b + I A Q Z D E y 0 N F v h c 2 k S r o x h A s L B V H V a w X o I V z c 0 h u J y m y V a 5 r m I q j / S p F G K P R 5 C f z W M u H E X U l k C u K w a H + D u t J 9 b D N 9 i O e F z T U h x 4 R s 0 8 I v 1 M Y w V h W M a L R J o n q Y z f a / H D e h J v N a K Z U T E L 9 8 B r 1 9 K E q L l X B 2 / H K r + m 9 Q l O i j M n s s m t 7 U n l d 2 h r o f h d Y 5 N v I p Y t Z W n Y + u s R S n 8 i S G F y / m A j x W I J 1 S e 1 M B A t l f y u x E 1 C L Y K f u n e f m B 2 1 7 f S 6 8 F j h S 9 u 0 c m I F K 2 z 6 j h B c p 2 d N O 5 T G Y t N T + h K G O a d W n j O Y Y R x k Z Q 2 F p c L x Q l L W 6 v 7 l 1 2 1 W J L a a w p A 2 m x V 2 u x h 8 I X 3 g y j m S j y W Q u Z x W I e S 8 X X y l 3 j S y 2 4 u I I D Y / c I r J E H J N a U z v v o R 4 3 y S S x T k M T B z D 1 b F n M T F 5 C c m p G F L T c V X i T K t d u D D s J i I P h l m f 4 V Y 1 f z M U f k 7 t 3 X R t r t w / a X J p q 2 w X w t X I I Q z K 4 X N 0 K H + q 3 b s R r e 5 1 S p v 1 + H f J + 5 p Z Z 9 5 m x 9 Y i W r E 8 j q L g 0 Y u / R I q X k C 7 O z h 8 M 0 / v 9 X s Q T 1 W X I Q s 7 e K o 1 p x s 1 5 q B u A z / z b Y R Q T O a 2 4 p Q 5 j B p / R P U v G B q t N / A Z 7 A f f c 0 o H H n 5 s G A 4 D 6 s F Y E Y Z o Q B T t X D 5 N T O 7 p D 6 J K B s b r D h 3 u 3 d e P y 5 c v o k w H h L D g Q W C 2 + E i N Y O q c K 8 Q K y Q p 7 8 p G j H U B F Z b r u y J B Q R L Q 7 I 7 4 q Z Z x M z z 9 Y C p 6 r 8 L z 8 h 5 G d F V 1 5 s 4 l g C 3 v 2 N F d a / M v O 0 3 I s b f U 1 7 E E m N i v 9 3 R d d c R X T 4 N o m P o 6 + Q N k G r e l S A 2 1 0 y k V n m j L U D u d r W b W 8 8 4 3 3 q T B Y t a 6 X d X f K b 2 s 8 q c C 4 q U r y I K 1 M 7 s a b t B D z o R M j b q c i W y 2 c w K B q 1 E p w a q J c L e J N Q N w h / 9 d A z 0 i H a s h F C 0 w L U L f S h Z F A 6 b N j e 1 4 y 3 3 N o j 2 s S C X H I W Q Z d o j l g E x V w e n p w X 9 q Q D 7 o 1 c 7 8 N g h G g d I S F L C A 8 N j y p T L s C t P c e E R T 1 y Z v G f c n F d D H s t S D N Q c Z 0 9 W 7 C F 4 b e V b 1 M z l x 9 F V 6 h U v y 7 + a B y + e 6 s l d j o f V 7 6 i o Y V V Y K F g w 6 r g b p H w X m W 2 D c w + I z K g g K B 7 F V r 1 p e Z m a I S q L i P G c y k f K 7 C 0 s m T c 9 v P k J W B X T 3 6 + 1 B s J R e H h t 6 x W Z i P B c m w k F D + L W 6 + I C H Q h Y 5 l V q W P U U E Z x 0 H Q h D l e F L 3 e T U D c A 2 X Q S b c E s t g p h x i 4 P o S B j 8 v L I E O Z E 4 r O u d q f 4 F l u a W u G 0 2 5 A V K R 0 V A v U E h E B i p t l k A E 4 k s 2 L O W B A X Q j J M 3 j y n + S 8 q + 1 z M z / P J i 1 i 1 u g c t T c 1 I n c g g u a Z + h d S F o A V K q N h K 5 q L b Q V N U f 1 E D E U y g w 1 8 e a e O O F J 6 9 5 c E G b g T Q E V g P r 6 N Z + S q x z A w m k 2 f Q 4 d 4 m P p / m I 2 V z K T H / T i l N t a a l u l B K v a p H J B R 9 J 5 p 7 y 0 H i 8 T i 8 B z U i x B N J p K S / m K F B 4 h A k l M t h x 1 y k P M z u d j v h N Q V V e O 3 Z f K q s 1 N h N Q t 0 g 7 O m J o M X P h F Q 9 3 G 3 2 g H X E s z k x H 5 g 1 o U l G A 4 9 d t O K e D b X N t I s X L g o R n X j h z A W 0 t 7 U i 1 N 4 E j 9 c j g 2 7 h d V O V Y B H P s P V 5 R a Y W y 2 4 E g 5 q / l Y 4 v v J D O 4 r J h J F L a G y r g 7 k C b t x + p 5 5 J w 7 9 I G 2 4 g M t L S Q x U C b f w 0 C r n Y M R Y + L m r C g N 6 R t z 8 n J 1 8 H Z 5 9 D q W y 1 a q r p Y z k K E 6 v L u h M e x v H m 3 m b g F T V b R U m 6 r I l R l J g k J x d S x V K r 8 / e Y m M a 1 N / R j P T m M i e l n 6 z y G m r G Y C 3 i T U D c R r t 5 Z 3 S K M Y i 1 g R 8 h R U v p 4 Z j B h O T 8 + g r a 1 d N F U O c + E I U s k U n n n 4 C N Z t W w 9 / y I 9 c Y A C O h f b M q Q A J Z U z I L k Y m Y j o 3 D J f F K 8 a R R b R r C k 3 e n v m l E N w t M d s f x m R C 3 3 k / R y J Y 0 N + 8 B 1 b T v B w J Y c 6 k y E d z y g T j x g p m 1 C P U S m B m O I + W H p s q E c Z y Z x 7 a z T p c T r u Y z N V R j B Y x s y s x M H N 0 X t N T U 9 n e / p 6 P f F S 9 u o k V x 9 o 2 M d l q a K b F k M s X R f L r L + Z R x O j o K D o 6 2 j W t J 1 r N I + Z H I B j A h l v W w + 1 1 I z 2 X x s k n L 6 D o Y Q l q 7 j d r h 1 U 0 4 E K g 3 9 D k X q 0 G b l 7 f u 3 c h e K 1 B O K 3 c E c S N 2 Y y Y s 4 W c M u E G Z o 6 h p W U V n E 4 f m l y 9 c l 4 H U l n N Z A p 5 O u d 9 K c J j Z 3 a I d o P M Z n d t c s v 9 i D e V E K 3 w b E o t K 7 G 1 2 O b n 5 I o j 2 t o u e 7 s d 8 c d i s D X b l H a p B a 4 J y 1 7 L I j / H K G i x q i y 2 u s / p P H L n h K x h + U 6 7 W A m F c u 2 Y r 1 F j v V I 7 G W j y 9 C C V n 1 X + c j g 1 e l N D 3 W j s 7 U 2 h L b D w o G 4 E N E H G J 0 b R 2 d E l H V t f A 2 U y K U Q G 4 x g L j + L U h e P Y u K 8 Z L r c D / k B 1 4 M B S o A q 0 6 L s Y W h D A 0 j I J s l y h r I N L j z J 5 M f u O t M B 1 F / d 0 E u m v b 6 h W t G a x r r m 6 g G b s u 1 F 4 X + 2 r O / e W H E s i H 8 / D v 7 5 8 3 o r L S d K n 0 9 I O M v i n x H R r s c L Z 5 4 R V i G a O d i q Y u E E y q U w T + Y 9 c T Y 6 I x v e d h r 9 Y H R A x o 5 Z m q g Q 1 H X G T U C 8 C G j H 9 s v k E H L a F Q 9 B G 3 t p C h D J A 6 Z x 4 I Y F k M I k z l 8 4 g L N q k d 0 M I P r 8 X D n G 4 C U u + X A 2 2 u P r E L a 8 m 3 k I w M i a M y e v k 4 + I 7 y Y j y 3 O N B N p f E C L c L L V r R H d w E t 8 n n S X J 7 z c 1 Z O O V a z G S P Z s Y x n b y A b v 9 O d X 2 V Y f M V g 1 w j p / l i z 0 4 h v 7 Z + e l Z Q r o 3 B o s W Q k f 4 b D j + v x w l v 4 i V H O l d 7 S c B y Q U n s 2 + p D 2 6 o 2 3 L X 9 I O 5 q f Q B d 0 / t w 5 L t D m J 6 a Q z Q S q 1 o S 7 x B P Y q n I 6 5 P e m U R C H X A U 4 X u F D 7 G x a T H h 8 u g J b U d X c G M 5 m Z 5 M I r Z j X E z E U J X m t B T t Q i I r R k l E 7 R 3 9 c e X B D P + E C J j p 1 F n 4 f G 5 1 p N P p s o M T 6 O m M P F / k K O b F R M 2 J i X 9 T Q 7 0 4 W G 6 A w o y l a K h 6 Y O f H o 3 G M D I z g w u l L W H e v Z n I F R N M E H R 3 w W R u r J E Q Y 2 s m M 9 J k 0 X L f o Q Q Q Z W f R p Y t + N i b b R 3 v K + 1 q t q a N A c 7 A l t h c t e b s 5 x B 0 S u Z W I p 5 Y C t 9 4 Z q K J q A k 3 N R z C W e R 3 / 7 X r X s 3 w D J 3 g g o k w r F F I Z m T s P r 8 d / U U C 8 W H r v o V D b / 9 R 1 W j I 2 N Y 3 R k W M 4 o / k D N 7 y x 8 u F 0 u t L a 1 Y O v u L b j 3 j X e j w 7 U N Z / 5 9 G o N X x n F t 4 i J S q c b m t B z u O t p M z z Y a n D u J y f g l t Q L Y / z o f J u 8 8 B / 8 b A y g 4 S t G z i W j 5 / s C E U y d Y J D O s c h 6 X E 9 R p B E W L N s m e T S Y Q 9 L X D a n e o a C K P 9 o 4 2 O F 3 O R Y + s G M g 5 i 0 u I F I T H 6 0 N v i 5 i p N z X U i 4 e N 7 T m s a 6 8 9 v 7 Q U z M Q L e G H M g T v W 6 2 L / O p E P 5 x H O R 5 A T k + X Q 0 4 e x Z e M 6 + P 1 + + A I B N c F Z C y T U t f j T 4 B I L 1 k A 3 w O j a l O 2 y W l f V F u h F w N m t l q 4 M z p 5 S 2 3 a y / J b L V q 6 V z F A Z F T q 6 3 H t F 4 t v r h s 2 p Y Q a u D G B 2 d v k L K y c m J h E Y 9 m H d H W t h a b W j s 6 u x T Q E M P H 3 J g X 3 9 O R E E G o 1 u E u p F g t 9 Z x L a e H J q 8 1 9 / c 6 a w F 4 1 E L X h i 3 q 4 6 8 d 2 N j 2 d / 1 k L t Q g H 2 j Z q y w y G M k I m b Q 3 C y O H X 0 W t x 3 Y J w P a i Y C Q y 2 Z K o a C 5 x 8 H v s 7 e h w 7 d V v Z c d z G L I W 1 r z Z L c 5 1 Q 7 v Z l T O Q V X C I B T D + d 2 e f c q P C Q Z q m 1 8 0 B x / 6 9 n d x 5 1 1 3 q I T g p U C 4 q D Q 2 w Y n d / H A e 5 0 b H c O c r t 8 L u X D w I U Q 8 3 T b 4 X C b G M Z U X I R D i E R G f H x H m X 0 6 W E X N 8 5 4 1 S P Z j w p k r P R X c x J p s K c d m 0 O h w O t r S 1 Y v 3 4 9 3 v D G 1 8 M f C m F o Z A x P P H U I 0 z O z i m z 8 J s 0 x w t g 2 h z 7 R b H J Y a S E L 0 + o F 2 R y d e s 3 E 4 6 C l j + K 2 l O c G 1 k L A 0 a O 2 p C G p R p P H 9 X d r I 5 l M z R N + S U f Q D 3 9 A O 2 g C t w R b s X Z b E 2 Y v i h 9 1 H d 1 0 k 1 A v E l b S F f j e W d P 6 J h 2 P X n D g / I Q W r I i m L I i l L f j + O S d + 8 E L 9 k H A Z a g w i r 9 e r y L V v / 1 7 c c e c d c I u f c P T Z 5 3 D y 5 G l c G n 4 W y U Q W 4 c T 0 f I Q y 0 T w l a g N Y 0 6 I l r d L / u T b 7 r C J b P J 6 U 8 7 n Q 4 d 8 q 2 q H G W g o d 3 H m + 1 a P N C 8 1 n X L w I s P r E 1 / M F 8 M z l Z x H 7 f n k O 3 1 J w k 1 A v E m h i P H L e q R Y t 3 i h c m b I p b f X U 5 R K J W D v w + w 2 Q y t p s Q e 5 c 7 Y s j M Y L B g E j y V r z u 9 f d j 8 y 1 b E b T 3 4 / L R p A p m n B k 4 p M L n R W s R 8 U d q D 8 Y I L m I 8 f V L M R h u G Y s f 0 d 6 s R c J Y m r g M u Z n U X E U m P q N c 3 F L 4 i m l u a s G X L e g z 1 j m H 0 W 6 N V 0 w q N 4 K Y P 9 S K D 6 W q v 2 n J 9 I X S S Z q m 4 / 5 b G f r M o y s b S 4 N w u / a 1 o N I b J y U m c P H M U a 7 e 2 w 5 3 x o K t 7 C w b n K u t H C F l t u S U t u W C Q J J a Z F F N Z i K W c H r 5 b r u q f F l P 0 N a 9 9 l U r D W g q M / L t K U D B E w l E 8 f / o M / F f 9 2 P b g L f M T 4 Y 3 g J q F e A g T c R d y 5 b v m B h O U Q i v E E F o B Z 1 5 r H S M S K f a t r m 1 3 F l A w K K o g G L U U D 0 W h U + T O F T E F L / 1 k B s D Q A l 6 v Y r F b E h L h + 0 Z L a o s Q S u F a s R c x S m 2 1 p c 3 N m Q u W T B d g q c v 4 K Y k o M j 0 x g 4 t F R 7 P 6 p n Q 2 f / y a h X i L c s y G r V Y l d B p Z D q F p 4 5 e Y M H D X G S e 5 K E f a 1 y y N F f k A G 5 5 q V 9 S S m R A M m E k n 0 r e 5 T 5 u d K w E y o b C w H h 7 9 a C z E s P z Y 6 j u S R J L r 3 d 3 H n O f m y B a 6 t L j G R a 9 / j y t 7 5 T T S M y z M v f d O b f S 0 z b B 3 6 k 2 W A Z C q E V 1 Z G N 7 e 0 I J X S t u 2 5 E X C 4 a 5 t 0 J C + z + 7 2 3 + f D k u W d R 2 F q E 5 0 6 P I l M + k k f y y U T V v d 4 k 1 E s E 7 / K n O t A T W p m B 5 a 2 j 6 C w + C / I z y y d F c W p l C U V z a / 2 G D X j h 3 A t K a 6 w E O I c 3 j w W s O W b N d 3 V 1 Y O / u r Z i a m l E 7 n K j 3 g z Z 4 7 v L C G r K g M F t Q S 0 Z y w 7 m b h H q p c H X G p i J w y w E n i F 3 6 z P z 1 Y P / q + n 7 c d a Q L o m i a A L 5 e U C s x U D B 4 b R B b t m 5 Z E Z N v N G z F 0 C z r y u t v N H D K p q a Q 2 s f 4 8 O E j y p 8 z g x r L s d o B + y r 7 T U K 9 V E i L o G t 4 j q g C H K + 3 r q k / l 9 M o F h q b l L y 5 S 8 v T h L b y a s n X j X g 8 r v y n p d c s r A 2 / s 6 A i r Z z G U J x q Q D Z x o W Z 3 T y f a + r b i z I U R z M 2 G k c 9 V p 3 7 d J N R L D C 3 L Q X + x B C w x 0 2 Z Z s K 9 b n j 9 U r N 5 R c 9 l Q i w K F + U u N 4 i 2 E w w O a I L t n Q w b / f s a l F i k 2 i o 2 9 Q W z o b 8 e l i 5 f w 0 K O n k I h r 5 e E M 3 C T U y w A z 8 a V 3 g 0 1 P 7 7 k e L H o G 0 W D M I M i e E x / h t J h e I w W 5 1 s X n s / L T 1 3 9 t B k i m Z D K 5 Y r 4 T s 0 j y + o Y L 5 O i B / g z y 7 s b P T U 3 V 0 t q M P X t 3 4 4 7 d / f j G N 7 6 N a f G t D N w k 1 M s A 4 v c u G S u h o R 5 5 o Y H w u / j u j i 3 i I 2 y 3 i i k n g 8 n n R C 5 f w F x C n H B 5 N A / 0 w l w e 4 1 d j c G x Y / s V V D m 2 a e a F Q C L O z s y p R 9 n r B O U D z J H e T r w i b Y + n X a x D r 9 a 9 / F b 7 z 3 U c Q 1 j d v u 0 m o l w G C 7 q X 7 K v R / 2 v 3 X F + 3 L i K V z e m T p 4 U a 7 D K Y m r z j h 8 m g E C U i E l K e I z v 7 6 S z M a w c h c 9 Z D k 8 o 3 m 5 m Z V B c l Y I b y S K L o W c C Y X Q a g p h A f u v w + n T r G 0 G v D / A / f G m v P E 3 l I R 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 G u i d = " a 9 a 7 e d c 8 - 7 4 d b - 4 c 2 5 - b 5 7 1 - a 7 4 c 0 4 6 0 7 9 a 4 "   R e v = " 6 "   R e v G u i d = " 4 b b 8 0 0 1 d - b 3 1 b - 4 8 d b - 8 c 6 6 - 1 3 e 5 a 8 3 3 5 d 1 d " 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 N a m e = " C o u n t y   N a m e "   V i s i b l e = " t r u e "   D a t a T y p e = " S t r i n g "   M o d e l Q u e r y N a m e = " ' D A T A _ K D I ' [ C o u n t y   N a m e ] " & g t ; & l t ; T a b l e   M o d e l N a m e = " D A T A _ K D I "   N a m e I n S o u r c e = " D A T A _ K D I "   V i s i b l e = " t r u e "   L a s t R e f r e s h = " 0 0 0 1 - 0 1 - 0 1 T 0 0 : 0 0 : 0 0 "   / & g t ; & l t ; / G e o C o l u m n & g t ; & l t ; / G e o C o l u m n s & g t ; & l t ; A d m i n D i s t r i c t 2   N a m e = " C o u n t y   N a m e "   V i s i b l e = " t r u e "   D a t a T y p e = " S t r i n g "   M o d e l Q u e r y N a m e = " ' D A T A _ K D I ' [ C o u n t y   N a m e ] " & g t ; & l t ; T a b l e   M o d e l N a m e = " D A T A _ K D I "   N a m e I n S o u r c e = " D A T A _ K D I "   V i s i b l e = " t r u e "   L a s t R e f r e s h = " 0 0 0 1 - 0 1 - 0 1 T 0 0 : 0 0 : 0 0 "   / & g t ; & l t ; / A d m i n D i s t r i c t 2 & g t ; & l t ; / G e o E n t i t y & g t ; & l t ; M e a s u r e s   / & g t ; & l t ; M e a s u r e A F s   / & g t ; & l t ; C o l o r A F & g t ; N o n e & l t ; / C o l o r A F & g t ; & l t ; C h o s e n F i e l d s   / & g t ; & l t ; C h u n k B y & g t ; N o n e & l t ; / C h u n k B y & g t ; & l t ; C h o s e n G e o M a p p i n g s & g t ; & l t ; G e o M a p p i n g T y p e & g t ; C o u n 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V i s u a l i z a t i o n   x m l n s : x s i = " h t t p : / / w w w . w 3 . o r g / 2 0 0 1 / X M L S c h e m a - i n s t a n c e "   x m l n s : x s d = " h t t p : / / w w w . w 3 . o r g / 2 0 0 1 / X M L S c h e m a "   x m l n s = " h t t p : / / m i c r o s o f t . d a t a . v i s u a l i z a t i o n . C l i e n t . E x c e l / 1 . 0 " > < T o u r s > < T o u r   N a m e = " T o u r   1 "   I d = " { 9 6 4 3 0 0 A E - F 8 0 2 - 4 C F B - A 8 0 8 - 4 7 F 7 9 1 3 7 1 7 F 5 } "   T o u r I d = " c f b 1 5 d a 7 - b 7 6 2 - 4 d d b - b a 4 5 - 1 3 f 8 b 2 9 f 0 9 d 8 "   X m l V e r = " 6 "   M i n X m l V e r = " 3 " > < D e s c r i p t i o n > S o m e   d e s c r i p t i o n   f o r   t h e   t o u r   g o e s   h e r e < / D e s c r i p t i o n > < I m a g e > i V B O R w 0 K G g o A A A A N S U h E U g A A A N Q A A A B 1 C A Y A A A A 2 n s 9 T A A A A A X N S R 0 I A r s 4 c 6 Q A A A A R n Q U 1 B A A C x j w v 8 Y Q U A A A A J c E h Z c w A A A u s A A A L r A b 9 3 E o U A A G B / S U R B V H h e 7 b 0 H g G R X d S b 8 V c 5 V n d N 0 T 0 8 O m p w U R x I i S b C A W c A g 2 9 j G m A U D D q z X e M 3 v 8 G M b / 8 b G y x p j g r 3 G u z b Y i / G y g A 1 G g E F Z m t E E z W h G M 6 O J P d M 5 d + V c 9 Z / v v v e 6 X q X u 6 p 4 e S c B 8 o 6 e K / e q 9 e + 9 3 0 j 3 3 X M v / O R Q p 4 j r h s O X x 5 / / 6 j P 5 K Q 7 F Q 0 J 8 B F q s V 2 X w S b 7 5 1 L b 7 + z B X 1 n t V i h c 3 q U s / N + O 2 3 7 o D F Y s H g V B x f f O w y C o U i i s U C c o U M + t p 8 8 n 5 M / 2 Z t 2 C w O 5 I t Z / R X g c 3 n w D + / f D p e r 9 F v p R B x H R w L Y 2 x W G x x / Q 3 9 U Q + 0 4 U / t c G U L Q U Y I F V v T c z E 5 a / d 8 L n 8 6 j X 9 f C m P z u m P 6 u N r b 0 h / M m D G / R X K 4 9 C P o 9 s O o W h 4 R G s 6 u 6 C u + L e i C v T R 7 G 2 d b / + a m k o 5 o o Y i D + h v y p H p 3 c 7 v I 5 m 9 X w s f h p u e w g h 1 y r k 8 m n V z 2 P x U + j 2 7 5 Q 2 t U h / F p G O L 9 y P R C q d V v 1 j 7 r v F c D X y F F y 2 A J K 5 O f 0 d E 4 r S n 3 k n 2 r z 7 k S 1 Y E f I U 8 c K 4 D R 7 v I / o X F o c T T W j 3 r V P P M / k E / K 4 2 F C I F R M b i e N g 9 j R U h F F E s T O O z D 5 3 X X 2 l g w 8 n / 5 g n 1 p z 9 7 O 5 6 7 N o O Z W E p 9 b r c 4 1 W N O u G e z a p d x c G s X / p 9 / O C 6 E 4 5 / m h V y 2 e U I 5 7 R Z F s J w c B m z y x b z p N T v M b n O r 5 w X 5 e 4 / D j i + 9 f 1 t V p + R y O e R S S T i 9 P l j l + o j U x R T c G 9 x I Z K c w H r 0 o A 6 Q V n Y G N 6 r P F 4 H L 5 c f 8 f P a q / q o 1 G C H V q x I 4 d P T n 9 1 c J I Z K f V N Z q R l U E 4 M T 6 O 9 o 5 2 O N 3 V A k D E k 2 q j 5 c B M K J c 1 h A 7 v F g z G D q v X 6 X Q 7 N r d v V s J w M R Q K e W Q S C f 1 V f S y H U F f C j + v P q t E b O A C H 1 Y 2 k y F u P Q x s z m X w M w 7 E T 6 v l C s I q g 9 t p b Z N w U 0 O F f r 9 4 r D M v f n 0 k h L 2 3 q 3 O 2 C s 8 O x c o T q a 7 X g t 7 7 4 l P 6 q G i R U k 8 + F u X h a f 4 e a r b b E / 1 + / f B f e 9 Z d P 6 q + k Y Z X C y Q l 5 c t J h G m k K Q j K H z Y p P / a c 8 c t m D + I O v H M P e t Z 3 w e 6 1 w 2 V 3 k M X a v C W F w O o n X b H H V 7 J R c N o N s R j r N J x L t q Q Q 8 d 3 r V + 4 p Q s R d E P 7 n g s T c j L Y 3 e 1 7 R L f b Y Q V k J D f e e M E / f f k t F f 1 Q e J M R B + A m t D d + v v l D A 7 M 6 u 0 q d O l C Z a l Y m j u l P R X C i 2 + f o T c H f q 7 G q G G k 8 e l 7 X N Y 5 d 8 j / e G c H 8 A W 2 L A m d K d 6 v h h u J K E M z U S N W A k S 6 u K 4 H 1 u 7 K b B E S 5 5 O I 9 o / h G h h V P t C D V i y d t i T L m Q D c r 2 W I l Z b 7 0 T q X A J 2 j y i D t T k 4 H R 4 U k t I b 2 S J i y a R u 0 6 w A B q c X 5 i U l l 5 l M C + F d n y 4 3 K 6 x y I 3 b R I j a r X R H l 9 k 1 d 6 G n x 4 f P v 1 w h g d z y B P / g Z M S n v H M C r d 1 / G q 3 c N 4 Z 4 d Z x E M H M L d m 5 K 4 G n 5 K a b l K 2 B 1 O W G T s J o 8 n g f 3 a u e Z h L a B g T S K e m c F E r F w L v B z A Q U 3 U M m 0 K 0 k j L J Z M Z Z j I R q W f T c N p 8 c n g V m Y g W z x r 1 6 H O 2 I Z W L q O c v B S K z M 4 j M z Y q l Z B F B m U N / 8 H Y 0 u 9 Y q 0 9 N A b l T e v x h B 6 m g K 2 a t Z u L a 7 E J p c j d Y T 2 + E e b 0 H T y Y 2 w y N 8 T L U e 3 y n M r i o 4 c s s G 4 I p P D K v c d s M J 3 w I / i l j Q s w 3 Z Y n O I Y u C y I n w o j 1 O d f O U I R J r e p D N R O y v w T / N N v r M d n / t M e 9 b w M Z j 4 K + a y 0 + X Q 4 b R Z k c j a x x + U G 5 N 9 s P I O w k D O d i + r f K E c 6 X 3 p / I n 5 W D b C B y J O i e W b V e / k Z 8 T W u Z F D M F O B u D s C z 1 w M K H A N u 0 U p W M T W b b P 3 q 9 Y a 2 5 T U T 7 5 u H A b 0 J F k R P S I j c w P d K J 6 t u 9 E K 9 j m g Q v U 0 7 s E o O Y j Z 5 V T 0 W 8 0 X Y g g 7 E s 5 P K d z A Q c H S r x 1 h m H H N p 7 b s v B X j P 9 C G 9 z h B 8 1 l Z k z 4 g F c 6 g Z / s M b 0 H 5 1 F 1 q O b 4 O z 2 4 X Y v q u I 3 H I F s + 0 X M Z E 4 i 6 H W w 5 j e f R q Z r g j m d l 1 A 0 7 N b 4 J w O 4 s r W i L h c 5 e 2 Y L S R k H D 0 l b T A l Y 0 T 8 U 5 t Y M 0 d i S J 1 K 4 d z 6 L L 4 5 f H X l C E V T T H d F y k D N Q G r 8 z S 8 H 8 d l f K m I 6 d h F N / r z 2 o R k l / i j 0 t v r U Y 4 a C W D 7 z u q R D 5 f w B t x v n h q a x e V W L + n w h Z L J e J N J B N J 1 f C 2 v G g Y L 4 T U V R z 7 Y W G x x r R T s 5 a 9 8 + y d Q f v F N + q w c 2 m 1 0 k d Y / + S W 0 8 e i F Z Z e 7 R 5 1 s O d q z K K f 9 x M d i s D v V o H t w G U i n N R 7 0 e O M U P T W R n l G Q m E o / G M e f W y V V D 2 x P U l p n C 4 s G G l Q Z N y O K E E 8 4 h L w q p g t I Y r m 0 u + F 7 h Q + C V X v h 3 B h G 6 r 0 W 1 G c m g H d P q M G B o / N k 9 L 8 C W F c 3 l E w e p A j b x + V c H b 1 N B D 8 K + z g r v A R 8 8 B z z Y H W 3 C G 1 f 1 r x y h b l l l E v E m W C x W I Z p d i B H W 3 9 E Q 8 k o D 2 K 1 i y s n N O 2 z q + f 7 1 I f z t B + + E 3 2 3 H R F i T 7 P L R P H 7 n b T v E o S y K p n J K 4 y w u x h 3 2 h D i Q L o Q 3 X 0 H B m U U 4 N w i L p 3 q 0 f v 8 F B x 4 + r 5 E 8 o 3 O d k T 2 7 3 Y 7 V T T W 0 q Q l 2 h w v / 7 R t n 9 F c l M K B C O E y R z F w + o 3 y O h R z n x q H d R y I n g 7 4 C y e T 1 E 4 o Y T z w v W m c Q h b k 8 f K / 0 o 6 N v n f L Z + k N 3 q M 9 5 H 1 c j T 6 v n B P v a Y d U E 4 U K w W m 2 Y T m o C w Q A j k p V H Z Q S 2 H r I n s 2 j e G s T 4 m m O 4 m n 5 y n v D s g 0 I x i 6 n E B f V a w y L S S r R S s m t S f 6 H d k 4 F 8 M a M s n q n k B Q x G j 2 A 0 d g p z S d 3 / 0 m X M i h H q 2 n T 9 T m S E Z D Z y u / 5 K B v D J N M K J D F L Z j I r Y p b P i p O Y K O H o p j J / / 9 K O I p X J I p j P z p g u 1 3 7 t f u Q E f / 5 r m a D 7 y h 6 / B H 7 x 1 s w o Y m O G d 6 Y R P j t a T 2 9 X R f n w H E u I D G W j 1 1 I 7 Y H V w 7 h / V t m r S K h T X i t 7 S U b G + C B O N R i d f / c X U g x j B v l R a R D t F M 3 r x q h 0 Z B i R l L T 2 E o / J z + T m 1 k d Q 2 V L 2 R x Z f q I G u R 2 u 0 k K L R P j C U 1 I 2 M V v y F z O Y C Z u U Y E Q A 9 O p y / q z E u i z N B p B b P W U p j a K j f 1 J T c y d y m B 8 w 0 l c i 2 r R R o L m P d u B 5 t n V y C H E c h P 6 J x C B c F B / 1 h i 6 v N u l D U p C k V q Y R 6 6 Q F m 0 c R 6 q g + b B W 8 a 3 U o / r / C i C W W v h U f / K 1 5 / V n w N 3 b x t V j r c b n I P z o g 7 u E R D Y V z t 7 W F 5 L B C P z t D y 6 q x / / 1 K 3 c h k 9 R u I u T q V Y + 9 T f f j A 5 + z 4 l 1 f m c D P y / G O p 5 9 X x 9 u P n M Y v / 2 3 p d 1 4 Y q 2 F q C l x O H 1 a 3 a A 5 4 J Z H M M M L r Z t y + q U 1 / x s G t C Z V c Q X u 0 W u z q k T B M i k Z x d e Z Z T M a u I J u r H c g x t J x x 3 k h a 2 t S q D V K b / T p G q I 6 g o 2 T m u r a 5 0 e I T w f e C J u B o z k b S 5 S a R 3 e q W / l j Y N D b w 3 K A N 8 Y I b T q 8 W 5 W W U d S H U a w P C 1 8 d 5 r T x a 3 e u V 9 u T R 4 y + 3 K q i x 2 F 4 8 6 H d r k d H q N u o L 3 D p P O K f V r 8 7 j t g f R 7 t m s 3 q u F p G 4 h W J t W m F A c 7 G 2 B + p G l L / / 6 v V j l u 0 s 9 T 2 Z n l T / 1 1 7 + 0 X b 0 2 U E y K Y 1 n I 4 Q v f u 6 S / A z w / W K 4 V u g K l h v D Y m 5 B K 3 I k 3 f f y 7 0 j 4 l 6 W l G J u f F p b H 7 1 I T e + s 7 6 f k 1 e H F q C A Q F 2 w O x s R B 1 E L p d X R P N 6 q + / v 0 P k p 9 a g F H 4 p i u h b h d t r m D 4 c t p x 7 9 b g f u 2 t K u v k s Y J u F S Q S 1 E M N p G d P p u U Y + K W A V N A 1 o d S y N v L X g c T U I S D 6 z T N i S t W j A n 1 6 M N F 0 7 c V s I Q I o 0 g W 7 C g N e h Q r g D n A Y 2 2 r 0 T 6 6 R T G L p / F 8 c E 5 z P 1 7 X H + 3 h C P n x c R s c i h / 1 + f Q B N s 1 0 U g j s W f V 8 1 o Y i Z 9 Q x H L I v V U i n Y / I Z 1 q E m d f m 0 t u Y G s p l q y 9 o a f a m j m n 3 v 2 L z U I T d V s C n / r W k e s 3 4 l 9 / Y p x 6 / c 8 a B T a t + o C Y k L 4 7 s x K e + d V R M P 7 1 B R Q A W I M 9 F s u f z R c 1 / M g m S Q r 6 A 7 / 7 u P c h k N P / q f z 8 5 j f / 9 9 E B Z J M 2 M Q t E q f o s L v / H G f d j S 9 x T a / R v h L A Q V + 5 3 u a n K k O H u v m 2 s G b E 4 n H M 7 a 8 y B O l x c T 0 S L i m a f F 9 4 q q T q X D S / T 4 9 0 k n e M X W f k a Z B 7 w R S j 9 D s / T 4 d 8 n n c i 1 1 Y B C H W N O 6 f 1 7 L X p s 7 L n 7 d X s Q y E 5 h M v o A u 3 w 4 l W M y I x + P w + R b 2 Z Y Z m r D g / Y c c r t 9 Q X M o n D C Y x v O a Y G X 2 9 g v z R N U S w H i 5 q G U P 1 k Q l / w V t g t j c 0 X S T e K J a K / q I O E E C i 8 z 4 b Z 9 B F 4 9 L E f m t g A 1 1 X R Z j n R S n K S K + 1 e 7 L j V p j J j r k W Y q a M 7 M i a 4 b c 1 I 5 T W B s B i c 4 v / R j C N o 6 l G o G L g m / Z h f I N D U d W E f P P t F A O m v V w R 5 P Y Z f C x x 8 R J O n i P G Z + 0 R F 3 4 K 7 N u T w 1 Q / f q 9 5 X k K u x p C 1 i K h X R 0 1 w a 8 E Y U + C N v 2 w m 7 g x O W 2 r n + 8 R E t j a k S f / Q z B / C N 3 3 o A v / u 2 3 S U + W r U B 4 H S 5 F J l q h Z b d P r / + r A R m Z t R D J D 6 C J m d S k Y n O a 4 d 3 q 3 q f U U K S i d D I p J l E Z l j 1 L J F 6 c D t K Z t B U v O S v k E y E 1 9 G i o k 4 G m a 7 M P I O r s 8 f V 8 2 y 2 5 J / U w / N j d t E U + o s 6 m G 3 T L A U r d N N V m p C a s J J M R D J b I 9 W n D h Y l 0 x N x e F / t E 3 O L k / R 2 B J x d W C P C K N 0 R h v 0 V V n j u 9 8 H / H w K K T A P h J 5 V W q k U m C r F 0 P i y C r m Q Z L A S S y f j u W O L 0 v D l N 9 P h 2 q 3 k o w u y q G J Z C P q 5 9 d 0 U J t W t 1 f U I 9 8 E e a Z L 5 t b Q 5 7 + v I 4 O q B 1 U j 4 T l g Y u / Z 3 F p V 3 S P d s 6 e e U K H 3 h g C 1 o D L v H D T u P V v / 8 9 d a 4 3 f v w o 3 H 4 b f v l 1 m 9 R 3 3 n R A m 2 D 8 9 T f u w m / / w x H 8 x M c f w h 9 9 9 T g s 1 g I + / e 2 j y K S z Y v d r E R l m S B T y 1 2 8 W j c Z P y a B M y m V q 1 z w c 0 w Z 0 s 3 u t e j S j T y Q 8 o 0 Q E f S u m w N Q C c / E I c 6 c V a w w W n o M h 3 H m I Z 8 / w 8 X T 8 G q L R x k L X b b 7 6 j E o 8 H E e m T S N J u h A V P y a J 3 F S u L K p n I O h c J Y N e + m s R R L 8 X R X 4 q j 9 h D M e Q j e X U k n 0 4 g 9 u 0 o E v K Y u Z x F U k y n w j 4 f j l 2 1 w + s s i m b c i z b P R t U e 3 a E t Q j C v 3 L t + Q o F H z x 8 M O X q V b 0 Q h w 8 M h P l D A 2 a 0 e m S L V K D j P Z i C W L t F j K p b C Z F j z 2 e n f 0 9 r o D 9 6 h t D e R 3 a Q J 3 h U l 1 I m r Y k r V E T 9 s g 7 f + + b P K Z H C J n 3 H 7 u j o D W v 6 8 m C n i q 4 e u 4 m f v 1 Z I Q P / / d c 9 i / v p S t w B S Y 9 z 2 w A W k R s X / 5 b S 1 / 8 F + O D K j H T / 7 r S d G U p W i a 3 Z q W A Z l C i 3 + / a J Q p R N O T y A u h b I 7 a E T e G a 8 0 o 5 m p L e 8 N 0 Y 4 N a r Q 7 l d 2 X y m r l g + B N J f a r A Y d G k 2 L W I Z g 6 z I + r B c Z 0 Z D u H k u F z P w l E + L Z U L 2 N d f u w 9 y k 3 m M 7 9 W E g 4 H 4 I 0 n E m 8 f U c 2 v a i Z Z D m u 9 G G N k S C s L R / E x O S C M k O S Q k G S i Z S Y H X B G B r s 8 F 7 v x e 2 o E 0 d n j u 8 8 L 8 u A K 8 8 O t c 5 4 N n n F p + z W H V t U T F x a w m W d C 4 i Y 8 u K F q 8 m x C h k e P Q G 9 s D v b B O t Q 7 9 I 6 6 t G 4 X N o A a r Z T C n h O + Q t o q 8 1 g m J B G 9 9 0 M 6 7 N H d V N f A s 8 0 5 r F s a K E I t 7 3 w K 1 w O a x i s t j w k b f s w C d + b h 8 O b u l Q A d d s r o A 3 f u I o i o 4 Q I q l S K N M h q v 3 g 1 l K a i 8 U h 9 J O 2 + 9 K j l + e 1 V 5 N P N 5 H k f Y u 8 9 4 + P l 2 b l z X M F h E 2 P d h l o 8 b s Q y 5 6 U 7 w F n L x 5 D J p t W E o + g g 8 0 G N 0 / E O s Q k Z A q p M R 9 S D 5 S E R L E i g p f I a T b 7 W F w L e f c G 9 2 J C D 0 M T / L 1 a E 7 J m d A U 3 o y u k a d + l g J F I J v 4 u h J x o M + 3 u a 0 C E V S 5 d 7 p O 2 H t 2 O p l e 3 w G P T z M u C K 4 O Z W 8 / B F n O L J W 0 T b S b a a z K n s i k 4 o m w t d v g f E J L c L i R Z U 2 3 a n h k p F 2 Z X Z 4 5 j J H w W 8 b S m E c 9 P V A u E g F P G k P h w l d H S 1 c H b x R z U g l 0 E 8 y 4 J f m 8 0 V m v K o e 6 d z 6 P D q 7 W 7 + b e m k 5 f l 1 h x Y 1 3 y n S m t i H m p / 0 w H 9 U / H 3 1 z u Q G 8 v D 9 v b 3 f O S j + r s r A h J n / 4 Z V G B i f w r e f H c b 3 T o 7 i 2 l Q c C f G N H L o p / u U n r u D d r 9 i i G s j u a s L f P X J J J I A D E 2 E 9 U m T c M 0 8 m z z / 1 i w f Q 3 + 4 X C e H F W 2 / v F y c T u D A m k k n / H s 0 f h t u p / Y x J P Q N b V z X h I z + p N b L N b h M N Y M F s a g z h z B A i 2 W v z 2 i S S G R Z T T U s 1 y h Z s e P S y D x v a q y W i A X 7 X C N s z h G y W n p S Y X L o w l 7 6 m X o f l c 4 f N r c x D o s 2 z W T r o g n J 6 D V L W A s 3 C Z u 8 q + J w N 5 B J K W 9 B f a / W s x v R U B O 1 t r S J N i y p S 6 f G U a 7 1 k x o J c 3 i K E r b 6 / y Z M D m O k q r R p w j b W i 7 c B q z C S v i P X h R T S r a S l G V Y t O I Z G 1 i P Y t 6 2 H z 2 Z S g a w Q M N p l T v Z o 8 3 e I n D q j 2 O D 8 e w P Y e 7 b q M 6 B 8 n 2 C m E w u l B O Y a U 3 1 j p k x L M f J h N X R H N 1 C V j w i Z C d F x I U e 7 v 0 S w 0 + q U e G P 4 P i z U D a 0 7 k S 0 r 6 i G O r Q h M L O N 5 y x b S y T N y u A D K H i y t P K I I 8 2 N H f j c P n h 7 Q 3 B A a Z D K Q L d v z e V 8 7 i H x 6 / o o I O Q z M p 7 F v X j P E 5 E 6 l 4 y G d P n 5 r E 1 5 6 + h q N n p / D 9 c 6 M Y n I 6 j p 9 W D W L I k Q U g k z o q b s b W 3 G R 9 9 x x Z x m E v X 4 X b 6 1 e C f G k o o H 8 x q M l G Z 4 M k B P j k d x X j C g 3 W t X D 6 y + C B h S D V m D D Q B E z I 5 C Z r I a Z P F L n t A d b B B K J + z X U i 1 X n V s 5 f K L 5 c L j C C L k 7 o J T f I x U M o V Q K I h w O C r t I p 9 V E M o t C q I W m Y g p + z k U b d p n T A 5 d 1 b o H A 4 k n V E i 5 1 c t r H l S f m d H k X i 1 d 1 R i Z i G S W 2 T E c k P o b g r n k C A a m V 2 H v a p v S 3 t d m T 8 A G l x J E J J T 5 d + P Z C S F V i 5 C q X B i l C 2 G V U 2 h c D / / W 7 B M R n I c q w B g 3 H K n V i K R H V M Q v L 6 5 C X g m p 9 V W R V A M + 6 b 9 m + b 1 o O C c m q 3 P l T T 4 D z I D 4 7 H t L s 9 K c y T d j y t B G A j V f K m a I e c 5 p P l A h n 4 W Z g 0 c r w S 0 N o E + r P 3 i X J i 0 c N g t a A i 7 p H K s 0 o X Y 7 / N t b + p p w d s g c L t X + j q F P p 9 O O t l 4 X I r M i X d I l U o 7 H t M l n l w y o A 1 1 T m J s r z U U t B C Z K m i d x / Y 5 2 T C U 1 K c / 3 e 3 y 7 l P Q 0 M J k 4 p 6 6 X z v a N g E G g p q b g g h P V t W B L i F Y 8 t h k t h 2 + B L 9 U B q 6 c 0 R K L p k t A o g U O 3 N p n C K W 0 C v x K c J D 5 0 u d y s y + V u x W 1 r P c r M G p 5 7 X j S Y X 4 7 S t Z s z H C i s R u L V c 0 0 + u 5 i F e Q e u T h 9 T q w R i m X I y E X 5 X h / J h u d S E l g K X n V Q i 6 O z G q t B 2 6 S M 7 8 h U m Z i 1 k s 9 p 3 U q n 0 j d F Q B i Y j B b z 5 Q B 8 e O 8 N Z 9 X L u X p 2 M 4 8 G D a 3 D 6 2 p z S L t Q E K X F j 2 o J O N S 9 l T A d R i v 3 e 2 3 f J O c Y 1 0 u h i b U I 0 G S P a i U x e T B i x X Y V E 9 + / p w + U x m n c F b O t r F d + t G w c 2 N m E u o Q U s C H Y G / 1 E z O V w 2 x C M Z e a 6 Z g w w H U 7 t Q M o Z C P i S T 4 m v J 7 3 k 8 i 8 + v N L n 6 l B n I g 2 t x q A V D z h 5 0 + L a q V a Q E z Q 3 j O z c S 6 X S m S i s 1 B G n P a c t F p H q m k e y V w S g C z F K 0 z m t a R s t o p t N M d t n 9 y s R E z i l E m 0 L I 0 6 W + Y 4 Z b v l O J Z J Z T D B b R F O N I 5 q 4 h l p p S Q q c r p F 0 v 2 y 2 c H B V B 6 V F a Y i z + v D J 7 C b a b 2 V z j c x 5 G e 3 J 8 N H t 6 0 e T t Q U o 0 U U T M e m Z Q 5 L N r k M l 1 S X 9 u E T P S K p 9 r w o 8 T t 0 3 u v r J z E p z I Z W I w f S l q p 8 U Q i W j B K N 5 X + S i / A R i Z K + L / e V t 1 V K s g G u v L T w w g 4 L a r h q D l x R X m c / H y y T O n D P S P / f N z a g G X G U M z S Z U P a I C r d m / d 0 C b n E q k i z x 8 + P Y w v P X Y e J 6 + k E I 1 r i w P b / D v h N f k j d r s V w R Y v 0 s m 8 C q s T n G u Y L j w n N v s T M i L m F l 3 2 X g v K U Q 4 e F J t 7 v d J G S w U D J J k 6 k 9 W N w M g l X C q S R 8 t / k 7 7 B V K r k T 3 H g t 3 r W q f s r J e B x x X R W S F B L e 1 W D y c J z q W F 1 b u Y h p u X R b i v l Z F 6 b P S n / p 3 C N I Z 1 N S L + U j 4 f K / M 1 6 C I o m 4 n W 6 x V T r C X n R G / I I M Y v o b y 0 X N M z L q z w n I 3 f M u x y K H h P z b / H 7 8 v n c a p w w k + a G E 4 q Y j h b U a t 0 N 3 a W I G U P N h M 3 k w 9 B o e 2 B P e T 4 Y c + U + 9 I a t M s r K B 0 l b s F x r c N 7 q D 4 V 4 Z v i E r L / 1 p c P 4 r 1 9 8 D r / 6 P 2 x 4 + 5 + d w u e + X e 7 M W c W p 9 o u / Q d 8 p n c x g M H p Y m Y V E u j A H O y O O y 4 C h S Z c D S u n h O Z L 6 c f 2 d p S G d r p / 7 t h A 4 X V E J L e + t G o b k t o v 5 T M w m S n 7 q Q r D b N L / H 5 9 T 6 P 5 3 1 i b Z T T x X W t O x T k U p a k T P J a y p L x I w u H 5 N V y 0 n B V K P J x A v 6 q x L o t z p F 0 7 E v G H V e 1 a z 5 h g y 1 U 2 A y u 4 J R 3 q Q e l T U j l Z + D 3 9 m B 6 d T F + e k P A y M x X e D q s D v E 2 n G K X y i O 4 Y t C K O J n 7 t 2 D K + O x s m R S g h r J G H v Z f A E P P T s C p h g Z e P T 5 c f z p 1 8 / g w z 8 p N q 2 8 f v 3 e V X j 3 q z Z g f E 6 k q f T / a 3 b 1 q K U f j 8 n 3 z P j N N + 9 G P F W y f 3 P 6 O Q 9 f K I X r i a C r B + u a b s O G 9 o P o C 9 6 G Z C w 7 L + F T 4 o g b c 0 c 0 E 5 e D y q j j Y u B v Z 7 J i Q t j Z L s v r H p p 8 y 4 E t W P 5 7 1 E g M 9 F D Y W P O l e S f C m M S 2 C P l h K T T c P o Y v b b F O Y W x u P W L p 6 k n w / u Z 9 i l j 1 y g 7 0 B Q 6 g 1 V s q J c B Q e S w 7 M T 9 d Q a i o Y G Y Q s 6 m B q s D E S J x a c G F Q g 3 p t L W h 2 r V Y m / I y c x 0 C P W D r E e P y s e i R x M 7 k U f v B C / s U j F L F v f b t K J g 1 6 H f j y r 9 + D / R s 0 8 + v g 1 k 5 s X 1 1 S u + b I 2 x / + 1 B 6 1 P u r P v n l G B h v w b 8 e H 8 b f f v 6 j M u t f v W 4 X v n R x B N F n e m V x r 9 a d f r 1 9 4 Y 1 1 7 K d 3 J n H / m 8 / q x v u 0 u F a g w S O V 1 d K j O G W m g k E c l 2 M E k J d H u W X x O i Q m z A z N H M R G 7 r M j U H 6 g / A b w Q M p l l E q r Z J o 5 6 6 T p 7 / H u V 6 c M s 7 K C 7 J A j N a U Y q c m n T f q 8 R U 9 N Y G M n I b j I b Q E f w B f G D G 0 9 b M h B 0 d K P X b 8 w D y X m F 9 F 7 d d M u y 0 p K 8 n k k O q O j g R I X Z z c n 4 o L M X b d 5 S U K j b t 0 t l f B j g 5 C 6 j v o w Y E g z X m 8 G a G v Q t q a k Y S H E 7 / H j l Z t u L S 6 j h m T n R F O L E J b J 4 8 J O P 4 e j F a f z B g 3 v k 5 m 0 4 f V W T L p y v Y r + w w X 2 i Q k 9 d n c O H 3 6 x J R 2 Z I m B H X I 3 R 2 W / n 7 Z t + q H N R x Y l b + 4 e P 4 z r G 1 6 G n a K 5 K H + Y C l v 2 d B k E 7 f F s y M J 1 S C b l w P h z N 8 u l Q Y H d w k U m 6 h R F g D A z O l 7 I R e / 7 5 l a y i z G b 0 U c N 0 T U 4 i Y v b 3 K t 1 9 8 i G e U M B m I P I G 5 7 G P q O Y + x R H U B F A 2 L E 2 o q M a C 0 1 P D c Z q x t P 6 G e c 5 n K U s E w f q Y Q h d + h p T w Z K U j E X O b a f J o X Q R M x l h E N l p 1 W j x Q C D F i M x 7 W o L s l H L Z T I T a k U M U Y U j c l d w o j g Z v R p D 4 K h / d K U R 8 m 8 f 9 E I R b P u z 3 7 + d u x e 5 x c J U g q Z / 8 b f n R A z b 0 w G g Q U 7 + 1 u k Y Y p y A 0 B A t M y v v m E L v v L U F T E V x Y H N y Z s V N v 5 z A 7 P 4 7 b f t U A E N g h O W n 3 7 P b S p C V K + i k o F v H L m K N 3 9 c t I 4 4 1 w P h p 3 B p 0 q o y 4 Y k k J h B o c Y r 5 l 5 6 f X D R P 3 C 4 F R m R v s e v R o N 3 f 6 p Y 9 N S c u G 0 W 9 7 P i F w K C P 5 y 6 v D N S o M m E m k t W r k B f D Z L x k F l V i K l E i T T b v w 5 3 r n F j b e g B t v j V K w i 8 V z M u k 5 m m X g c 8 2 b v d s n C d 8 L F M K J D C k T 8 3 D z H w u m u S j m Q A E y c f + Z d S y V t K 0 M b 0 x H C 2 V O Z h L X V U E 1 a D 1 G 4 u / 3 N C w e S W u T e W x p q N D L j q B 0 V k m l V r w W 2 / Z j i M X x t U l j c 7 G N I d U k M 6 m 8 e R Z f S l E i w d X J q L I C S s V e f T 2 4 N 8 8 f H o M / / m N W 5 U p 6 X Z Y 8 N W n h 0 V j a Z + X d 1 R 5 I x p 4 x 1 2 d I m 2 i S G V W o y s A F Q l i d n O b b 6 3 Y 4 N c Q n k 7 D 5 R Y f Q l h u q P 8 b B Y a H e b A I 6 P U g k 8 2 K + V p R x W k R p I 4 k M R Q 6 j K g M R g 4 s O u U N g d G + v E Z + C s p m b / U i Q 2 Y r T M Y y M m R n x G / q w P p 2 F s F h B a s 8 c m B 5 L o s i M M P X L K Q T d G k h e H O m R C W 4 V C Y m v t F s e k C u e V Q E E O t F l O b 6 a N Z x v o l 9 x g l g Z s I s B i a 9 M o p Z C W a I c P K W 1 8 c 5 R p q t N O V Z t I V g 8 I L Z F L Z 2 2 8 q u h z K Y 2 g j c T g s + 8 X 8 f x b q u d r x 2 V x e e P j + u z D u C H c N Z b g P 3 b e 9 S x F E g R / T 2 Z S 0 K L p 8 n u L L 3 / E h U / l Y k j F w G 5 6 h g y c 0 7 w R o 0 U j 2 w u x e 3 9 L b g M w + d R j p X w G f f K y a D M 6 h C q G Z Q 8 m W y G T x z 6 r t o 7 / N i c / s r 9 U 8 W B z O + s 8 Y 6 r x o I h f y i l a s n F V c C s X g c / k X W Q 5 m R D + d h C 9 m U d C e 4 V m s k t o j j z g T k Q v X 1 9 4 S 2 w 2 U v 1 8 a n h y n / o 9 J X f t y y a k 7 I 0 C K D M S W D M i y a q 7 w 4 K s 3 c N U E t N 4 + + I P 0 y m u G 8 N n 7 W 5 h Z t I Y 9 + I R T P M R Q t r R s z g 3 1 n 3 E + j Y O S S k 7 q V S O V i G A 2 L H 2 b X L C u a h B O J C / L 9 f h U p 9 N i a 0 W H d C q v X + u L 6 U G a k x H z 7 0 J v u x e X x s E j E o i L T 2 s 4 A v v R r d 8 2 T y e + x 4 9 O / e C s + / B P b 1 G v F V 1 M f G m Q i m G X R 0 a T 9 X S J r E Y 0 C v P W 2 P u W H v e l A v 3 Q G s 9 x t + M T P 3 Y 6 H T g z h k 9 9 8 T t W x Y I T Q Y r V V k Y m 4 G j k M p 8 O J r j V + 5 D I F 8 c 1 q z / w v B 5 w M z G T K s 0 d W C p V z N w s h / r 2 Y I p M x + U z Q p 1 g M N t Q 2 Y U f D p V I H B u a S B U z F Q j i w x q r I R J A I l W R S q A h s G C 8 Z L G H E l C b b Z E K L r q 0 0 p p O l l e I 1 k S s J + Q 7 v R t V O n L x v 8 2 7 Q E r o F L x m h C E b q v v z r d + O B P d 2 i K a y 4 M h b F O z / 1 J P 7 8 F w + I 2 W Z R u X q / 8 o V n R N v o r S p 2 P u M Q 2 1 c 3 C e m q L 3 1 4 O o H W g F t U v E W t n / r q 4 S H E 0 1 n 8 i / h L l H T p X A 4 f / n s u R t P w x + + 8 F b l 8 E R / / K g d H d d C g I L Y 1 z R 9 m i 7 s 8 L l w a O o F k a u E s 8 U b B 6 2 E m B o k V C c f U s V J o d B 4 q / o M Y P K 9 2 Y z T + n D L L G k J e y C Y D q 6 9 J C x 1 X g u F z 8 7 l G 5 6 z y j v S H r / y a + n U t R D C / g N k J j C p y 5 a 8 Z x p S K e b 2 V M T d W T z s R S 9 V O b l t I h e N r Y S 4 x o j 9 j d k X 5 O G k R E 5 H X / r I g F P H O / / 4 4 3 v B H j 6 F d C C A K Q + F D X z i i B n o t v P 2 u P p w a m N F M u w r Q n 5 y O p v C n P 7 c L Q 9 M Z 5 V z X C w b 8 z Q f u w W 9 9 i W Q t 4 O p k F B / 4 f O 2 i m W w s F u q g d d b U 4 c F w + I Q 2 Y G t f 3 p J A H y H H G u v y m K / h D C 8 X Y 3 M X 1 Y A y B h V 9 F S 4 / o N 2 v 0 o U E 2 e G M K g 2 m E r H y 5 c M g Z Z 7 I z L v Q 5 7 9 N k 8 4 8 9 B A 5 w / s G f O 4 m B D x t 8 8 d 4 5 A K S 4 s e l c h Z c m i q K l Z D D r t 5 y r Z f I l O a M m F z M 0 D x T g S q 1 4 0 T 0 i l y z 9 p v G Y j 7 e 1 + W 5 8 u r C 1 w e L + E k B z K Z q T 0 5 3 B T e p D R a c L n E x p A 2 H 6 9 S s y F y S M a c / f 0 l A T c J h x C K W s 7 E k / v s v m C S E o Z X k w Z j f + K l X r 8 M 3 H m d I t P q y K c n + v 3 d q 1 W 4 + 9 s 8 n V b S w H h h t f M 9 n H 5 N n p e 9 Q s w 1 P a s v L i V x O i / i Z Q b P R 5 u b g z y A a W z m N Q v A e o 1 E t J + x 6 k T S V v O b g Y z k t O u W j 4 h e x x g V h V Q U 7 N K S L 5 e b u f P l i 5 S M V M R V n h E 5 X F S a z x 0 A 8 N S d 9 U j J f H Q 4 X H r / o w d G r W W V R 7 O 2 r N i G 9 z i a l a R g 4 6 P a X F + s x g / 0 6 G j 6 L 8 e g F V d e C f z M 9 2 y f v 1 + / f p a O o w u j m F Q O 1 w M l e + k + c g 6 o F m s 4 v W V D C w J b u I n 7 l b 8 Q M k 5 Z j e g g z H 5 4 + P 4 m 3 3 N o r v g 2 T k a T z h X j d T R 7 8 7 p f 1 y V V h I d d E c R k C k 2 J / 5 y d 3 4 v f / q d y J 3 r u u B c c v l x e B Z F I n B 2 5 f m 7 9 s W 5 x O O b f K v B D Y x Z T 8 x w + 9 C j O J R 1 Q k i v M S B O u 7 G W A Y 1 o 1 2 k U b i M O v F X l K x a N l i R J L D y E J e K p q b g 4 q 8 y 8 U L L 1 y A s 6 v + 4 F j j P Y j J 9 C V 0 + E v Z B t R g R i S M Z b N U e F m 0 U y l n b 3 G 4 X V 6 V C 0 k 8 P 8 y E V L u 0 Y Q G v 2 t L Y u O A W N 3 a X W 0 V 6 2 f c M S g z O n o L V r m n v F m 8 f i t Y M i o U g I l m W 2 F 6 4 f Y s i e C 3 y + 4 3 D g t V i c o 5 F z i P o 7 k T A V Z 7 V U 4 k r c 0 9 h T d M d 8 l e l N n r J C e V 3 2 / D H X 3 2 U V v S 8 E K y F X 3 / T L f j k v 2 h z I y w 3 Z v F Y 8 d n 3 3 o 4 P / H V p o K u f 1 8 / x B w / u w u 9 9 u Z x k v / O 2 n f i T r x 0 T c 6 P U E a t a f B i e K d c M v / 3 W v a o e h a r 7 o A 9 s c 2 U l N i C 3 z C E 5 v / z B W 2 q G q L k / 1 u x c b T N y M V w v o Q a H h t H X y 7 m X C + D a I U a u w q Y 6 e j 2 D B z D S f Q q 9 T d v L T O K p 5 E U 1 t 9 L s X q M t P 6 G / V M M a q A d u 5 j C b W C + C L o s m b x z J d A v W t F Z n n C 8 E C i b C 5 n S p 7 r w y d U R M L U 3 D B d 3 d 4 o t p i z q J 2 d T V q k x x M 7 K i T R 1 6 Z K 5 R M K O F Y X A z 5 p J j a K q R T T 8 R 0 4 I Y 8 d y Y E O t O N S 5 e c h 8 q J q r G m I n W 8 y z L Y O T C G W Q i S C a C O X 5 l M I 1 B k s k r Z D X w F 7 9 4 K z 7 2 f 5 4 T Y p S b c r k a v s t n v n 0 a O 1 Y 3 q 7 A s i c R r M E 7 N 0 G 1 p / 6 k s 3 v o X x x G J z S p y m U E J u 5 J I 5 x o 3 M T 2 6 1 u R k J 0 P Q L e 7 y u Z W i k J W T q k N z p 8 v K l b V 5 N o i E v m 1 + k H I Z y 1 K Q L + S E o H m M z D T j 5 L W 1 a A u U o o 0 q T J 5 N 4 q l L h X I f r Q J O j y a c 8 p l 0 i V y c 4 5 E j z n o g 8 h v E R P S y m j B n 9 M 9 h 8 4 r 7 4 F a + L i t P r Q 0 e R L d v Z 0 0 y 2 S 3 V J q s Z x h J 6 M 5 i 5 X g u Z H I V s A W t 1 M h E v O a E M Q c y 1 S B 9 9 x 2 6 K d u 0 N H R z A H N C 3 b W w V 5 7 3 k G 9 y 2 r h U D E + J k 8 7 0 6 i v E / H l i t T L h P / N x e / O o X S g U 3 z C s 9 D V P P j L l E B r / 5 H 0 t 2 M t O O j M w F g + C c K 2 N A g 5 r k H X / 5 P G b C U / M T k Q a a m x Z P N 6 o F L m o 0 S j 8 b 5 Z 8 j q e r F c v V g n t 8 i 0 U f C z y v Z y a P j 2 d 2 w b 3 a U R e I q Y S u I V h H p b v a L F o N m X l n Q E Z y T v r R j e 9 8 A T g 4 F M R o d x M X x J J J R + T 1 x q P Z 2 x j E 2 6 8 L 5 s R L Z m C n 2 w k h W E S i d S I j 5 6 R A C a g P D b W t C q 3 M 1 O p z r h S S 3 I J t I K i H A C W D e m 9 / R g V W + v e j 1 7 0 e X d y e 8 9 l Y 1 H C q j c R z w H Z 6 t y g + r B 7 + 9 p + b E b q 2 K w Y T T r i 2 I 5 N k N v O Q m H 9 E e S O K j / 8 S o k U P 5 U e m c O P 5 5 7 k I h A 0 N n H A d w R 9 C L A x u 6 E E l m 8 f S J c V i 8 2 o 0 W C 1 y q L s / V V 7 X v M y t 9 a D q B f e t b 8 T 9 / c F G 9 Z 4 B + V 0 f I i v e 9 9 h b 8 9 j + W b 2 W q w Y L 1 X U F c G i t J U l U T Q k + Z 4 i 8 w F F w G 6 d y v / t p t q k q s O b m X q F U T v R J F E S g R W / U c j o I p E E D N s h g i k S i C w Y D y S T j o 7 F 6 X E i L x 7 8 b g e 2 3 J B I u m J z A V u 1 r z n G b N V Q + Z n A c e F 3 d U W Y v J S B A 7 h U T X p j t E y L l l o H G w F 7 G 5 J S F 9 U 3 t c P D X U h N t X h a W f q z / P i + / G I q L N r r T 4 Z u W a c j x z C Z 1 C s M U w m i 8 l N P u t n f I 7 D k T y 5 Z G 8 t a G 7 c C W s b e 7 X 7 d s h n W s V E t c v z L M Y X h a E I v 7 p 8 e P S K d o K W Q 7 O V 2 x v x y P P a 6 l H z H a g R G U I e + e a F h y 9 O C u k E K 1 R k I a u C M Z x D Z R 5 2 c Y 8 5 J w G O f / D v l X 4 1 6 O X 5 L w L X a / 2 3 c + / 7 2 7 8 0 l 8 9 p n w N s x 9 l f F 4 G + Y 2 v / 5 f b 5 D o t o i X K 7 d e M + G 2 x W P 0 o 3 k o S a n R 0 D N 3 d 5 T Z / 6 r k U 3 D u p d X J i P t W w r Q U M o R u m C 6 t S T c f N + z 1 p 7 6 8 K b V P C Z T x + C W e G N 8 H r T I q A 8 8 k 9 y x 2 I V r H I 4 + 0 9 Y f X 6 e n F 5 1 o o e b 7 K K U E u B + Z 4 M m I n G 2 n 1 M X T L A b W o r 5 8 K W g p c N o Y g v f O 9 I q S y z n M p h t 6 j S Y y Q C T T e u a f q J A 3 3 4 + j O D 0 k R F t W 7 K S v N G b 6 9 f / Q 9 b 8 B f f W n i F 7 E / e u R Z f e Z L L I 1 g Y M q s G W G 2 U O o G T x J z f M k D N S X O v J o R U f / L 2 j f D 7 B 2 H X K 9 O s b h Z T V k c 9 b b W S h L p 4 8 T J C I U p Z G U o i c d O D K Y Q 2 c i 7 N J u 2 Z 0 y r L S v v S R K U 5 w 1 w 5 z l X Z r L w v G Y J y s J 4 7 2 2 Y y S s e 7 i M 7 m d f K 5 V d q M 7 W 7 F 8 y M Z R K M 2 + V u b q n H o c 9 m x t T 2 p k k t 5 M M J J + a U i t f L o 1 O s g 8 v z 8 f X n Q + 8 8 q / a y Z q H a 7 Q 0 h J 6 6 S g 5 u f Y A 7 w O h 7 S j 2 o B P T s T z 8 P p 4 7 T y H 9 q i V N C B x 2 O a 8 z l R O + k u u c y 4 1 A 5 s 9 C 7 e l S U w 0 F n z h J t V c v s 9 x J t e Z y W M y f V K N L Z 6 P G y 0 w f c q S l 7 Z Q 8 3 N c k c x r k e v k u X V z m u 1 A 8 5 / X y b 8 z z M K X F a E I N h w v d n V r F r / / l R P 4 n x + 8 S + 2 8 8 Z 0 T I 9 L w V m z o C u D C K H 0 n 7 b e M i N 8 v v m o D v v D 9 i / j b X 7 4 L 7 z b t z 2 v G q h Y v h m d K m Q 5 s k A w H l a W S V C U y E R 9 9 x 3 4 x S Y 8 o D c m J U U q x 3 E L + h b T w P 3 z o I K Z m n 4 L D 6 S g j w f U T i j 5 A + f V V g r v A d 3 d 1 q q q s r i 1 u W J v L T d B a m A 8 A C L k c + m b X X O / D X S i 4 e G 8 u V p 5 2 x W L 6 k 5 G 9 6 P D G M Z F w Y V v r y s y h m c E J 7 3 j W C p c M Z L e t t s 9 X r 2 7 i t Z m c u B J 2 H L 4 M r G n T J q G 7 X N o u G m 4 / z d 5 S G 6 a T C T g 9 L l w N l 6 r i a r X + t O 8 w Y Z g J 0 4 1 g 8 Z Z + k W H U E h + c c S C R z q t g A s l E U F u d H Q r j w Y O l V Z 4 k 0 7 v v W a / I R L z n M 9 V k e u 3 u H r z r v v U y A M q j P p T e h Q K 1 C B v O O I h y w f D 8 o D a f x e / X M 5 f K I J L 0 Z / 7 8 S X Q 0 c 7 F i y f k m r j c h 1 v D j F o J 1 T v T 3 l P g w B w N w t D n U b y 5 2 2 E X y 8 6 D m p o T n e 6 w n M Z I 4 p k L p 1 A D G w Y I 2 Y + E 9 2 N k R Q 5 e / K I 8 p j C a 8 V e e 8 3 o O 9 4 b X n w R q n O b H t E 3 m X e p / X y c 3 Y e F T + D Y 9 E z g 7 u 9 H 5 k w I Z X b t W u V 1 2 3 / n k 2 m U Q m l R R B y v E m / r f 8 T k E s o 1 W h 3 f P 3 O J I 4 L t / l 3 1 j R 5 O F O l l Y U L V n 1 y G X z 3 L S B c 1 x c d m R 8 j 8 f L T k O Z 8 Z l / 0 + a Y + j t 8 G B g P y 4 3 L Y N b H P M 2 I D / / E d o y H k / i 7 h 8 U s o Q W m i w e P m B / / 5 U 2 3 4 N + O D V V N 7 t a D M V C Z L G s G A x h 3 b O 7 C D 0 4 N K T + K o H l E c n F l 6 G K 4 b U M 7 P v K G / r K d z G t p q U Y 1 V L t / H f y u 8 l p + h X R B L b 9 g 8 3 M J Q b o n q 4 I S k 7 H L i K W n G z I T K 0 E z i g s L F U z z U S R c O h d E v 7 c 6 K 3 u l w Y l d m o i G D z U a c y E l p t j m b k 0 o 6 V Z W G U S p Y S p m R a e p 7 u B E 7 I K q S t v t K t U 4 N 0 Y q C 3 4 G Q l p m P v 0 t b j 5 A 9 P m Z T 1 r u u w 2 I B m P e P F Q W j d E e B a x p K f l c N S 7 p 5 Q E m x x q L v a 5 O x P H A n v 5 5 M h G 0 W / / 0 6 6 e x s V s L j x Z l U B l I p n O q U l I j Z K I Z S f + M j v Y v 3 L d Z Z a B T E / K R B 0 u U P X J a c 1 q 5 d x X B d T N l F 7 M A D l + c x N 8 9 P V W W s G q W p g a U L 1 g L x f L 3 U 9 l S n c C M m C q Z c 2 l Y p K 2 8 B 3 3 w 3 u 1 T J h 5 9 l M H Z k 4 p M R C O V e w w Y O Y D z Z C J s G f S K X 8 F 1 Q X 1 N u 9 G 1 y A Z p N w r d / j T W h u S e E 1 F 1 R M J x l d r E r X l 4 R J I s c Y Y y M h E s R l k L z 0 3 l 4 P S V L A 7 l g + l C c z B 2 R B H M A H d A K Z J I O Z e K F h J 2 u x P 9 L e X C 6 m V K q C j W t d M p L p l L 3 z k x j O 3 9 1 d U 7 f + c f n 8 U f v 3 O v M v 2 K i f K G b A R 3 b + 1 U D i n x x c e 0 F a e V e p Y B i P / 8 x p 1 y P X S m S 7 a 8 e c 3 W Q v j a 4 Q H 8 z y d K p O J a K O N g I U p K / V C w T k Z B x U S 0 s Z U M f Z 7 s U 3 n M r h q E p W L H w q H J s z K w S m 0 3 H R s U n 6 / c 9 K y F W v v 1 G i i I J F 7 V t A 3 P D U X h K i 4 t + + F G w W k r q I p J v S 0 F d Q Q 9 W k X a S j C D o x a C r p D 8 v a a F W B u C R 8 4 U y T W 3 Y T R V a h v W n K c v 2 x f a q U h o x g q b f C u D Z l 8 R H / u K K a X I B B Z 4 m U u I / W u s M t T x i X f t x 4 f / 1 9 H 5 I M V i q A x Q G G D i a 0 H Z j + X Q o o x 5 5 U O Z 9 8 o l 6 e t G / C q w v b c Z H 3 v b e j g X X a K u 1 S Q P W 8 7 K S C 7 X U C F X J 7 x o R u 6 I S N 5 X B B B J j a m 9 o q 5 M W b C x U 7 u u Y 6 c f Q 2 t P K a W I K 4 B X N 2 s b 3 i 2 E w e h R G U R J I b j + h g m M c g V t G + G W d h d 9 r r 9 7 Y 2 F e Y F g P C 2 3 m Q D A F L J m J Y D L B u a t N K h q X y M + q P g z 6 m A G h 3 e y V y O P q s R z i H 8 n 3 O G k 8 H H 5 e y O f m T C n c 1 i Z 4 v L U n 7 V + W G m q h j d t Y 4 K X S z y F I p v a g u y E y / e t v S g P V I B N h s z r B 5 d S V I J l + 8 y d 2 V 4 X Z G 1 m M Z + D 0 0 C z e + b k T Y p K l M R 0 t 1 V + Y S V 5 U E a b B W W N Z g A X N z S E 0 u / r 0 1 y V 4 X S 3 I P 2 l R Z C J m E o O q s s 9 w 2 K n Z 9 4 J M q p z g t Q i f z E U w M F M + e U u L 1 s K 5 v Q q t S P D c E 8 n R F 4 1 M K 4 V 8 L g t r z q b I R M R t U 5 g t X M F 0 / r y Q 6 A l c i x 2 S + 6 q 3 Y F H u W q w S L n v p D e 1 A w N I N t 6 U Z W V R n 1 x h 4 W W o o 4 j P f e h q s T k M J Y e T 6 G b C K C G V N c y 5 f N 4 O E U p E 8 v m 3 i 1 e Z V Q X z i p 0 q Z 1 c R Y t I j 3 / l X t d S 0 M E O R M S + e p 1 o 3 B y r 1 y 0 5 n y 6 2 G e 2 l L Q 7 P H g D 9 + e w 9 q O / a I N t A v l E g v O m x S t O V j y L v S E t o p J 4 x c i Z z C a O C n X Q 3 O x i H 7 P X b A 6 S z f H 0 P 9 o Z B Q j c 2 3 Y 3 6 9 J 8 k P H H k H X 2 u o l 8 J w / a / b 2 V k z Y l j C X b E f Q P Y N 0 1 g u P M y r S Q v t N X Y j j 2 s Q + 3 N Z d O 3 x 9 I 1 B L Q 8 0 k H W L W F e C z a 9 e x m I b K Z d J y a K Y b v 8 u K v M O x 0 l q u W j A i u Y b w 7 P X t F / 8 J G E 6 X / m 5 t s H Y B 0 M X F + U u E 1 q B m 6 t B v I b G M H D p C W 8 F r w a + 9 Y S t + 7 h X r V b r P L 7 x y Q y k s L n d l 9 q e 8 8 n k l S M p 6 M B I w 1 W C S w y A T U W s h I L P S W W K Y 8 1 Q L w f h e L F 3 E b / + z U / e p N H m 2 O n C r 3 B E 7 U n 7 P m h U n W M t k Z q V V r i T l O p y u q / u R n y k f 0 C S k 1 Z r H 5 u 7 S m i a v z 6 s W / V W C 2 S a 1 y D Q Z X a 3 q P T R 7 p + F 2 i F F n y 4 i w 8 s r N U l u J n 8 g o o x z N 3 p U r A b A Q W H m p H l o 8 W X j r z E k 1 A l a S 7 f R s k 7 Y u D X 0 m 0 6 7 y 7 V G m H c F 6 f 7 3 + U u S O f q v T V T K h i V q 7 k B A v W 0 I 9 e P e t + N + / / j r 9 l f R n M a 2 I l Z d H g v l + n / r m W f z 9 I 5 f U k v k T A + U O t Z H n R 2 z Q I 4 F m v O f z 5 T v 0 m b E Q M d 7 z K m 0 f X c L I C t A O L c W F k 7 7 1 Q E 1 m R I 4 S q T w e / O w Z z M 1 p I X R q 4 V 5 W S m V U z 5 J H u h j B k E m S J r 4 X R 2 6 t k F k v P 0 e N N Z 2 8 g q n E Z Y z O t h i 8 V I I n b + O 2 m X b R 4 g u b o 1 e n 9 6 l Q c n d w H G v 8 v e g S s y h o 7 0 A s 1 S z + Q r V Z E 3 B P Y S Z X W g 5 + I 5 C V + 6 J m X g g 5 f R f B R L Z a U C 4 E B n J 4 T K c v S X N p g p F 9 z Q x z T t S P x k + q b X L Y d t T m 1 E I 8 C q k i B q K l + c 0 m V 7 / a H K I W X r a E I g 5 f S O M f / r N G K i N b W g t Z l + O X P n c I 9 3 J P 3 g o U p S G I n 7 2 z d t i 0 H k r 7 T F G L l W u y p 8 5 z E 6 / 6 W R L U G G b p V w l G j k g s n o N K 9 + f + 5 q J o K m r W o j J v v b Y 2 4 Z M W P S y w F q E O z 9 0 e B A I + W B 1 F P D O Q x r M D c T x 6 K I v n L + Q x N G H B o R f 8 q v b d t e l L a G n 2 4 M x I F 7 J i L t Z D p 3 M z b u / R s h u 4 0 N C q l + p y F F 2 i D d n G R Y S T n f L / + p p 8 p T G W P o + p 7 B V M Z C 7 J 8 x e U Z q g F h 7 5 / l d e R x 7 O D X I 2 g X j Y M c / 9 R M I 3 E T 2 A 8 c V p p p m R u R q 2 z M s B g x V j + R J m F x M 3 0 6 u F l T S j i y M W 0 k r R K o h R F 4 u r S q R J / / q 9 n 8 f 4 H t N Q S A 2 6 / H f 9 8 v 1 4 x q Q I L L V + g 6 V V P 0 x y / z I R d d m L 9 X m R U b b F h m N d / n 1 r t J z 9 9 G t G I Z u Z 0 B j a J x t g q v + C A Q x / k 3 G o z P Z R S m z s z a L K u Y x j X L o / g 4 H 4 r t m + y Y 3 V X Q c y + I o 5 d X o W T Z 6 3 w C h / 7 W 8 7 g y m T 1 h O 5 0 t E 9 p J b P J 6 7 B 7 4 B C T x u U L w C K / 6 W G 2 t T 2 F o G d U r k 6 7 z 8 H Z b U J Q 5 / z r G 4 E u 1 y Z 0 y s F A D 9 O E r D X 2 b q r E n j 4 u o d G y 4 7 l J W 2 U A x u 5 0 K d / J f N Q T e F e j W u W n g L M H y b i x F o v z T u U + 8 0 L X 9 b I n F P H B 1 x + E 0 8 7 g h G Y w G R O + l f j c Q y + g y e 9 U W 4 g y E v j P H 9 o F 1 w 4 X M u e r J f V i x S T r E Y 4 L 1 H 7 j z T v 0 V 7 X B D l h s 2 F E b G S C p f u a v z i O l z 1 N x 7 6 V i 3 i b + g p Z i x Y l b 9 w Z t c + f M 6 Q x C V / u x u S c D Z y o I l w z + v t Z p 7 F k / h R 2 9 V 3 B g Z x 5 B d 4 c K k 9 / Z G 8 V U R F v f Y 0 Q j v e 6 F J 7 v p K 7 h 8 f t F S d 8 N J 3 5 O L 9 M S n 6 m s 5 C Y c z g p S l 8 X V Z y w E r 2 z X b G 8 / C M M Y C s 0 G Y h G z 0 a z a j t W U t d H r L N z 4 w 0 G L f i D b r F m S T K b g 8 W l C H L k a j l W 1 j / x 7 7 4 S A U w Q R V m g C G X O U M e S 3 M x T L 4 t S 8 c w V + / v 1 R o 3 7 n J i f g P K p M 3 L V X S z A A n W k u B i G p q j M 7 U D 5 s a W M j s I y o X 7 / E 3 3 / 7 p U 0 g m e e 4 i 1 r Q c m F 8 k F 3 u o l B 3 h 3 O 6 E Y 6 u Q r c e L d C G u d j r n 3 q 8 8 e p o 2 o z u 0 S Q h Z i n z t a C e R L P J 7 e q T L v n g Z N F 4 L 4 b L q x V p Y l 8 E m D b 6 Y 2 l 0 h m I X N Y q i 1 + K + Q z y 2 r H P V M 7 g K m C 1 q t w H Q y j l S i e v U u U S s g E f t + D P 5 X + 1 + + Y f N a G B g f U L X 3 X K K t u E E y N x 7 g c o T R 2 Y S Y M u V a K O h x 4 O / e X 1 5 N J y 3 S 3 S U D k g P 2 X Z 9 / H u F E f V + I G o q 2 d l v Q D a 6 b m o l p E c R m b w A / d f d a t S F 3 V 6 g 8 8 m P e t N n Y Y 6 o e L G I 2 W L l 1 Y g X e c t t q 9 H i i 8 P u l c 2 R g p 5 8 V a b l H 8 6 n M G J g 4 g x w C W D 3 e B e e O 2 g M w r Z s t M y k 7 Z m U Q e N 1 h 5 R d t a S o V 1 i e o k c x s 0 f m k 9 k W a T l 5 U / g M 3 b z b Q b S s t R 1 k 6 O N w a Y + Z K T O z W Q j I W F r + o Y o d 4 c S W c l p D a C v R a 9 D B 6 X H u Q y S Y x X v k 9 Q W X I P P 2 C 9 N F m r Y 9 + q A j F b v j L b 2 k p 9 p y C y u Z Z T 4 3 1 H o o 1 J d X O N c 1 q Q 4 F 5 U O m I r 8 E B U i u 4 U Q l G F d W q Y f X L X C 9 T h L m I v 2 F u t I f c m A y n 5 q / B b J L m U Z t Y K i J Y J 5 p I w / Z f P n y 7 S N o 0 0 s f S 8 B y o L g J D Q r n d D n T 5 N q p d S S y u 6 k G a F S l b d i 1 F 6 k 3 5 r u m r 9 J s q Y f 7 c Q M S 0 C M + Z 0 a J w b k V E I B W v L c m v F 4 0 Q y u X 1 q T V X S w E j f a N 5 F v C p G P q c H u D c m 7 g W D F B w m q N W B g V r C B r b I M U f i 8 N 3 T 2 n O b 2 l X 8 h K D t / 9 b b 9 k L p 8 M m g 5 H m S 1 F l g 9 c i E 3 F h p G L D a f l a M c k B t T i Z D B S K T q S z T u W c 0 g 8 h y S r B B Y i K c z V A n 4 B O r P n Q J o r r y z F + / q Z P H E I 6 U 4 B r Z + 3 B x K R e R R a 5 l e z Z 2 p r W o f s B B m w y U B Y j U z 2 w c p J x O G U Q c 9 0 U T 1 Y r T W s l w d 8 y H 1 b 6 0 v L b x u u F y M S l G f X g t P j g k M P A m s B B d D E b X d p I T T k I m f K J 6 r / n Z w a Z s p c z Z W Q i f q g I R U T T L r z 3 f k 6 C q v 5 c E M w U / 9 h P l 5 s n K o m W 2 + J w P B t H j a 0 w D R / K Z s 3 B 7 W S o W 4 g k v 2 f 2 j U h k H p f H 4 / P O s H b C E h g x p H l n P k h M V a K s B v i 7 / C 2 a m + / 4 1 A n Y v e 6 a A y O c a h L z T f N x n L u c V X t n G a h H m q W Q i Z n r j K J d n T m q 1 g L x n l k / j + 8 P z p 5 A o r B 4 z Y z l w m h j 4 3 C 6 3 X J 4 5 l 8 v h F o m t Y E u z 3 a 0 O z a h S 8 x X H v S X J v L a l j u 9 9 g P I j e W E W x Y 0 T a 5 F y 4 m t a q k 8 Y Q Q o s l e z y P V V C 9 c f O k I R j F j / / k 8 f X J R Q x G e + X b 3 3 q s U p f 8 h 2 U a y U o 6 I V t N Q j L U p E j W J k T p B M C 2 d D C B 3 0 B Z I L g W Z M v b A 7 f 4 M a y g b x 9 e R n 3 / g n T 4 u f y K U s 5 a Q K e a O i o f V A i 9 x D / n J 9 a U w f y U K / U z + W Q i b C y L p m E I f 7 0 R r L O 3 L W C C x i c r c E S 7 X y b g S S R x L I D m Z R T B c x N x p G 9 P t h Z K / V 9 3 / n k v p y G / G D K Q h 4 D M 4 d V 4 m y B P 0 u F g E q 6 K u + P d I e B S F P R 3 4 t O i / u g 8 0 j W q j L D q v P i q b 1 P Z j Z f R a 2 I 6 U 2 U 0 k G V + k 2 V A / A H 0 p C E e P h P D 7 w + j v w w d d t U R E z V o X V U F Q S v q h L E u 5 D R b P w H Q f X q N f z E D + e H a T A 5 Q + m X e Y 5 n L U 0 I W o R e W W V g W h q K o N s l W i E T P O o Q a h i t o B 8 K i d 3 I P d Q T C L n Y H Z I C v / x z 5 8 U U j M I U x p E L q c N z 1 2 k l t I G j 3 2 T H c V E v d 8 X X 1 M 0 i n E s B E 5 q X p t 9 V g Z g t T M O 0 d a V a P b U z h h Y K W S e T y k f 0 t E n f S B + Y s 6 d x t T + 5 z A U P K R 2 r c + N C t H 0 5 T c G u I F 2 O D U m G v W 4 0 m K t / l 5 p b g v S i V K k l + Q y C u l w z i l 5 1 C J E 8 8 O 7 p y L Q J P 2 + O n A b 5 n a d R 9 O p j V g 1 d R t y p 4 r w 3 u 2 C u 8 a u l D + 0 h D L A L X C 4 l I M T n p p / Q w L Y V S q J M S P O K N 0 j p 8 b B R Y s G 6 H + w g 4 p G Z j Z 3 T x B S q R x A N S 7 5 X e 3 7 P L 9 Z M 9 W S T E Q j Z o g B 6 d 9 5 U F v l s h n k x C E u O G t J X g t + 4 r 8 9 K e d 2 I C v f I 9 y O I D a t j m I s X E r T o X + 4 J H D C + F w K + e k S U S i 1 q Z F Z 7 5 C k m j B t H c P a e 5 X g T n 4 3 C s V z 0 p 4 i K M y I W i 9 o T 6 T 9 x j Y e h a 1 b T G q b F S k h F z E R 1 T 6 f i W u h b W 6 A H X R 1 Y 3 W z V m e R A Q k V 6 B D / k q Y j t V P q C Q t a 7 / F o O 2 j U 6 F u a 6 K w P G N 5 x E c 5 1 T q S 2 T G I w f g T Z S + V E J n 7 o C f X f v 3 l S D X B K E m o U 5 X / o 5 p G W L S x m m K j + 4 d k 5 b O 3 z 4 T 2 v K W 1 U r E j l 1 n 0 q Q j S V y g F k m 8 o p 6 v k l x i S p G W Y h a R D L O G q a B o b P J T 9 B j V d c L O F T z v G G T z y u b Y + q k 8 r r z o u U L R H Q 2 m p F 9 t w i 5 x E U Z s R 0 e 0 q k t Q g Y r v C 1 t d q R u Z h G + n Q K T a k + + K 0 t s K U d s I + 5 Y T / S g s D 5 b n U 0 n V 0 H S 8 X S G i 5 c r G e + L h f 5 Y 3 K N s 3 L L W 0 S L 6 B W R C M 4 v d d v K t 9 E Z U A s D H 0 d 8 2 x g K s b x K J j b g d v i Q V W l d G o y q t J V w 7 y v I e Y 7 K f V Q T x A B r 9 r F E d T w 7 h S Z n n 8 h f D 2 z r D O F b w g 9 V 2 L w e t v f Z 8 e l v P o c z Q y X n m G a T Y Q Z y o t B I x e f G A N t 6 2 / G o v i P i v E Y R y c y v V I a f q b H M i b a 1 Y J Q 4 W w j m 8 P X 8 b 8 p b q u Z g D V O q H q g p P / f u X e g M W p D M R J X j 7 P e V z y t x Y F m c V h m U e a S F K J y X L Y q W t g Z F 1 3 Y K U X q M e S v x S T J D C D p 6 9 O k B D Z X r p A y E L J u Q y 8 X g O R z A 1 D 0 i y L L i 6 c 0 F 4 B l v g 3 9 f + T U 0 g q G E V h + P 0 b Z O z 0 Z k T m R h X 2 9 D 0 a M J B Y b N I Y L H 4 x H z W 7 Q J t Q t h r q t n R m / i N t i 6 b B i O a O Z q p 2 u L i g J y k j e b S i K f 0 9 p Z + Z T y L 5 d P Y S r u Q W d A C D V 7 V J m G j G I u B d k L e T g 2 l t r u R 4 J Q B r i G y g B X n n K L m n t u 6 c E 3 j 4 4 g Y y q o w s n a / e u 6 8 P 3 n y m s t 1 C W P t J D S Y v x I p D E H q x m N E K o M J K 8 o F o t b O r W o 7 Q j S K I z o 4 F / 8 7 F Y x 8 a b Q 0 9 N V t g I 4 O 5 C D Y 0 2 5 m V Q P X P K t b k 7 Q 5 d 2 u d l J P Z p m a V M B 4 9 L I 8 m o Q L S 6 0 x W 0 L Q c m g b Z m 4 v F Z R Z F d g L J 3 z I j W e R e U F I I P f l 2 S k m F N 2 R O u Y x w W A B 0 X H u F h R X C Z n a y q N y i 8 1 D M X N m P F / a k Z 5 1 3 P N D B W Q i Y v 5 5 L L A H 7 S i 4 N Q 1 O Y h l B C R e 3 S 8 1 b E H s i C q u Y s d a g D d N N V + A d a 4 H H H Y R n b 2 1 N V g s F c R m s Y u U Y q D F 6 f j j B c k 4 c H H a 9 2 M l 9 2 / t V c c r / e / i y k C k l E t i l q s o S U 5 G U v K e Z T W Z w g N e E v E 3 N R R t b k Y n m Y L q g / C / l g 5 k C G o u h I K Q t W u U 8 + m 8 x N 5 A b i V U m Y N Y H / 8 6 C X / 3 i W X R 2 r 4 Z D L y B p I D d e f V / 1 0 B v Y B 7 + z X T 2 f 0 F e t z m a u Y Z z P 7 S K A m M d n F a f f I j e s k 4 m g V j R j L H Z a j S R 7 t w P e V / j g v d 0 r Z L I g O 5 R D 4 u m E S u 6 t R H 4 u h 5 a T a 2 H N 2 T G x 5 Q z i r U v P E W Q E V u 1 m S D N U / 4 l Y 2 w S s / f J Z h 5 j 6 Q q a C y M z C c Q v y Z + V 1 X K w W 8 Z e y Y 1 l l h g f u D c I i W j u 5 N o N s U x z h L Y O K T I V Y A b H H 4 u r a K 4 / k 8 a Q K h q S e T S r h U R k I + p H R U L t W 2 / D e z 2 m V e t Z 1 B T E y E 0 c 0 V X s G / 1 P v P o i L o x G 1 a T U n b O d 7 g 4 O V Q m w B M W M 2 3 Q x Q Q 6 k A H 4 n G J / I f L a g C J 5 3 l N X 0 x / l l e y F h j r e M 8 t K B K f d B M M W d q / M 0 H 7 k C L K 1 l W P S n x c B z e + 8 o n G x c C g w 7 0 C w g O T r l S t U U o d 8 a v B 1 v S h b w n j a s T t 6 K / Q 6 s N v 8 q 3 G 0 5 T D m E l S K r U s y L Y R J A 4 N 7 n U 1 I W h o e j 3 c B P q I H d T F w G h o n H S h t w w v J D P L 5 p 6 l M k m h F N 5 t b F 0 p 3 u D a J 3 F h Z P q L l H C N n 1 v A N 4 3 4 f X p + Y t L B b t d 7 v F H R k O d v J a f b 5 T L Y x H x L z S J W q s w 5 a / 9 7 R P 4 2 j O D Q o K C D A h G B 1 P 6 k R T T r k Q Y r 8 t e d b B 0 l E d Y Y X 5 v H j K u q c U K d o v y x 5 j a p 8 w 5 + Y 8 N 7 a x R F L 9 R 0 H c i m Z R W z M o 1 y q k + + O m n M T J d v t H y I r u 1 V K F y s 2 4 G d 1 b 5 F 8 7 V I 5 m c Y f 8 8 m Y i p p D Y p W g / M m P f s 9 8 C 1 3 a 3 N A 5 r Q 1 7 Q L z b 5 V i k w E 0 4 l o l v G R Y X 6 b 3 a G I Y x y V G I 4 8 r / x k V U D H R C a a e e p v 9 B Q p g p q J 5 2 M / p k y 1 Q 3 j f k x k 9 g r g c y C 2 x + t S P D K E I B m k M D U J p r u 3 J W n s Q j 4 e 1 A M Z F 0 w 4 b x P 7 t T W I X 0 y k u I p E W k 6 X i y O e 5 z a V I 2 2 x e / A 0 m 0 M p v m n 5 C v g J R W E I s 7 b X F b l W R R F U 8 h g w T 0 B 8 z E 9 e A 4 R / x W 9 Q C j q J H 3 Q M P o 6 v U u R z 8 A f k t I b D X v U 4 V f S F y o z l 4 7 m h c O x H m p Q m M l h m g t j L K D 7 d 6 y n e 6 c I 0 3 I x M q 1 / 7 p Q l i b 8 N U L R T Y C L r l Y r A g n h Z 5 R D 9 F A J a l 4 j q G 5 U + g K l q + H 4 1 o o B S G R Q U Y G J B x u M b N F 6 0 2 1 e V X Y n A c X E W q l F U q o K F n S E H 6 k C E X / d z 6 C p s N a I 8 R t o F S G u Y R D 5 8 d h E 0 f V 0 F i V Z l g p B C 5 a q M a a K S o s l j I z y F M J R h + L d h 4 l 8 p e g C Q E 7 f S q f 3 M c C 5 q G B d / / 1 S R k c 2 g C z d 5 u 0 Z Y O o j G q N J c Q f 0 t H m 0 a Y Y p p M l L d h 8 b A v S n a a E 4 x q 4 Z t o + t V E Y E b h K F K V N + K 8 S J I f T U 5 q E J a m c d q + W 3 6 f 3 k T l k X g n 6 S V 6 H i U D y 1 G E r 9 0 e P X V t 6 e / 5 I E a p e s K x Q x 6 a 2 q n B 1 9 R 9 9 + l d v h S 1 d I m I 5 s U r f r w w k z G t H U 9 S n E p W D g 3 9 T y y 9 b C v 7 x y V G l O Z e D V k + p G h T v J 5 m d r Z s J 0 n p 4 O 2 b 3 L b y 7 C c 1 u Z q 5 Q W / E w L y d f C E X x l S o z H g i H 0 6 l I U g v W i i 2 D C A p U m 0 P r O 4 f + W B P C n e 6 g q e 8 L D n T 4 t V J j B n b 0 V A v M x f A j F T a n U m A 9 d C M F S F t t W X u w M l t b b Z V T B 8 y O Y E 4 f N Y o G B g S 4 B H x h G V Q Q 7 W R d p D b g Q g S q 1 L C N g B P Z X / m V n W q + Z j n g x D e J T j J c j T y N g K s D s c y E F k E T k B h t T + 3 A 1 B 2 i v Z b p B z J D e 6 n 7 L j F s z r 5 0 u + s H J a o g U t V Y T s L U I p s Q s l a Z 6 9 Q p 8 Q O 3 c X m 7 9 v r K z B E V v V y j d j d Z P n 6 k C E W s 6 3 D g 2 h T z 4 d i 2 X K 5 g w d Z e C z 7 0 h U f V D o h D 0 x k 0 B z g p m k M k k V F S m Q 6 t o Y E 0 v w u q 6 M s j R 0 b V v J S S u r r U 5 n m Z 5 s R c Q a O C r E G y Y l Z + z 8 G B y f f q g 9 d V b + 5 p O Y Q i 6 b m H c L c 3 D l d F u a u l g u Q x r F r 6 T k F n D 0 b P n E N q V W V Y m 9 e 5 P M 3 K j I N 6 V Y P M a G Q 9 V C V Y w S i e m V L z a S H b a t i L L k S t I 2 j 3 l v w r T q a n H 0 7 D + 0 o t W E E / c j p 5 V b 5 T 8 h U p Z K 7 O H s f a i t r l i + F H j l C N g u u p P v 2 t k j b T h i W J w N F U V D s l c n F i P i 9 S k v M w D c C e 0 y J Y q g a 6 G m w l + 9 + 8 r H s h Q h H L I R V x 1 5 Y O v O 8 V A Y T 8 1 T X 5 G o U q u M n 4 v w 5 q q W u T J 5 B 3 i N S / j i h l J Q z t t x C W Q q i U E G k 0 V l 2 4 t M u 2 c 3 5 1 L n + T A o M d 3 Z x c h 1 k v J 6 8 5 F t x q t 4 1 K K K 0 l 0 m V N c + N a a 3 k 9 9 y M A W n v v f 9 3 t + J l 7 j E 2 K S 4 O f z 4 2 V v j Y x t m 0 p l 4 y l + k 1 l S H Q m t 1 L T U e I x L 4 x B C x b G 5 G t m b h g o B T Z K I I m M Y 7 l 4 4 u w 4 x p M h j M x M V f l B C + W p m b E m e K f + r I R 8 1 Y Z 0 i 4 M C x G n x o 9 m 6 T g 1 q t q M Z h o + V q g j b L w Z + v / J v Z l P X y s h E i 6 H Z v V o 9 r 1 r q L n C E / Z j z a q W w a a H 0 + m v X f W f R F x K a x L o y U 2 s v 5 m r 8 2 B L K Q F t T d T 0 / 7 p G 7 b 5 1 e y 0 8 G v 1 X M P u 4 V Z M 9 W + y h B L 8 0 / 7 b k 9 K / Z 6 R W i O + w c R 2 l d K E t 5 M o O s h k Q E S 5 s 2 3 r c a 6 5 h x 6 W t r k H s q l u l H y e a k o c M 6 L m q l a B i w I L q x s t W 6 A 2 x J U A 7 z D t k 3 V o u D R Y i s F Q k b j p + b J x Y 3 d F g O / b / y N g a B p d 0 G W f + P u g 0 F n 7 d p 5 1 F I t 1 z Y J i f a r h N f + w B 3 q + m q B Q q H N q y 3 7 C X q 0 j J L F 8 G N P K B Z 6 + b 0 H D 2 L X m m b R L i l 8 7 K d 3 i X Q v 4 N j l y X l N Q 9 C E Y / o R s 4 w d F r e Y d 0 K w t A s f e P U O 9 V x p M b e Q I 8 3 l 0 5 w 3 K o 1 A P j P W V p l B L a J p k h L R C B q f 6 r d 1 H 8 V h s y 5 4 3 L G 5 D X / 3 n 7 b i H b s 5 Y V m u C Z Y D D r r + 4 B 3 q Y O Y H 6 6 1 X X u P 1 w A U / O m 3 b h X I u N D n 6 R Y P t U u + b l 4 q Q M L G M V v q Z f Z A Q n 4 i 7 g 5 g R y W i 5 m E Z J A 0 4 3 9 A V v U 8 / N 7 e 9 1 t K I 3 c G B + u x 5 O L l P g c E n G Y g i 4 2 9 H k 7 R R / s r R r 5 k L 4 k f O h G L X p C i U w M u d V R e U 7 A j k M z j j R 0 5 T G F 3 5 w B r 9 w 3 0 5 8 7 + Q l 7 F i z C Z 0 h O 8 b D J X P G L f 7 P + n Y b P v z 3 h / D J d x 3 A 4 H Q O f / q 1 Y 0 i n c m o W v B Y Y v H j 0 + X F 8 / J 1 7 0 d n k x h c f v a z K j F 2 4 F l F p N p / 4 + b 1 Y 3 1 l 7 6 5 N G c H U q i g / + V e 3 s b w 1 F f P 0 3 7 0 Y 6 O q H q P L B g 5 f X C b J H m Y z m M F I 9 X m Z C L w S 6 C p 9 1 a P t G 6 M I p 6 4 Z Q S s h k K t C K c t T Z 9 0 t H p 3 a a 2 8 1 k M h k a j s F B F b U x r 4 1 Y S P 9 J B i e n w E L 7 4 2 A V 8 9 r 2 v w Y U x M Y W a r R i Z 5 a 7 h j T c m v / m X 3 x B H 3 U S o n l Y v H r x r D f a v b 8 W D n 3 w Y d 2 7 u x q H z W h R M a T J R / A U I C Z N i A K j l I I w 2 y n P 9 F E v Z U 4 o w M i h q 4 Z 3 3 r s M D G w p w O p 0 q C 2 D + R 6 4 D B q H m E n k E 5 D J H i s d e l o T q D e w X s 0 z M 7 B p F d 6 5 F D q t 2 p r X A 7 1 0 v o U b j J 8 R E X L x 8 2 o + 0 y d c a 6 s W H 3 n g f z o + y Y 4 D h G Q Y K l t a Q l D a / / 0 5 x T k 0 Z 5 Z / / x R 2 4 d 5 M H P l s C 3 / y v t + P p 8 2 K a G B / L + R n l 4 z w W 0 4 1 U / U C k 1 Z J 2 h m K Z m c 5 B Q F t f D E T 9 j 6 p B k 2 Q h I h l 4 6 t y k + g 0 N 1 0 8 m M 5 4 d 1 C Z G W T a L A 9 G M Z H r 5 k c T a o B h a W m Y C k 3 p r k Y k w C n s y S M T n 1 G T G P U S O z O H K 7 G F l V j e C 4 d h x p B Z I F j b j x 9 6 H a g T f P T G K I j W U k O a T 7 9 y H Q r q U l c B s 6 K / 9 5 j 7 k 9 W R c R v D K Q + Q l T a R S l b j M m s / T L I F W v / q R o R E W I 1 X A r Q 0 o o 9 j / S u K + z V y o a J C 0 i I C 9 V w a M d m 8 e 1 8 L R u X w x h U h h u O 5 i w J W A 1 7 a 4 q U d Q y 5 n N w s j q A W m w H O b m 4 p i Z D V c d 3 K P Y j E w h 3 j D Z b x K q A e z d s B 6 f e d / d + P B b 7 s S V O Z H a w p H 0 O W 3 A U 8 o N T h 3 D w 3 / 8 O l U N Z 1 5 T C T I 5 c Y 3 N 0 T U h m z b b J Q 2 v E 4 G L G m 1 Z G a T z G o 7 a y Q l b x q 5 2 D + H 6 K f M 5 K z E y y y X / c o 6 F 0 m y u A 9 z c L Z + j t L f A 7 f D D Z + 9 E k 8 O Y a i j h 4 s i 9 m I n 2 6 6 9 4 y U X E i z e 2 D v p E j Z 0 H 4 9 l J R P V g h Y H B a C n k n T i a Q E f n B v Q s Y L 5 F Y 9 X l q s 1 B D m p G T i D X w k 1 C N Q D O / Z 4 b z i G R Y f Q N + P c r Y o 5 t d i K T i S P 9 c E b V I X / + 2 n f h d 9 t R M C V 5 O v R d 9 g h 2 C M m X L 2 h b 2 R h g J o b V Z Q M 3 w K Y 2 4 i O N H 6 u c i 4 s Q G b J X f S m 8 U o s T x f 6 n + a k e 5 b h v W x d s p z 3 I T z A X T m M e J T I T d H O D W V W 8 J P 5 w T D 4 X s 3 d + E r s + u O e U Y Q p l h o R I 8 r v U p A S l f J O n G 5 5 C d Z C l t + 0 E W g J X k c v f G G L X g j L n d E 1 O H 4 n + K 3 M H U 7 k o Q j U y M e L f i 2 F 6 / Q V V + 9 1 l b z w r n x u y 5 Z H F Q P Q p V U m W R B 6 J 1 9 7 9 8 i a h l g H 6 Y / 9 + z o U n B 5 p g 2 6 5 J r v 7 2 O x F N Z m B 1 i G Z J a 2 a e M b / B R / p N L E f G J m d 9 C 8 P G p y S v B D V O 1 f t y K p K L 0 U a 1 c p g m q F g h b 7 t j F d L b s o i 5 k s h l c 6 p o y d X I k 7 i a e Q p D w c O I b h + E 7 z 4 / b B 1 C U N G Q h W h e r T Z N H o q r j O t K N L l W y f d s m J k J I z c g x D K N k E w 8 g V w i g + N C 3 k T a X E N C t J d T W w b D 3 Q / N u L 4 6 6 I v j m m g f I + A w l b w 4 n 0 L W 4 l 4 j / l W J 3 I V o A d m 7 o u h r L i / y s h i 4 X o x 7 8 R I 9 r v 1 y p w u b f j c J t Q D u 2 + b F n Z v q h 6 F Z W / 1 q 3 o / U T B q f e W h A E Y f z W a + 7 v U / M I 9 E 6 j q x o q a z 4 O T 5 4 X U 6 1 t I P b l 3 q Z Q W 3 T J l 6 p u R I Z 7 S D R X H Y r P E 4 7 3 H a b e s 6 D 5 + J 7 5 o P n + a X 7 N y M 8 N a y I o s 5 V 1 E x K 8 7 8 y e 1 G + Z g 3 Y 4 N 7 j g e d 2 H 6 x + 6 X 7 5 O D e V R e K x O P J C t v z F I p K P J u A + L R c r m p D v F 3 Q B M Z U Q o e D 2 4 8 5 1 T e j 0 m y V 8 p V B g z X m / m s x 9 M W H M W x k b N f Q H b 1 N 9 w i N 5 K C F X y f v Q 2 q p R j C W 0 m h X c I C A q A o X n W h O 4 E 6 x f U Q s / t r l 8 j c I n T v k n / + V p v O + B 2 / V 3 q u G 3 F P H H D K 3 r f c X M B w Y j O K A N T c R o V C l U X m p y 7 m O V z r i Q 0 8 t z e Z z y G U 0 2 q k E D J E J F p o N H l N 3 f v 3 8 7 4 j G R y D q h / H 4 P h h K H 1 X M D f l c H 2 t 2 N h a 9 V O J k a U E 7 H 3 e W 9 h a b 5 x X z x J 6 L w H S x f 2 M d 7 4 + 4 c N B G 5 U 0 c l O H m 7 l M j d e P 6 0 D P m S y d z I P F Q 9 m K O S R t I y 2 9 9 c v o 0 B i F r g / T c 3 h d Q e U 5 x Q 5 n 2 G C 9 f 0 T z V y 1 c O P p Y b y i 2 + i j 8 F F E R e / i W S a j 0 z X Q E w 0 w / / 7 B m 2 G 3 o D a T F p I Z B S W 5 3 N 1 y D 9 K O W M p C M P 4 F m s K L n 2 x W 1 I 0 V S o n 3 z K n I 8 l H l U s + t v Q 2 a a Q z 3 U i q U B 1 5 S 6 c y S K f L z b B 6 i M Y m 9 G c k t l Z b w d i X t t Z s A 8 3 Y D u 8 t c F p L I X R u A G d g q W H w l Y S m j X S I y 5 r O J R B O N j a X Z s g y L v 9 w w g + P p W W + B r p W B 7 1 y r z E N 3 z n r k H v + M U Q s V c S u / s a X B B C L + f M z V j u + 9 b u v n S c C p T 0 x b 4 5 J U 6 v 6 F v O v b d L p p Z O a 5 x m N d y t z / E g q Q 8 s d v 8 w 0 m v K L S u W X l m h a C V + u D R O x C 2 D V W I 8 9 W L b U 3 L 5 L f K i J F H L p t K o L b k a L Z 7 V 8 v 0 n u y Y I e / 2 6 l H c w a 4 u K s F 4 d H Q h i J l d r c f O 7 F w c Y x j n L U 2 0 n F P B F t 8 V p w a S w N v z 5 l 0 S i 4 j s p e U V V q I d y / l f O P P 6 Y 4 M d C Y t F o K H j o R x + Z W b a D I 0 F O P p U G g R f n 4 i k R i 3 i D R L a Y F t R X h p b n H R 9 P S 7 E p S G S W 8 y M v K 3 S V c t m V W 7 N F R n K A v N 6 d K M I 9 F t Z 3 8 z M i c y 6 m S 0 X O p I U S S m j Y z N G e X b w f W h A 6 q 5 5 X Y 0 J z A b T 1 h I V t 5 m 5 N U 5 s x 7 p z U g x G x G t 6 8 U O H D Y P E L O g / M H i 3 K a U a s M A W G s a y M Y H e 3 v Y N 2 L 2 q H u h T C a K s / e W A w / t o R q B J 3 m J d I N 4 i M / v V c 9 u k R j G W D n s o o t g w 6 V Z 9 z c 6 x O S a d 3 A w W m Q y g y S i g c H n 5 E V I V 4 B p m S g s H B M l h V W B b l s a X D Z E V S H p W L Z R D 3 k x F / I m y r Y J j O a f 8 F B b 3 P Y 1 a N 9 r / i E x 0 W T F V v h z C 8 9 Z 7 D W J K + q 4 i r 3 x b v u 8 t 8 i x N w O t z 2 k s j O 4 t C K b T 8 5 H 8 Y h W 0 y L A R p G 9 l B F f u F n 8 y T b 9 n S W g w n d d D D c J t Q C m Y h Y 0 + 2 u b F P V w 9 I o M b h k d K S G P A W o m z b w T M o i B b s 5 + 6 A j K c x O H K n 0 l M 8 z S n O b V L / 2 P 5 / G B L 1 1 B p q B N R O Z y 4 n Q L g X h 4 C 9 3 w F 9 b A W + x W P 7 s g 6 D R E r M i 4 o / I b p S E R T W t a y O 5 0 I 5 / N K l L 5 7 g n A 4 X L P m 2 y V G r Q W W B J M f T / n K i u s Y o C k 8 s j n r A Q 7 E n t W Z Y U z 9 a o v e E D 5 n U 5 b + Z w R z U m n t f F 5 p E K d T R T M 7 V k L m X x M h G B K V U Q y H y 5 P f X f h J q E W A G u G f P Z b z 6 A t 0 D i p l E O b Y q E S 4 3 V e S F L S H B w 0 z P V z 6 G Y e Q b + I A Q Z D E y 0 N F v h c 2 k S r o x h A s L B V H V a w X o I V z c 0 h u J y m y V a 5 r m I q j / S p F G K P R 5 C f z W M u H E X U l k C u K w a H + D u t J 9 b D N 9 i O e F z T U h x 4 R s 0 8 I v 1 M Y w V h W M a L R J o n q Y z f a / H D e h J v N a K Z U T E L 9 8 B r 1 9 K E q L l X B 2 / H K r + m 9 Q l O i j M n s s m t 7 U n l d 2 h r o f h d Y 5 N v I p Y t Z W n Y + u s R S n 8 i S G F y / m A j x W I J 1 S e 1 M B A t l f y u x E 1 C L Y K f u n e f m B 2 1 7 f S 6 8 F j h S 9 u 0 c m I F K 2 z 6 j h B c p 2 d N O 5 T G Y t N T + h K G O a d W n j O Y Y R x k Z Q 2 F p c L x Q l L W 6 v 7 l 1 2 1 W J L a a w p A 2 m x V 2 u x h 8 I X 3 g y j m S j y W Q u Z x W I e S 8 X X y l 3 j S y 2 4 u I I D Y / c I r J E H J N a U z v v o R 4 3 y S S x T k M T B z D 1 b F n M T F 5 C c m p G F L T c V X i T K t d u D D s J i I P h l m f 4 V Y 1 f z M U f k 7 t 3 X R t r t w / a X J p q 2 w X w t X I I Q z K 4 X N 0 K H + q 3 b s R r e 5 1 S p v 1 + H f J + 5 p Z Z 9 5 m x 9 Y i W r E 8 j q L g 0 Y u / R I q X k C 7 O z h 8 M 0 / v 9 X s Q T 1 W X I Q s 7 e K o 1 p x s 1 5 q B u A z / z b Y R Q T O a 2 4 p Q 5 j B p / R P U v G B q t N / A Z 7 A f f c 0 o H H n 5 s G A 4 D 6 s F Y E Y Z o Q B T t X D 5 N T O 7 p D 6 J K B s b r D h 3 u 3 d e P y 5 c v o k w H h L D g Q W C 2 + E i N Y O q c K 8 Q K y Q p 7 8 p G j H U B F Z b r u y J B Q R L Q 7 I 7 4 q Z Z x M z z 9 Y C p 6 r 8 L z 8 h 5 G d F V 1 5 s 4 l g C 3 v 2 N F d a / M v O 0 3 I s b f U 1 7 E E m N i v 9 3 R d d c R X T 4 N o m P o 6 + Q N k G r e l S A 2 1 0 y k V n m j L U D u d r W b W 8 8 4 3 3 q T B Y t a 6 X d X f K b 2 s 8 q c C 4 q U r y I K 1 M 7 s a b t B D z o R M j b q c i W y 2 c w K B q 1 E p w a q J c L e J N Q N w h / 9 d A z 0 i H a s h F C 0 w L U L f S h Z F A 6 b N j e 1 4 y 3 3 N o j 2 s S C X H I W Q Z d o j l g E x V w e n p w X 9 q Q D 7 o 1 c 7 8 N g h G g d I S F L C A 8 N j y p T L s C t P c e E R T 1 y Z v G f c n F d D H s t S D N Q c Z 0 9 W 7 C F 4 b e V b 1 M z l x 9 F V 6 h U v y 7 + a B y + e 6 s l d j o f V 7 6 i o Y V V Y K F g w 6 r g b p H w X m W 2 D c w + I z K g g K B 7 F V r 1 p e Z m a I S q L i P G c y k f K 7 C 0 s m T c 9 v P k J W B X T 3 6 + 1 B s J R e H h t 6 x W Z i P B c m w k F D + L W 6 + I C H Q h Y 5 l V q W P U U E Z x 0 H Q h D l e F L 3 e T U D c A 2 X Q S b c E s t g p h x i 4 P o S B j 8 v L I E O Z E 4 r O u d q f 4 F l u a W u G 0 2 5 A V K R 0 V A v U E h E B i p t l k A E 4 k s 2 L O W B A X Q j J M 3 j y n + S 8 q + 1 z M z / P J i 1 i 1 u g c t T c 1 I n c g g u a Z + h d S F o A V K q N h K 5 q L b Q V N U f 1 E D E U y g w 1 8 e a e O O F J 6 9 5 c E G b g T Q E V g P r 6 N Z + S q x z A w m k 2 f Q 4 d 4 m P p / m I 2 V z K T H / T i l N t a a l u l B K v a p H J B R 9 J 5 p 7 y 0 H i 8 T i 8 B z U i x B N J p K S / m K F B 4 h A k l M t h x 1 y k P M z u d j v h N Q V V e O 3 Z f K q s 1 N h N Q t 0 g 7 O m J o M X P h F Q 9 3 G 3 2 g H X E s z k x H 5 g 1 o U l G A 4 9 d t O K e D b X N t I s X L g o R n X j h z A W 0 t 7 U i 1 N 4 E j 9 c j g 2 7 h d V O V Y B H P s P V 5 R a Y W y 2 4 E g 5 q / l Y 4 v v J D O 4 r J h J F L a G y r g 7 k C b t x + p 5 5 J w 7 9 I G 2 4 g M t L S Q x U C b f w 0 C r n Y M R Y + L m r C g N 6 R t z 8 n J 1 8 H Z 5 9 D q W y 1 a q r p Y z k K E 6 v L u h M e x v H m 3 m b g F T V b R U m 6 r I l R l J g k J x d S x V K r 8 / e Y m M a 1 N / R j P T m M i e l n 6 z y G m r G Y C 3 i T U D c R r t 5 Z 3 S K M Y i 1 g R 8 h R U v p 4 Z j B h O T 8 + g r a 1 d N F U O c + E I U s k U n n n 4 C N Z t W w 9 / y I 9 c Y A C O h f b M q Q A J Z U z I L k Y m Y j o 3 D J f F K 8 a R R b R r C k 3 e n v m l E N w t M d s f x m R C 3 3 k / R y J Y 0 N + 8 B 1 b T v B w J Y c 6 k y E d z y g T j x g p m 1 C P U S m B m O I + W H p s q E c Z y Z x 7 a z T p c T r u Y z N V R j B Y x s y s x M H N 0 X t N T U 9 n e / p 6 P f F S 9 u o k V x 9 o 2 M d l q a K b F k M s X R f L r L + Z R x O j o K D o 6 2 j W t J 1 r N I + Z H I B j A h l v W w + 1 1 I z 2 X x s k n L 6 D o Y Q l q 7 j d r h 1 U 0 4 E K g 3 9 D k X q 0 G b l 7 f u 3 c h e K 1 B O K 3 c E c S N 2 Y y Y s 4 W c M u E G Z o 6 h p W U V n E 4 f m l y 9 c l 4 H U l n N Z A p 5 O u d 9 K c J j Z 3 a I d o P M Z n d t c s v 9 i D e V E K 3 w b E o t K 7 G 1 2 O b n 5 I o j 2 t o u e 7 s d 8 c d i s D X b l H a p B a 4 J y 1 7 L I j / H K G i x q i y 2 u s / p P H L n h K x h + U 6 7 W A m F c u 2 Y r 1 F j v V I 7 G W j y 9 C C V n 1 X + c j g 1 e l N D 3 W j s 7 U 2 h L b D w o G 4 E N E H G J 0 b R 2 d E l H V t f A 2 U y K U Q G 4 x g L j + L U h e P Y u K 8 Z L r c D / k B 1 4 M B S o A q 0 6 L s Y W h D A 0 j I J s l y h r I N L j z J 5 M f u O t M B 1 F / d 0 E u m v b 6 h W t G a x r r m 6 g G b s u 1 F 4 X + 2 r O / e W H E s i H 8 / D v 7 5 8 3 o r L S d K n 0 9 I O M v i n x H R r s c L Z 5 4 R V i G a O d i q Y u E E y q U w T + Y 9 c T Y 6 I x v e d h r 9 Y H R A x o 5 Z m q g Q 1 H X G T U C 8 C G j H 9 s v k E H L a F Q 9 B G 3 t p C h D J A 6 Z x 4 I Y F k M I k z l 8 4 g L N q k d 0 M I P r 8 X D n G 4 C U u + X A 2 2 u P r E L a 8 m 3 k I w M i a M y e v k 4 + I 7 y Y j y 3 O N B N p f E C L c L L V r R H d w E t 8 n n S X J 7 z c 1 Z O O V a z G S P Z s Y x n b y A b v 9 O d X 2 V Y f M V g 1 w j p / l i z 0 4 h v 7 Z + e l Z Q r o 3 B o s W Q k f 4 b D j + v x w l v 4 i V H O l d 7 S c B y Q U n s 2 + p D 2 6 o 2 3 L X 9 I O 5 q f Q B d 0 / t w 5 L t D m J 6 a Q z Q S q 1 o S 7 x B P Y q n I 6 5 P e m U R C H X A U 4 X u F D 7 G x a T H h 8 u g J b U d X c G M 5 m Z 5 M I r Z j X E z E U J X m t B T t Q i I r R k l E 7 R 3 9 c e X B D P + E C J j p 1 F n 4 f G 5 1 p N P p s o M T 6 O m M P F / k K O b F R M 2 J i X 9 T Q 7 0 4 W G 6 A w o y l a K h 6 Y O f H o 3 G M D I z g w u l L W H e v Z n I F R N M E H R 3 w W R u r J E Q Y 2 s m M 9 J k 0 X L f o Q Q Q Z W f R p Y t + N i b b R 3 v K + 1 q t q a N A c 7 A l t h c t e b s 5 x B 0 S u Z W I p 5 Y C t 9 4 Z q K J q A k 3 N R z C W e R 3 / 7 X r X s 3 w D J 3 g g o k w r F F I Z m T s P r 8 d / U U C 8 W H r v o V D b / 9 R 1 W j I 2 N Y 3 R k W M 4 o / k D N 7 y x 8 u F 0 u t L a 1 Y O v u L b j 3 j X e j w 7 U N Z / 5 9 G o N X x n F t 4 i J S q c b m t B z u O t p M z z Y a n D u J y f g l t Q L Y / z o f J u 8 8 B / 8 b A y g 4 S t G z i W j 5 / s C E U y d Y J D O s c h 6 X E 9 R p B E W L N s m e T S Y Q 9 L X D a n e o a C K P 9 o 4 2 O F 3 O R Y + s G M g 5 i 0 u I F I T H 6 0 N v i 5 i p N z X U i 4 e N 7 T m s a 6 8 9 v 7 Q U z M Q L e G H M g T v W 6 2 L / O p E P 5 x H O R 5 A T k + X Q 0 4 e x Z e M 6 + P 1 + + A I B N c F Z C y T U t f j T 4 B I L 1 k A 3 w O j a l O 2 y W l f V F u h F w N m t l q 4 M z p 5 S 2 3 a y / J b L V q 6 V z F A Z F T q 6 3 H t F 4 t v r h s 2 p Y Q a u D G B 2 d v k L K y c m J h E Y 9 m H d H W t h a b W j s 6 u x T Q E M P H 3 J g X 3 9 O R E E G o 1 u E u p F g t 9 Z x L a e H J q 8 1 9 / c 6 a w F 4 1 E L X h i 3 q 4 6 8 d 2 N j 2 d / 1 k L t Q g H 2 j Z q y w y G M k I m b Q 3 C y O H X 0 W t x 3 Y J w P a i Y C Q y 2 Z K o a C 5 x 8 H v s 7 e h w 7 d V v Z c d z G L I W 1 r z Z L c 5 1 Q 7 v Z l T O Q V X C I B T D + d 2 e f c q P C Q Z q m 1 8 0 B x / 6 9 n d x 5 1 1 3 q I T g p U C 4 q D Q 2 w Y n d / H A e 5 0 b H c O c r t 8 L u X D w I U Q 8 3 T b 4 X C b G M Z U X I R D i E R G f H x H m X 0 6 W E X N 8 5 4 1 S P Z j w p k r P R X c x J p s K c d m 0 O h w O t r S 1 Y v 3 4 9 3 v D G 1 8 M f C m F o Z A x P P H U I 0 z O z i m z 8 J s 0 x w t g 2 h z 7 R b H J Y a S E L 0 + o F 2 R y d e s 3 E 4 6 C l j + K 2 l O c G 1 k L A 0 a O 2 p C G p R p P H 9 X d r I 5 l M z R N + S U f Q D 3 9 A O 2 g C t w R b s X Z b E 2 Y v i h 9 1 H d 1 0 k 1 A v E l b S F f j e W d P 6 J h 2 P X n D g / I Q W r I i m L I i l L f j + O S d + 8 E L 9 k H A Z a g w i r 9 e r y L V v / 1 7 c c e c d c I u f c P T Z 5 3 D y 5 G l c G n 4 W y U Q W 4 c T 0 f I Q y 0 T w l a g N Y 0 6 I l r d L / u T b 7 r C J b P J 6 U 8 7 n Q 4 d 8 q 2 q H G W g o d 3 H m + 1 a P N C 8 1 n X L w I s P r E 1 / M F 8 M z l Z x H 7 f n k O 3 1 J w k 1 A v E m h i P H L e q R Y t 3 i h c m b I p b f X U 5 R K J W D v w + w 2 Q y t p s Q e 5 c 7 Y s j M Y L B g E j y V r z u 9 f d j 8 y 1 b E b T 3 4 / L R p A p m n B k 4 p M L n R W s R 8 U d q D 8 Y I L m I 8 f V L M R h u G Y s f 0 d 6 s R c J Y m r g M u Z n U X E U m P q N c 3 F L 4 i m l u a s G X L e g z 1 j m H 0 W 6 N V 0 w q N 4 K Y P 9 S K D 6 W q v 2 n J 9 I X S S Z q m 4 / 5 b G f r M o y s b S 4 N w u / a 1 o N I b J y U m c P H M U a 7 e 2 w 5 3 x o K t 7 C w b n K u t H C F l t u S U t u W C Q J J a Z F F N Z i K W c H r 5 b r u q f F l P 0 N a 9 9 l U r D W g q M / L t K U D B E w l E 8 f / o M / F f 9 2 P b g L f M T 4 Y 3 g J q F e A g T c R d y 5 b v m B h O U Q i v E E F o B Z 1 5 r H S M S K f a t r m 1 3 F l A w K K o g G L U U D 0 W h U + T O F T E F L / 1 k B s D Q A l 6 v Y r F b E h L h + 0 Z L a o s Q S u F a s R c x S m 2 1 p c 3 N m Q u W T B d g q c v 4 K Y k o M j 0 x g 4 t F R 7 P 6 p n Q 2 f / y a h X i L c s y G r V Y l d B p Z D q F p 4 5 e Y M H D X G S e 5 K E f a 1 y y N F f k A G 5 5 q V 9 S S m R A M m E k n 0 r e 5 T 5 u d K w E y o b C w H h 7 9 a C z E s P z Y 6 j u S R J L r 3 d 3 H n O f m y B a 6 t L j G R a 9 / j y t 7 5 T T S M y z M v f d O b f S 0 z b B 3 6 k 2 W A Z C q E V 1 Z G N 7 e 0 I J X S t u 2 5 E X C 4 a 5 t 0 J C + z + 7 2 3 + f D k u W d R 2 F q E 5 0 6 P I l M + k k f y y U T V v d 4 k 1 E s E 7 / K n O t A T W p m B 5 a 2 j 6 C w + C / I z y y d F c W p l C U V z a / 2 G D X j h 3 A t K a 6 w E O I c 3 j w W s O W b N d 3 V 1 Y O / u r Z i a m l E 7 n K j 3 g z Z 4 7 v L C G r K g M F t Q S 0 Z y w 7 m b h H q p c H X G p i J w y w E n i F 3 6 z P z 1 Y P / q + n 7 c d a Q L o m i a A L 5 e U C s x U D B 4 b R B b t m 5 Z E Z N v N G z F 0 C z r y u t v N H D K p q a Q 2 s f 4 8 O E j y p 8 z g x r L s d o B + y r 7 T U K 9 V E i L o G t 4 j q g C H K + 3 r q k / l 9 M o F h q b l L y 5 S 8 v T h L b y a s n X j X g 8 r v y n p d c s r A 2 / s 6 A i r Z z G U J x q Q D Z x o W Z 3 T y f a + r b i z I U R z M 2 G k c 9 V p 3 7 d J N R L D C 3 L Q X + x B C w x 0 2 Z Z s K 9 b n j 9 U r N 5 R c 9 l Q i w K F + U u N 4 i 2 E w w O a I L t n Q w b / f s a l F i k 2 i o 2 9 Q W z o b 8 e l i 5 f w 0 K O n k I h r 5 e E M 3 C T U y w A z 8 a V 3 g 0 1 P 7 7 k e L H o G 0 W D M I M i e E x / h t J h e I w W 5 1 s X n s / L T 1 3 9 t B k i m Z D K 5 Y r 4 T s 0 j y + o Y L 5 O i B / g z y 7 s b P T U 3 V 0 t q M P X t 3 4 4 7 d / f j G N 7 6 N a f G t D N w k 1 M s A 4 v c u G S u h o R 5 5 o Y H w u / j u j i 3 i I 2 y 3 i i k n g 8 n n R C 5 f w F x C n H B 5 N A / 0 w l w e 4 1 d j c G x Y / s V V D m 2 a e a F Q C L O z s y p R 9 n r B O U D z J H e T r w i b Y + n X a x D r 9 a 9 / F b 7 z 3 U c Q 1 j d v u 0 m o l w G C 7 q X 7 K v R / 2 v 3 X F + 3 L i K V z e m T p 4 U a 7 D K Y m r z j h 8 m g E C U i E l K e I z v 7 6 S z M a w c h c 9 Z D k 8 o 3 m 5 m Z V B c l Y I b y S K L o W c C Y X Q a g p h A f u v w + n T r G 0 G v D / A / f G m v P E 3 l I R A A A A A E l F T k S u Q m C C < / I m a g e > < / T o u r > < / T o u r s > < / V i s u a l i z a t i o n > 
</file>

<file path=customXml/item4.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3 8 . 0 2 7 6 4 5 1 1 1 0 8 4 & l t ; / l a t & g t ; & l t ; l o n & g t ; - 1 1 9 . 9 5 4 6 5 0 8 7 8 9 0 6 & l t ; / l o n & g t ; & l t ; l o d & g t ; 0 & l t ; / l o d & g t ; & l t ; t y p e & g t ; A d m i n D i v i s i o n 2 & l t ; / t y p e & g t ; & l t ; l a n g & g t ; e n - U S & l t ; / l a n g & g t ; & l t ; u r & g t ; U S & l t ; / u r & g t ; & l t ; / r e n t r y k e y & g t ; & l t ; r e n t r y v a l u e & g t ; & l t ; r l i s t & g t ; & l t ; r p o l y g o n s & g t ; & l t ; i d & g t ; 5 0 5 8 4 0 3 7 0 8 9 9 2 2 2 5 2 9 6 & l t ; / i d & g t ; & l t ; r i n g & g t ; l - - t 4 9 7 m m O 9 k 5 L h - g r B u g o D 7 3 5 y F 5 - 7 h B g x o T h 5 9 h E j 2 - R n u n G 8 i w P g o 2 K q n o C g w 0 Q 8 2 y D 3 h w I w w u a 7 _ p k C 9 5 u L g _ q q B 1 4 v R 2 x p 2 C 1 n s p B u w 7 L - s k n E 6 m 7 X v 0 1 j D j i r 0 B _ n h 2 B 2 3 8 q K t u - 2 B 0 7 8 q B x n 1 o W 4 y i I 7 w v y G h - 9 4 C x - y R 6 3 z X s _ h P n l t 0 D 7 n _ K j _ 1 l B v m r P 9 - 7 Q 1 v p O o m n O r u o 5 D i z y y B p 2 0 H q y 7 h C o p t t D 5 7 p g B u j r 0 B 6 3 p 1 B x 9 - v E 9 h 6 o G g 2 y K g w 7 2 B n y 6 S 7 v i V 2 r o c r q x c v j r 2 C n i l G 3 w 9 K j 8 t f s 7 y D 2 9 t P j 1 i J j 5 w g B z h 5 U 1 h 6 D 3 n 0 Y v m 0 H 3 x h t F s k 1 Q t g r M 6 - r M m 2 i N 1 r 7 D r 3 - i D n g k g C 1 h n j C j w n a 8 l 2 Y i 2 q H h x r N z q o 3 B _ 0 m N o g q 3 H m u x s B m 7 - w F 4 r 5 s E 7 3 u s B m 4 _ N 1 7 x L q h _ 4 M 8 3 6 L p m - 0 B i j h R l 8 t C x w 8 e k w 4 X n 3 z n B 0 i _ a n 8 u H _ i k m B h - i 1 H - l m b v r 4 K v 5 9 r E 3 5 g p B 7 8 h V _ i m s B z l x O q s n k B l y v V 6 s g t U g v - i E o 9 7 g P 7 r t O v 0 n _ B o 3 0 r N 2 0 g D q 3 2 K 4 2 t l B x - 1 1 B 4 o s g E z 9 l 3 E k v 4 z B q 7 7 U 8 _ 9 H g n p j B 1 r 7 l C _ 9 6 H r x u x D 1 1 5 D t - _ q B - u l Y 5 3 r Y h i s - C _ 4 0 k B z 1 o r B y z _ F z h 2 L _ 9 i L i 8 1 O 0 t n c h 5 y P j - j n D m w 2 X v j v v B 3 s h E i p q h B z 0 o r B _ 4 g Q q u p J t i 2 y B n w - o B n i w c g h 7 k B 1 x g j B g y h G k n 2 J 6 r 6 F h q s e i v 3 U _ m o Y k u x _ B k 3 5 w C s 4 x h C u q z 8 B v q 7 l C o r 6 i D j y 4 u B v 2 s 0 C k o z K p 2 1 h F 8 7 w D m 2 w X - 3 n o G _ 8 4 1 E k 9 9 d 8 r 2 t D r m 3 k C j j - 2 B 4 q x _ K k 0 k l C g y 8 f r 5 j k B y _ o u C z 5 4 p B s l r E s 7 o b t k n g E w q 1 _ M 4 j y W 0 m _ i B z p k L _ v 1 E 6 i 9 q B t z 2 3 B n j 8 j G s 8 o P o 4 m K 3 w m o L 8 q l F w 8 s X k 6 7 L 5 r x R w x s i C z w l n C 7 l 2 l E z v p g D q k j u F r r l 1 B q t 1 a 1 o 1 U - v j a 9 j 1 2 C o 4 k Q 0 g 6 e 8 9 s l C 5 r 2 G i y 5 S 7 w r R q 2 7 H 1 g r r B v _ _ I p r 3 8 B 8 9 k E s 7 3 l B u 8 s y D w 4 9 7 B 1 4 r p B z 8 2 1 B y 4 k o C t _ h K s l t E 8 n i s C 7 0 3 h C s s p p B 0 - 5 K r t h F 5 x 6 N k i 0 Y v 4 5 x P v q l r F o v n t B 9 2 1 m B - v 8 a x i 1 t C 8 3 2 f m u t j C 6 u w 4 B _ j p E - 5 o j B n w o a h q j h B j r 4 X g h g D 8 l - s C 0 z 0 L 6 1 g a 1 s m S 8 2 5 N z i 1 x B x 6 p e l n 2 M g u m 0 K 2 2 j L u l s 7 B p n z z B - s o L g i x s B 4 k m G 4 w o M o 9 k 6 G w 3 8 s C - r v Y 0 7 m O x 0 i 2 B z s p n F g z u h E h h n n B 0 m - R r 2 q n C p r v w H t t - 8 B 2 1 - t D 7 l p o D u s z k B u 6 y b z _ g t B 1 y n n C m 5 z Z s z g P t v - u C o u 3 6 E 8 t n 2 H 9 y 5 U o 8 p O z s _ q B r u 3 f 8 0 2 T 1 - x 9 B i 8 _ o E p x - 1 C 7 5 4 W 3 u q H 8 t g S 6 g z 4 G p h _ W 5 9 0 p D 3 g 2 0 J s u m r B m 1 2 y G i q 8 t F l 5 1 m D g g k l C n w w t C 1 k q I k j v 2 G 2 0 s b m n w H 7 5 q 9 E g h 0 9 F m 7 k w B 0 y h k B o - 0 r D n u - X 8 v 4 - C 4 i m J 0 q 8 r E s 9 g k D w j 6 j B n 4 q Z h 4 9 G z g l y N h g 4 V 9 w 2 z B y 8 g 9 E k 9 i i B q q 9 v B u h r b m 3 h q B 2 r 1 r B j u 0 i E i 6 6 b t o 9 j C 1 p m 2 B w r u X 4 m 5 m E l m 8 5 K k t 4 p B 5 1 k y B w o 5 i C 2 _ m r B 5 s 6 X t 2 5 b u - 4 X h 5 5 y D _ h r V n 0 3 6 B 5 h q z B j q g 7 D p 4 x 6 K r 5 k o C x 5 h w D x k o m B z w z s B t 7 i 3 C s l p o D 5 n v e t 2 2 2 B y v t F 2 o 4 i C l p k i C g v t i F _ s 7 Y g j _ i B 3 v x 9 F 9 v z V 5 1 u l C 0 i h i I 7 g h K 9 3 x F 2 m h h E o _ 7 c 1 1 6 3 B 4 m t m E o l 9 X y p u i B 1 g h o E 9 t q x B - l 7 g B 5 1 v R m k u F 8 u y d 6 v w N 5 _ s S x q n K y x n z B y 3 w P q 5 s t B 1 z k X n w 8 e j 6 7 M y g p 6 E x u q u E q 4 u w E 0 2 q G _ i - j K 6 _ k v F o 3 7 i B p m _ t E _ 4 5 7 C _ k 0 N l g y n B k g q q B 1 o t _ B h z 7 H o q 9 I 7 4 0 V - w v 3 B s 2 l m H m w - Y 1 j r 3 N r o g 9 q B l q - 2 H r t q s L _ 4 g h C x r 0 _ B 6 x - 4 D p y q j d 1 r 1 7 R l 0 7 h C s 2 x h B s r j 9 J r _ w r L q w 1 q P y v 2 k O v 5 5 q N t 1 n 9 D k 0 N x i 3 M 7 l 1 9 _ H o o 2 O s u o v H 5 - p f n z v j s B 4 8 m L 0 8 8 0 E v w 6 l K _ m t 7 C h q 1 Q u h k K 3 2 8 W - t q x C z 6 i o B z 8 k E 1 4 8 q B j 3 j G 7 4 v f 6 m n 4 D m r j r C - q g F j 5 y 7 H p 1 - _ D - x 0 k B 8 g s R z q m R k s j 3 E o s 9 y B w t 5 o B q w m U l i 2 o B - h 6 t B p w 8 F 8 g m - B 1 h w 5 B x i z b p 8 p o B l n 8 J 2 q 7 5 R 6 s r 2 C o h z j D y _ r T 8 y j T 0 - _ E m 8 s n C 5 x y H o x t C i h n M n s j J _ v o y B 7 v - y F 2 - n L t w z x E s z k u B w z q Y 9 y j v B q q 6 b x p v K x h x _ C y w q K g s l S n o 1 H i g 1 p D u w h i F t 0 j p C 9 z j 4 b g w o O x t w G 0 r t S 8 9 5 p B x 0 - K v u - G j u 5 O 6 l - m B k 5 z H m 7 5 V 2 _ 7 X p y q X h x h u B 4 3 l - B 6 t 7 M 2 o 3 J _ j 5 9 F w 1 _ 5 D y 1 u R j g 3 F h 2 l R 6 0 r W 3 r g V h q 6 t B u w s i E 9 r 7 k Y z o p 9 D v z 3 m C _ k _ 9 B 6 r 1 l B - w g g B 2 5 3 n D 8 m z u B t p l M u k t o B - x 0 7 H 8 l q G p y s 9 G q 4 6 W r t y i C n 3 k P 6 v 0 d - 2 3 E j 1 i O y i v v B x w 2 u B 6 r p t B 2 o 8 b z p j 8 C 5 t v f 0 1 r P j k 6 _ B h r 6 O m s x y B p l 5 o B 2 m u p B r x 5 e 9 l 2 2 B m x o 7 G _ j y w E j 0 s l E r l h Z _ 0 z K m g g 3 D v 8 - n C g i 5 m C i n i y D q 8 8 e j x 3 j N v j 1 v D y 4 r u C 4 2 x k D 5 k 8 3 B 0 i u - B l x w 1 B 7 4 n 7 C u m 6 r E 7 8 l 9 E p - s t B l i m 6 B t z z S - n o i F p 1 8 G 4 v u t K 3 3 y 9 F - t 4 q D l u 2 M 8 w 8 e v y z W 9 - h o G y 2 q n l I l 2 u t i o C & l t ; / r i n g & g t ; & l t ; / r p o l y g o n s & g t ; & l t ; / r l i s t & g t ; & l t ; b b o x & g t ; M U L T I P O I N T   ( ( - 1 2 0 . 6 5 3 1 8   3 7 . 6 3 3 5 2 ) ,   ( - 1 1 9 . 1 9 5 4 4   3 8 . 4 3 5 8 2 ) ) & l t ; / b b o x & g t ; & l t ; / r e n t r y v a l u e & g t ; & l t ; / r e n t r y & g t ; & l t ; r e n t r y & g t ; & l t ; r e n t r y k e y & g t ; & l t ; l a t & g t ; 3 7 . 9 2 3 6 1 8 3 1 6 6 5 0 4 & l t ; / l a t & g t ; & l t ; l o n & g t ; - 1 2 1 . 9 5 0 4 8 5 2 2 9 4 9 2 & l t ; / l o n & g t ; & l t ; l o d & g t ; 0 & l t ; / l o d & g t ; & l t ; t y p e & g t ; A d m i n D i v i s i o n 2 & l t ; / t y p e & g t ; & l t ; l a n g & g t ; e n - U S & l t ; / l a n g & g t ; & l t ; u r & g t ; U S & l t ; / u r & g t ; & l t ; / r e n t r y k e y & g t ; & l t ; r e n t r y v a l u e & g t ; & l t ; r l i s t & g t ; & l t ; r p o l y g o n s & g t ; & l t ; i d & g t ; 5 0 5 7 9 7 8 1 9 7 1 8 6 9 6 9 6 1 8 & l t ; / i d & g t ; & l t ; r i n g & g t ; 6 s i r r 1 q 5 v O 8 t v h t i B - x 7 3 I 3 i l l D y 1 y w _ I 9 4 i u 3 D 5 6 p t C v 6 6 2 D o v i P - 9 4 p C k y r K y g 7 V 5 j 0 m B g 7 z E g 9 9 l B _ q j v B 2 v k Q g 3 6 h C 3 m w K x p q O 6 j 6 I s j r f - p o x B x 2 t s C i j 3 P v 7 3 T u l m c y 5 p s B u 7 4 L w y l M 1 m 2 8 C k 5 s H q 3 4 4 B 6 _ o x C y h r - F j 7 z i B w 8 2 t C z - m e h g m q D 6 9 i p F 0 3 w _ B _ 0 6 7 D 8 v w i B r 8 _ j B g m v r B 5 u 5 U - _ 0 N k 3 2 z B w 1 - H r 7 7 7 B v v u P x g t r C 5 j 5 g C j z u F x - _ W - _ o S r w n G y 0 9 t C 8 1 1 R 0 r n H o z 6 s C 2 o y i C g 0 p r D - 7 t 1 B 6 i z c r _ 1 e p n s n B k h u F i t 2 J z g 6 y C v p 3 O p m o L k 5 g o C i t y 7 B v l p H u v y i D z 6 x E v 5 1 C o 7 o 1 C 0 t 2 r B w l t X 9 v 4 G w y x r B m n q Z p r 4 d r y 1 H 8 1 m f j _ y G t 6 3 F m v 8 g B v x 4 2 E 0 x r 7 B 0 9 j r B k v 6 L 5 i j - F o v 0 f 0 8 k 0 C o w 8 l C 1 5 0 w a i 3 2 0 B 0 6 3 z C 6 u i m H w u 2 t B m 5 l k M v v 1 7 B 5 8 l y C n k 9 k C l 2 1 w J x s 9 u d 7 1 l h N r v o t T 2 - 0 x M 8 2 q o M 8 p x p I 3 t h k D w 0 r 0 M o 2 m 8 F y 2 n u K p i 8 - B h q x 0 C 8 5 8 X o y 7 n G s 6 v o E y q r 0 Q l p 6 y P x k p 5 N i 1 k z G x l p o I p 0 p v E i 0 t 1 M x 1 t 7 F z y t u K 3 7 g h D 4 3 7 o J i x o s X 7 9 7 8 U _ s h u G w u s 1 B 6 o z u G s l z h Z - n 8 o D z k j 5 h C i 6 t r M 2 1 6 6 i F 2 o 9 L h w m w 1 B t s r 8 m D 3 l p 0 1 C i 1 y Q 2 6 8 2 C g h 7 l b s 2 g 5 q G 6 r x z Z x l i t i B 1 o 5 0 D m m x q B 7 8 u 0 D p 5 i t B k n q o B q j _ n B 3 t - B n s l L q k 3 K u 3 w F w 7 z E r _ p E k g 0 i B m y x y C l w 7 O u z x 4 F h x 2 G u i l j B 4 0 m H l p m 5 B 5 0 k s B r s z k E n r 5 3 B m o - d n 6 t 1 I 1 y s 0 C x n h M s 6 3 h B m 7 0 g C m r m t O n q 7 t C q m 7 p D 7 x - 3 E 0 t v 5 n G l g y 1 L - i - o L o p x - U s p u i J y 0 0 m B 2 7 g 9 G _ u s s B y w 6 F 9 n s P z 8 4 0 B k 9 3 2 D v h 1 j J & l t ; / r i n g & g t ; & l t ; / r p o l y g o n s & g t ; & l t ; / r l i s t & g t ; & l t ; b b o x & g t ; M U L T I P O I N T   ( ( - 1 2 2 . 5 5 7 2 6   3 7 . 6 3 1 4 9 5 5 ) ,   ( - 1 2 1 . 4 2 0 7 3   3 8 . 1 8 5 7 0 4 1 ) ) & l t ; / b b o x & g t ; & l t ; / r e n t r y v a l u e & g t ; & l t ; / r e n t r y & g t ; & l t ; r e n t r y & g t ; & l t ; r e n t r y k e y & g t ; & l t ; l a t & g t ; 3 4 . 3 5 8 8 6 7 6 4 5 2 6 3 7 & l t ; / l a t & g t ; & l t ; l o n & g t ; - 1 1 8 . 2 1 7 0 1 0 4 9 8 0 4 7 & l t ; / l o n & g t ; & l t ; l o d & g t ; 0 & l t ; / l o d & g t ; & l t ; t y p e & g t ; A d m i n D i v i s i o n 2 & l t ; / t y p e & g t ; & l t ; l a n g & g t ; e n - U S & l t ; / l a n g & g t ; & l t ; u r & g t ; U S & l t ; / u r & g t ; & l t ; / r e n t r y k e y & g t ; & l t ; r e n t r y v a l u e & g t ; & l t ; r l i s t & g t ; & l t ; r p o l y g o n s & g t ; & l t ; i d & g t ; 5 0 5 9 7 9 4 0 4 0 8 4 1 5 6 8 2 7 5 & l t ; / i d & g t ; & l t ; r i n g & g t ; 4 m g h - 0 9 2 j N r x n G 5 9 k E t 6 g I 8 6 _ D & l t ; / r i n g & g t ; & l t ; / r p o l y g o n s & g t ; & l t ; r p o l y g o n s & g t ; & l t ; i d & g t ; 5 0 5 9 7 9 4 1 4 3 9 2 0 7 8 3 3 8 5 & l t ; / i d & g t ; & l t ; r i n g & g t ; j w 6 u 7 g 3 - - M s j 9 S 3 7 s 1 B 7 q v Q m 8 u b x j 5 n B i h 7 h C t r 1 c 8 n m G v 8 q 7 C h 1 7 P k v 1 9 D u 3 5 y C 8 1 n i B 3 m t u C t s m T j 8 - 9 C p r h i G 0 0 h 0 G y 1 5 R l z 8 u C p w v d h l 6 a l p 2 z C 2 2 _ j o E r j j z I q 7 n k L _ z p k D 9 1 w z W y m g p L q g 4 u F - 5 5 v E 0 m j m B p y h i B k - x 1 C j p k 8 G - m 1 y B _ 4 o T y 1 2 H 4 0 _ J - 2 g - F n k 6 Y 0 9 s n J 7 5 p R n 2 p h C j o 5 S - n s g C p p i 3 C - p 3 N 3 q 9 M _ 1 2 h F v k j n C p y 3 d 7 o 1 U o - - - E w i r x B h _ p 3 C 3 i r r B l l n h D s v q z B i m n h H n q o e 1 7 3 r C r j i 6 D i w u - D y z z x B z - u F y m 0 W v 1 y g B w 6 6 X 2 w z D u 1 i K t 2 h S w 9 s 0 H 1 y y p C o z 4 R x r q D 0 4 0 1 G s t p l B j - x T 6 t x 5 B w s 9 7 C m 0 r m B g p 0 W - s w P 5 9 m N g p h D h u i m B m m i B n o - n C 4 h m H 6 r y 7 C y 7 l U k o 7 M g q 9 _ C _ 5 4 P 1 9 z k D 4 3 o M l j z L q 5 y o D q r 1 M k k 2 Q w p 5 D & l t ; / r i n g & g t ; & l t ; / r p o l y g o n s & g t ; & l t ; r p o l y g o n s & g t ; & l t ; i d & g t ; 5 0 7 1 8 0 3 3 8 7 8 7 6 4 7 4 8 9 4 & l t ; / i d & g t ; & l t ; r i n g & g t ; q x s g v x 9 9 j N l u J 4 o x B 6 3 y D 0 m L y p l B v 5 _ C 4 p Y - 5 Y & l t ; / r i n g & g t ; & l t ; / r p o l y g o n s & g t ; & l t ; r p o l y g o n s & g t ; & l t ; i d & g t ; 5 0 7 1 8 0 3 7 6 5 8 3 3 5 9 6 9 4 1 & l t ; / i d & g t ; & l t ; r i n g & g t ; q r r n q 0 h m i N 2 _ g z C 3 s s n C 7 w 5 q B 3 - r o D s l g T m k h 3 C 4 h 6 w F h 5 x Q t j s v B - _ _ b 8 3 2 y C 5 o 6 - Q - 1 6 v T _ w l L 7 6 1 t B p y y L h i w D 4 o q X x s 0 K r m h 2 B o 7 m 8 B 3 g z 7 D 0 g t v B s 1 y 3 C j 3 _ B v r 7 y B r 2 x h E g s u z C 8 7 k Z 2 t t S 6 o s L n k l j B 6 w v n E z n 5 W i r s 0 C y t 7 2 B u u O 4 - s 4 B t _ 7 F i 5 - I 9 7 2 V - 6 x V 1 g g O g 8 9 I g k y J o u m I 6 g m S - q _ K u x v n G _ 9 o g D 9 k 3 H h t i F j _ 9 u B z w 2 Q g m 1 m C l _ v J 2 6 0 i D s - 1 i B x 1 r F 7 - k 8 B 3 v _ I _ x g q G r x l g M 6 o r q B - k 8 S y u k s C u r s f 5 7 y N _ 6 2 x C 6 u 7 w C n 9 n L 7 m 4 P 6 w 5 H m i s G z 8 j 2 C k n 6 J w 0 t k C 2 h p h B t j - t B 6 t i o B i 4 v d i 0 q g D 1 z j q C 9 z _ N j w 0 H - v y S 6 3 z k B _ 1 6 4 C 3 q 7 0 B 2 3 8 C i q q K s 9 j 1 C x 9 q - C 5 t h j C 1 1 t Y 9 j 9 M 7 i _ i B i s x D x n 2 C - j 2 M g 3 _ o B x p _ Z s q V 1 w 6 C - r o N q i n N i t D l 6 i S h r o U - u t c 5 h 5 t B t m j d m 2 u F w q l x B z t h 7 H 2 r 1 8 B 6 h m W 8 w 2 Q h 5 8 d 1 u 3 b l k r 5 C y u 6 5 D v v 4 J h r _ 8 B u _ 2 u D 0 q 0 k F y v j 5 Z 6 h 1 m D 8 h y n C 2 h u 7 I s _ i 5 J & l t ; / r i n g & g t ; & l t ; / r p o l y g o n s & g t ; & l t ; r p o l y g o n s & g t ; & l t ; i d & g t ; 5 0 7 1 8 0 3 8 0 0 1 9 3 3 3 5 3 0 9 & l t ; / i d & g t ; & l t ; r i n g & g t ; u 3 0 p w v t j k N - x 1 5 9 D 0 _ 7 s J j 9 8 p D _ h n u G 6 x z M x _ l P - 8 4 r B t 4 w T h x r E z 3 p K o r h B 4 g 4 Y t 3 g J z p 3 G q m v T z g u M y 3 i Q h j m W 4 8 m w C l q o P 4 8 2 D 5 g o L 6 r 9 W l k 1 x J s o x Z t p m G t 0 x G 6 9 k _ M n v y a m l 5 q C l p 9 G s 0 h o C x q t r B 3 v q i L 3 0 7 y C j 5 r m D p w 4 z W y l 9 S v v t 4 K r k n g E 0 m 2 5 C h x 2 k B q v s s C j 6 w K 8 r v I j 2 2 P 1 k h F 8 x 6 L 4 7 8 Q - m q M _ u 9 H s k 3 L u x x I t y g y B _ _ w f 0 7 j 6 F z h 6 i B q s g u B 0 w x g B 8 - k w B m x s E z - k z B x o r L - r 0 g B w r p v B z p h 1 j B j r w _ 9 B k k f j x h O q 1 d p z 8 - r K n k _ p G r 2 j 9 D l 4 m w B l y i i B l h p 2 p B 2 z w y C v 1 s W 8 h h 1 G 1 w 9 _ K 7 s z s D x r 5 i B 5 - s a i 9 1 p B g j q J m y k F 0 r g G - l x o E j 9 u s 2 E 5 - - n z B p 9 u n I r o z q C q 2 7 k l P k n r r 5 S x 7 m - w G 1 o i k B j n 8 y a z p h - 8 W _ 3 u 7 D w 4 l j G 5 w 4 l 5 G o p 9 7 y q C o n x w 7 q C q l 6 6 5 p C _ u u h N v - h t D 2 o 4 B o 7 l x M t _ i u D 8 m s y B 1 4 _ 9 C v 6 y j G z p 7 2 g U y r 8 3 i l C 6 _ o 0 q D 2 5 v o s Q y u p i a 6 l u 3 I t t k x X 8 6 8 j X m t u u b j q 2 u 2 I x u y m h B o r 4 F 6 3 y N z x - r E p x 9 x w H k w 6 q 9 C 6 2 n r B 7 x p L 3 9 y g B 0 y 4 H r 7 u 5 C n p w C 2 q u Q x 2 p k C k q 2 q B y p u k B 4 h u k C 9 t 2 9 y C 5 q g 9 E n 8 - h Q r g 6 m e h k y 2 B i z 9 l C o 5 q H t i q r H k _ r w V v 0 t I x h o q D t j 9 p D j j q 6 Q 9 n q 2 E t j - j D 7 6 i Q v 4 t X k _ i E k z l D p m j P h n 8 y O t x 1 y C o r l 8 D z - - g E 5 n v y B p g g 3 B l 1 s o D 3 9 3 w G p _ l - F 0 _ 6 U y x q a i s r _ L m u v j g B 4 i 8 _ B u x u H q _ r I 6 x v W 1 u y i b 7 u B 0 z 9 G l 9 l 4 C - q z M 4 q z M _ k u - F 5 w o N 2 y p E l 0 9 L m 7 z L 8 h u Q 9 1 y k T z 1 0 y i B - 1 t a i v 7 o T g 2 v D q l v B y x u B 7 n z S h 4 y 4 I 3 4 g R z p 3 E 5 8 x E q 6 t u D p i 4 W q 2 0 c g k 3 f z 9 r f 4 u t W 8 m l H k q j I i j 9 D 5 4 v J 0 - 7 C 7 z e 2 7 l G 2 x 0 M l 7 l D 1 3 u F s v q B 7 x o I 5 5 i G x l y F i i x B o 2 u F v u i N 5 i 2 D 6 o 4 p B z k 3 g F 6 m 7 0 E 6 g u K 0 n v x C m 6 y o B u - 2 O g 3 9 F 8 j j 3 E s 0 8 k B 1 u j c 1 0 j j B q w 6 F s - h T n - h H 8 l n N w n z H - g v E u m 4 Y 3 y i E p 0 q l B j 4 7 K 9 3 r F 7 8 2 F _ y i n C j g 7 m B - h 1 q B r 6 _ 4 K p 9 q t B t 4 g G 6 2 - G o _ 6 G - u u B u g n k B i j i 5 B k l 0 n D l 5 - 0 B s n 6 q G j i - y B n i g h C t 2 m Q 8 y i t H 9 _ 8 5 B r w l Y w r s 0 B i p 7 Z 9 _ l m D & l t ; / r i n g & g t ; & l t ; / r p o l y g o n s & g t ; & l t ; r p o l y g o n s & g t ; & l t ; i d & g t ; 5 0 7 1 8 2 0 2 5 8 5 0 8 0 1 3 5 8 0 & l t ; / i d & g t ; & l t ; r i n g & g t ; w p i h l 3 0 y j N m 7 s E g v m C i g w D _ 3 N 8 h q D o 1 a & l t ; / r i n g & g t ; & l t ; / r p o l y g o n s & g t ; & l t ; r p o l y g o n s & g t ; & l t ; i d & g t ; 5 0 7 1 8 7 6 1 2 7 4 4 2 5 9 9 9 4 8 & l t ; / i d & g t ; & l t ; r i n g & g t ; y i 1 2 m _ x 4 j N m p c l 5 V v 4 U o _ h B y i Z l m S y w P y t M r 5 2 E & l t ; / r i n g & g t ; & l t ; / r p o l y g o n s & g t ; & l t ; / r l i s t & g t ; & l t ; b b o x & g t ; M U L T I P O I N T   ( ( - 1 1 8 . 9 4 6 3 6   3 2 . 8 0 0 6 9 ) ,   ( - 1 1 7 . 6 4 6 1 8   3 4 . 8 2 3 3 1 ) ) & l t ; / b b o x & g t ; & l t ; / r e n t r y v a l u e & g t ; & l t ; / r e n t r y & g t ; & l t ; r e n t r y & g t ; & l t ; r e n t r y k e y & g t ; & l t ; l a t & g t ; 3 9 . 4 4 0 2 4 2 7 6 7 3 3 4 & l t ; / l a t & g t ; & l t ; l o n & g t ; - 1 2 3 . 3 9 1 2 8 1 1 2 7 9 3 & l t ; / l o n & g t ; & l t ; l o d & g t ; 0 & l t ; / l o d & g t ; & l t ; t y p e & g t ; A d m i n D i v i s i o n 2 & l t ; / t y p e & g t ; & l t ; l a n g & g t ; e n - U S & l t ; / l a n g & g t ; & l t ; u r & g t ; U S & l t ; / u r & g t ; & l t ; / r e n t r y k e y & g t ; & l t ; r e n t r y v a l u e & g t ; & l t ; r l i s t & g t ; & l t ; r p o l y g o n s & g t ; & l t ; i d & g t ; 5 0 5 7 5 6 7 8 3 9 1 0 0 0 7 6 0 5 0 & l t ; / i d & g t ; & l t ; r i n g & g t ; p w p x 9 n 1 g - O 8 9 u I r t m o C v 8 r c n 1 z z B j w o i B r 2 q P h i y 0 i B 6 h j j m C n t h z R q 2 u m E m q 1 j E 1 2 z u g C 4 _ z m s B 9 9 v 8 7 J k _ k s S 2 7 g 2 8 B h 7 u 9 D 8 u 1 h W s s i 3 k a 5 j t w J o n 4 q C k 2 2 h L z w 8 1 B 0 h _ 5 I 6 p q q B w g 4 2 G _ 0 - v B s y q 8 H 5 7 8 k F 3 l 9 t G 6 8 i b k o y z a - 8 r l L v m t s D 6 0 y s B 0 y u 4 B 6 o m 2 E 8 k i l C t s h _ Z w o j w B 2 w l u E o k p o J 1 p u C n 9 q 4 B v 7 h J 7 y q 1 B v 0 p k B _ 5 9 0 B _ 5 r g B u t 7 z B 4 _ 8 i B r v t 0 B u q v D i l 1 0 N 2 s s 1 B 1 - i n E 9 s 7 x G h h 6 i B _ j x 2 B 0 h z g M 4 v t 2 B 5 o h j E v g t D o p 3 0 P i m 6 0 B l 4 x k Y m 7 2 w S o o 9 p B 0 k 6 M x 2 i 0 C w 8 y V 8 y y i B i _ k P 9 l 6 n B s 3 9 M k k 5 c l 9 4 G g t 1 h B p 0 g m B v - 4 _ D r i x y G t q - q J 5 v 8 6 B 0 2 x w K z x g l E i 9 0 m l B k u 1 v B h 2 s j E 9 i 2 z B - 3 j l P o o 0 z B 8 v g 1 C 2 u 9 H q 0 5 z B 9 g 0 x Q _ n j z G 3 o q t Q 6 w 0 N k s p y G l 7 y 6 B m _ t y 0 B u j i u F 2 9 2 D g 6 s i B 2 k o y H u 8 _ Z 7 w r z B 7 t h r n E j 3 0 p E s 1 h v q B s h k _ l D _ 9 i 1 C x t u x F z 1 l 4 0 E g m n v H x t w 2 F 3 h o y I - n y i N z o j 3 x B _ 3 4 w B s g 4 d 9 o x W g i z j G r s o f l i 6 1 B l u u U - p 8 g C 1 5 9 y E 5 _ i X z 0 o 5 D 6 - k i B r 9 8 4 B h 9 3 f u s x i D 3 p r h B 8 o 3 b w s 2 R k p r l J 7 7 w 3 D l s o p D 8 2 p h C p v j i B v m 1 H x w 1 e 8 k k E 6 k 8 x D 1 w l x C 2 q h Z - v 6 3 D u k z 2 D l 4 h C g l - z x H 7 p h r - p C g h 8 7 4 M 4 j z i M p n h u m Z h y y g 0 s B 2 2 z E p j z g D 3 7 1 _ L _ o 3 5 E z 3 8 - L 6 _ j 6 E o m 9 n S u o h 6 B k y r 1 B 5 z g p H 7 n g T 6 4 g U 0 w 3 o B z h v 0 J _ z t 4 G _ 0 i z D 7 r q u H 4 o i H z 3 o a 9 v h S g r 2 H y _ l P n s m S k l t j C i w u 8 f 8 4 _ m L 7 z x r B l h q E 8 w _ p B m p 7 3 P i _ t 9 F 5 m t H o 9 i v M 1 6 6 I 4 - 9 F v z 3 r C 1 k w J 8 h v F j w p L - x o K n y o i C p 8 9 u L 4 7 i y E m m _ u F g q g 7 C 4 _ n 6 E l 7 6 Y 8 n 8 h B 7 r y O 2 _ - a _ - 8 - B u h u Z 4 p k o C 1 y w L s v h 2 B - z 2 1 D 1 1 o G z q w C l j 7 I o 5 y C z r y K 7 r t F 2 q m C l r z v C - r p D - - l E g l 0 D q 8 d v v u K l - 0 C q 3 3 U 5 o z H 7 m V 0 p 6 s B 1 y y R t - h E o q 7 D q m 9 J u n 3 C 8 g j z B 0 n 9 f m i 2 Q l o x E 2 y j D z k g T 2 s 8 B 5 l r i B 8 z 7 i S - s 3 q h B u r 8 g I j m 4 4 B m 5 9 C 5 x v F i r 1 L i z j F u _ _ 2 C k 1 6 S p s 6 H 5 j 0 0 B p - 2 F x n l W 3 s 6 M q w w K 7 2 0 e 4 u 4 E 1 j i j B 3 2 9 i B u 2 s R q 3 4 t D h y q Q s g 2 G 5 1 6 G t _ _ Z u y h L 6 x s x D m i h K 8 z k J n z k V 0 9 _ G w z 8 H m l 2 E 3 m 5 t B 4 7 l H j y q E l k v 1 B 7 1 k Q s w w h B j 7 s Q - 4 k T k r 8 M m w 5 l B m l 9 U - v l D q i 9 F z r 3 L - p s E y 7 v O 4 o q x B _ 0 z Y 9 p 1 G p _ y R g 1 1 D 4 i p G l v i F p 6 q D - x w F g g 6 P - n 1 I 0 q r J g 3 n J g 0 - E n q l B p t j F 1 h _ E 4 p k G - g v m B 3 x 1 J k k j C s r y I 2 o h D 8 p 5 B v 3 l I q k v C j h v Z 7 s 7 D z 9 u E z 3 z F v 4 p D 0 5 9 B _ n u L 7 v y o B m 4 n I i z s S 1 l l T m o 7 5 D m m 0 E p q 6 H j l 3 M l p 7 I - 8 s D k 6 _ K u v w I o 4 7 B m m h F m y 4 T 6 g l D - w w D w k k J 6 l m C l k x I w - s D 9 u 5 D w u 6 n C 8 l p 7 B h n 2 Y w p - Q 4 i _ N m y z B l m w F i u v R v y 4 D 2 z w J p _ - k B r g 0 l C 1 5 2 B 7 g t E 0 8 l K o g l E y 7 q E i x p M _ o l _ F l 5 6 B p w n D i v l C h p 1 J x z g I n x q G m _ v R x 2 g M 4 x l l E 2 4 1 J j i 6 L 1 p 2 U g v z G h r _ d o n k L q 6 u E o h u p C l _ 8 B k i 6 H w x 7 a 9 3 _ n G v u o C 7 q x i B z k u p B r n s N q 2 k Y q h m F z 1 3 I y 0 m K j 9 k F y 4 _ i B u u 4 L 0 j 8 F 1 6 l r E 8 4 0 d t o p K p m t O m 0 G 2 g q F s s x E n k m D w q 7 I v x i E u s 2 1 C z z 1 G h t k R o h 5 f g o k H p g i O s _ z D s 9 p Q z r i B r 7 w P z l o C v m g C 5 9 9 L u q r G m j S _ r r H 2 t t L - _ 6 B l g r F y r u L 5 l 8 G j 1 p O v 8 a q k t B 3 g m E 4 3 j K j j 1 F h t r M n v - K k 8 r H l u s B 3 j t T 4 6 k C o p _ u B j w 5 E 6 _ 7 B t - 5 I h 7 3 I r 2 s B _ j s f 2 z r G w p 3 C z 5 5 R i k l J 6 l o t C x - 3 S o h q Q 6 u g C 0 1 m D w 9 i B - x _ J h i k J l r 7 E g w 9 B y r n l C o z 2 E g i v c z 0 8 D x - x K z 7 s J 4 u 1 t B o 0 - O s w 1 a n l m Z - w g R - y k E o 4 y C 1 h r F _ w - B 9 i i O j p x E y h v F u w u L 9 r 1 E i s - F n p 1 i I p i k y n B _ r 6 - R j _ q 2 D y v j U 9 5 u D s 9 j E p 7 n D - o v T 5 p p p G 0 t k h C h q t B 7 q 4 y B t _ j h B i k n G - v r M 0 3 r o B 3 w 5 M 7 h g M 4 _ t 3 D z i s S z j s c 4 3 u 3 C - x l h K w s u P 9 p q l B o w p G 7 r y a 7 i p s C w z 7 E w 0 h n C k q 3 x D 6 m z t E 3 1 i 3 B j _ g J l y k O 5 0 s H 9 8 k J t 4 q i B x x r E 8 s s X w o l C _ p _ o B _ _ u d w 1 7 I i l l N z 1 4 n F 9 h v Z j _ p J 1 j o o C 6 n l J o _ x F z - 8 C - 7 g m B h 6 m x B h w v H 7 z k L 1 1 l I 1 9 s F - k s G - k _ Z 3 i g D k w D k m q D r n 7 W 9 r q E 4 8 1 6 C m v n P 9 y k H - 3 1 N o 6 5 b 2 4 v a h 1 _ D w y 0 D 0 j u 0 B 9 q t R s i 7 w C v 1 i 2 J & l t ; / r i n g & g t ; & l t ; / r p o l y g o n s & g t ; & l t ; / r l i s t & g t ; & l t ; b b o x & g t ; M U L T I P O I N T   ( ( - 1 2 4 . 0 2 3 2   3 8 . 7 5 8 2 8 ) ,   ( - 1 2 2 . 8 1 7 5 1   4 0 . 0 0 2 1 7 ) ) & l t ; / b b o x & g t ; & l t ; / r e n t r y v a l u e & g t ; & l t ; / r e n t r y & g t ; & l t ; r e n t r y & g t ; & l t ; r e n t r y k e y & g t ; & l t ; l a t & g t ; 3 8 . 6 8 6 8 1 3 3 5 4 4 9 2 2 & l t ; / l a t & g t ; & l t ; l o n & g t ; - 1 2 1 . 9 0 1 6 1 1 3 2 8 1 2 5 & l t ; / l o n & g t ; & l t ; l o d & g t ; 0 & l t ; / l o d & g t ; & l t ; t y p e & g t ; A d m i n D i v i s i o n 2 & l t ; / t y p e & g t ; & l t ; l a n g & g t ; e n - U S & l t ; / l a n g & g t ; & l t ; u r & g t ; U S & l t ; / u r & g t ; & l t ; / r e n t r y k e y & g t ; & l t ; r e n t r y v a l u e & g t ; & l t ; r l i s t & g t ; & l t ; r p o l y g o n s & g t ; & l t ; i d & g t ; 5 0 5 7 8 0 6 4 3 3 6 9 3 7 2 8 7 8 8 & l t ; / i d & g t ; & l t ; r i n g & g t ; 8 3 q j s 2 2 j x O 9 h 3 9 B k 7 u D y r 1 j B 2 x s i B z v _ r D 7 5 k z T 3 o q l N y k u m Q n m p X r 6 t 3 E z g 9 5 G _ 6 i h C q y g x B l z k 7 m B m j p Q 8 r o _ G i g i r D u q 1 x D u 1 i 4 I r g v R - q l 8 B r h z l I x y 9 W _ x s d 7 v y x G 8 4 0 m G r r t p H o i o g F x k o - E k k j O s m p s C - i _ G j 5 3 7 E 6 6 m 7 C 3 p y h B 7 1 q 7 P v p v - G _ 2 k 9 E l 8 t 3 E g 1 j q C v 8 4 5 C v 3 5 t B g g 3 w B u i 7 c 6 0 x W o _ h 8 K v x - l Q - 4 - h D k w 4 i C v _ x y F n k k Y x 0 h 0 S 4 g 4 2 Q m - - _ E z s u 1 D 3 4 n m B z z 6 q U 6 n 3 5 B m - z 0 J 1 7 _ n N n 4 s z B - p r W r 8 k 4 D 3 2 x 0 C 2 4 u t M s g z q B o o v c k z 2 a n 5 5 w C 4 - r C i u 7 2 B s 3 1 1 B 5 l 6 L 9 6 q t B r l 0 I _ - l C l 0 2 s E 5 j 4 T 4 z i L s y 0 O g z 6 W i j x m C 6 2 i T v p 0 d - 4 6 L 2 7 1 4 B h 3 m g B 8 l t m C m v 2 o F n m 3 p B k - y e 1 _ j d 7 2 y v B _ - l q C u z l P _ w i 0 G v 9 w k B u v 4 9 B x 3 u t B 0 n _ 0 B n v 3 m F k n g 0 K 3 m y 7 F p t v Q n 8 _ S k x 7 n B m 6 _ v B o g p f 7 1 _ n B m t i m B 0 o 4 4 C u y q k C u 4 _ o D n 8 q O 4 p 7 S p 4 i o B x 9 i Y 4 n o 8 C 3 3 - 6 B 8 m w d o 6 - f - n p q B u y z S v i 4 v F y q o g C 4 - 7 E g 9 q y E g r g r C 9 6 7 M l v v h C z 7 9 V 9 0 7 M z - y t B y v 9 g G 5 8 - C 9 l k T y u s N 3 2 r J v 2 t 9 O y 3 o 1 C t h k q 8 O _ p 2 y t M - - o h o a l 8 l g p C l h x _ C g m _ t B u i 3 e p 1 9 E j k 9 6 B h 1 p F 4 l 8 h C 4 5 w 9 K 4 x l J 3 5 w 3 M 9 0 2 q B - 0 - y C l 9 r n F o _ u b 2 2 x f v p g 4 T 3 u m i C 2 v 5 r C v y - Y 6 o i i C l t s z E - 3 o h E h 5 7 J 6 u r 4 D 0 z k 2 G m g 5 2 D t 4 3 2 C v 1 g z E q w 0 o R s 1 y 0 T 3 v 0 r I 3 z t z B - 5 y 0 D t 4 0 n B 9 j k f _ n x J y 4 t 6 I w m n U 6 w y m B g o m y B z w z I 6 s i M m w r 1 B g o k z C 1 - s 7 B n i u z B l 5 l I 9 k 8 m O 4 1 p v B 0 4 g 4 C x o p x C r p o Q _ z n T _ 6 x B z p 6 7 B r 9 3 I v n j p C r q u o D _ j 7 G 3 z j X y l h g B 7 h 7 v B q z u G i n y j F x q t O z k s D 6 k t 6 C o n z s M n x j L p g t 7 - B x t t P y 8 l a 9 z n S 6 s y 9 J p w l _ B z k n M p y - l I 0 0 q w H _ - m j O u - 8 6 D o u x g O h s _ l E g x z J u g 3 r D w 5 w P 0 p 5 k B r s l J x 2 7 s B 6 1 g j K k q n k B o x 0 4 H u q j q D u i s 4 G p g o 1 E 1 - h x H o v 4 5 D l - 0 x H z h n m B y h u y G - j s o G 4 q 3 s K 5 j z l G w s o i E o p _ D 2 m t J t 8 j X 0 1 p h C g w s I - x x O 9 7 u M y g 5 2 C 4 i z 9 C x g l 1 D n 2 h 2 H 6 8 5 i D p v w 3 I 4 7 7 U t z z g f _ g o D g y s k 4 Q m s g Y l o 1 6 2 B q v 3 l s B & l t ; / r i n g & g t ; & l t ; / r p o l y g o n s & g t ; & l t ; / r l i s t & g t ; & l t ; b b o x & g t ; M U L T I P O I N T   ( ( - 1 2 2 . 5 3 6 8 4   3 8 . 3 4 2 0 9 7 3 ) ,   ( - 1 2 1 . 3 8 9 1 4   3 8 . 8 9 6 3 0 5 9 ) ) & l t ; / b b o x & g t ; & l t ; / r e n t r y v a l u e & g t ; & l t ; / r e n t r y & g t ; & l t ; r e n t r y & g t ; & l t ; r e n t r y k e y & g t ; & l t ; l a t & g t ; 4 1 . 7 4 3 1 7 5 5 0 6 5 9 1 8 & l t ; / l a t & g t ; & l t ; l o n & g t ; - 1 2 3 . 8 9 7 1 0 9 9 8 5 3 5 2 & l t ; / l o n & g t ; & l t ; l o d & g t ; 0 & l t ; / l o d & g t ; & l t ; t y p e & g t ; A d m i n D i v i s i o n 2 & l t ; / t y p e & g t ; & l t ; l a n g & g t ; e n - U S & l t ; / l a n g & g t ; & l t ; u r & g t ; U S & l t ; / u r & g t ; & l t ; / r e n t r y k e y & g t ; & l t ; r e n t r y v a l u e & g t ; & l t ; r l i s t & g t ; & l t ; r p o l y g o n s & g t ; & l t ; i d & g t ; 5 0 4 8 2 3 1 3 7 0 2 2 0 8 9 6 2 7 2 & l t ; / i d & g t ; & l t ; r i n g & g t ; 0 p 2 k q 6 i k w P 1 l 6 9 H D q 7 9 t 6 E k 4 - J x s w k B - o r h B 5 x 9 q G z 4 x s D 5 u _ u B w - 7 v C 5 k 8 j G 3 y 6 P h r w v E z x 7 1 D _ _ t 5 C h i p k B - r 0 p D s p o x C s 5 0 q B x 4 x x B g z 0 H 4 - _ R k o x 9 C l h z P 7 6 2 B p m 6 o F - x y y C k - h k C p n 7 z B 0 w 6 M s k 5 w B w i h 1 B n u z i B 3 h 7 V 9 2 2 g G 8 p v t D 0 7 _ r D 3 5 u F 1 m v K t v h E - o v R x o 4 7 B - 8 t f 2 8 x - B w 0 _ g G j s x K q 3 8 q B 7 z 7 e 8 k q L z q _ R n x - t D _ 5 l L h j 0 F 0 g 4 f 4 0 u _ D r j 8 h B s s h Q x 7 3 0 B x p g d i k t g B q s h R - 2 g r B 8 0 - q C 3 q h j B j t 6 m F 2 l y I o z g 1 B m s v 8 D 1 3 3 Q u y r S i s 0 G 0 k p _ B k w 6 M i 7 h X p h z f - - r a l w 1 l F m j r j C 8 p w l B 8 j v f 2 g u V k 7 i 1 F q r g o C w s 7 6 B y i z G 9 5 h 5 B p s 6 E 3 u v W 0 2 3 S v u y N - - 8 3 B o o y 0 G 8 _ 9 5 E t h z f 2 h v p B s q 8 J s t t O q o i g C z q - 6 C w l d k 5 u P 5 h 2 Q h t r 5 G y 2 8 0 D 5 6 _ f 0 l 4 P n j t 9 D l n 8 k B y k j I _ 5 s Q y _ 0 a h q 4 K p p j D t 0 z 1 B 7 q 3 2 E - m s R 9 9 t k F 4 _ 8 l B x l p l B 6 q v H u h 2 p B m _ g p B q q 9 1 C 1 s 3 t B 5 l u J o z 5 S t z 3 9 C k h n p D 0 8 l - C q 4 s N q 7 l N 5 - y - C _ v y d r p k h D y 6 - 8 G h 9 t M 3 q n h C x 4 z m B 2 x _ 9 D w u h p F w k p o B m z 5 a 2 m l P u n 8 D _ r t k L z q n j B t j r r C q 5 4 l B x h 7 q D n - m s C 7 1 6 0 G _ 0 t Y g k 2 B w h r s i G n v x q k B i z s j q F t 3 o o v C 7 3 k v r y B j _ 7 p s H 4 7 o g I _ 8 x 8 K 5 0 2 p B m 4 m D 3 w o 4 B x m 8 H 1 m 6 D - p k g J u s i 4 t B o 1 _ i _ B y g _ y W o 6 s 9 H _ 0 6 u D s l 6 m B v j _ d j 0 g E _ 0 7 R 5 2 _ F t s q B s 3 q L t k 7 B 8 6 t C 4 p 3 B y v 2 B w k u B v 9 o E x o k D 6 t p E n l 7 E t 7 2 P x h y G 9 g w O v n k H r u u q B m m l s G - t i L 8 n 4 E k q 4 z B 1 l 7 C v y o E 9 y Q w _ 4 J z 2 p B n 2 g M 0 o 5 m C x n p B m g r 9 D i i w K 2 n k M p 3 7 w C h 3 y C o w g P k n x B o y v o B q - n D s 5 m C 5 _ 3 I h z 2 c g 3 R s g n I i j n H q 7 v M 3 0 7 F 4 p m b q y k B 9 y q B 0 n V 5 h x I 1 u 1 Z g 2 V q u g R 7 0 3 B t - w Y n m 2 B v r r L r k n C m x 1 j B l 6 i V t t n h B 2 o j 1 E t 2 y h O 2 r i z D z l _ D 0 5 z D h h 8 D q 2 0 g C k _ k B o m u B m 0 q B 7 g o E 7 p 2 C 8 j 7 F t 8 2 E g 4 n I o 8 6 X o x 2 E q 4 g L s m y C v g l U 9 7 s J 8 q 6 F x 1 u D 4 w i J 1 v s H q 5 i R y _ j N 8 r i 1 D q u x X v 6 r - C 5 z 9 d _ 1 z l B s x z v B 4 h 0 T k j z P 6 u r F g 9 p F - t g 3 C 6 7 z E z m 1 R y 3 E i h h L q _ j H v y _ X 8 9 k b 2 9 l C 5 o o n B 3 7 1 2 B m n o B 6 5 Z v t t F h 6 9 I t k 2 B j g r D 0 7 k D k t 4 q B y 9 t E _ 0 z J s t o F 5 t t 0 C 2 v 8 i G _ k 9 o L x 1 s E l p v N n r 6 n D 9 j p m B w w g j P g z _ p B 1 v 3 p E o 0 o q 1 C m 5 v a i 0 T 2 0 j o q H w i x C q v k m _ H 1 g m h r C 5 3 - x I & l t ; / r i n g & g t ; & l t ; / r p o l y g o n s & g t ; & l t ; / r l i s t & g t ; & l t ; b b o x & g t ; M U L T I P O I N T   ( ( - 1 2 4 . 2 5 5 8 5   4 1 . 3 8 0 9 2 ) ,   ( - 1 2 3 . 5 1 7 8 3   4 2 . 0 0 0 7 3 ) ) & l t ; / b b o x & g t ; & l t ; / r e n t r y v a l u e & g t ; & l t ; / r e n t r y & g t ; & l t ; r e n t r y & g t ; & l t ; r e n t r y k e y & g t ; & l t ; l a t & g t ; 4 0 . 6 7 3 6 3 3 5 7 5 4 3 9 5 & l t ; / l a t & g t ; & l t ; l o n & g t ; - 1 2 0 . 5 9 4 3 8 3 2 3 9 7 4 6 & l t ; / l o n & g t ; & l t ; l o d & g t ; 0 & l t ; / l o d & g t ; & l t ; t y p e & g t ; A d m i n D i v i s i o n 2 & l t ; / t y p e & g t ; & l t ; l a n g & g t ; e n - U S & l t ; / l a n g & g t ; & l t ; u r & g t ; U S & l t ; / u r & g t ; & l t ; / r e n t r y k e y & g t ; & l t ; r e n t r y v a l u e & g t ; & l t ; r l i s t & g t ; & l t ; r p o l y g o n s & g t ; & l t ; i d & g t ; 5 0 5 5 1 3 2 4 5 5 1 2 0 4 0 4 4 9 4 & l t ; / i d & g t ; & l t ; r i n g & g t ; o j 1 y 5 o l 6 w O g _ 2 2 J h 5 j 0 o H o u g y D o v y j E 8 m z K 9 _ n - m D 0 n 9 g p W m r h 4 1 E k p i t n H n 1 i 7 r a t 6 3 r U 0 l 9 p s R 6 6 2 r k U 8 - i g 6 c 7 h h 1 x K x r m 6 y B m 4 n 4 6 g B x u 7 3 1 p C z k u g 2 p C i o 4 z 2 p C _ y 1 9 i B n i 9 j y B h 1 m x z K m g 9 z r F o y r 6 C 7 2 4 z G s y w 5 8 G 2 8 g y 3 S x 0 5 8 g H 0 p q I x p 4 y 0 B r o l r c 9 s 2 k g f 2 u n w F t _ n r J i p s x 4 N r p g y H j k x g J h - 8 l b r r h 5 D 2 t 5 0 - B g t 6 u E v 2 9 3 B 1 4 h 3 B 2 w v r E r 5 r 5 b j q j g B n v s 5 G 9 _ 6 n i B w 8 j 7 G _ w x g B z 4 h 3 B n t q g B s v l 3 B _ 4 g k E w 5 o 5 G 2 0 y i B y - h 2 G i i n g L j - 4 4 J q u 1 h B - w 4 2 B _ _ 8 g B 3 0 3 3 b w i 6 g B 4 5 u o t D y 2 v i B h n u 1 B v y v f 5 k w o H r s _ g B 1 6 g 8 a z o j w B u h j 9 I 6 p 7 r P o j 6 g B m - 8 9 G q s y f - k _ g H g 7 6 - D 4 2 v 1 G v _ y i E k 7 7 3 B 9 s 6 l E 9 l m w P x w g g E s i _ 2 B 7 s o x E _ r 0 3 B j 3 z e m j x t H t o 0 k B 6 0 u 5 B m n s q E p 0 9 4 B _ q x b _ h 3 _ G r g _ s C q _ j g H 5 8 h g B x 9 i 9 G 2 y y h B i o p 4 z C x h u 9 B r 3 y w B r n 7 5 G y h u q J v 9 2 i D x 6 r j M 5 w 8 m B h _ s 2 Z 6 m 8 2 B _ v 7 t Q - p r 7 G 1 y x n E s y q 1 B k m m g E 2 u 1 7 B p 0 o u E t 8 8 1 B s 1 2 X h 8 8 1 B v v g g B g 9 y 0 B j 9 p h B u 3 o 1 B 1 9 u p B 2 p h l G 0 _ q j Q y q j 4 B p z 9 p Q 1 i k y B y u 6 g 7 D k k g 1 K x 0 3 p E _ 3 s 4 B 4 q n w E s z q u B l 8 k t E 2 t z _ G j i j - B s w 2 k H & l t ; / r i n g & g t ; & l t ; / r p o l y g o n s & g t ; & l t ; / r l i s t & g t ; & l t ; b b o x & g t ; M U L T I P O I N T   ( ( - 1 2 1 . 3 3 2 0 8   3 9 . 7 0 7 6 9 ) ,   ( - 1 1 9 . 9 9 5 6 1   4 1 . 1 8 4 6 9 ) ) & l t ; / b b o x & g t ; & l t ; / r e n t r y v a l u e & g t ; & l t ; / r e n t r y & g t ; & l t ; r e n t r y & g t ; & l t ; r e n t r y k e y & g t ; & l t ; l a t & g t ; 3 6 . 7 5 8 2 7 4 0 7 8 3 6 9 1 & l t ; / l a t & g t ; & l t ; l o n & g t ; - 1 1 9 . 6 4 9 1 9 2 8 1 0 0 5 9 & l t ; / l o n & g t ; & l t ; l o d & g t ; 0 & l t ; / l o d & g t ; & l t ; t y p e & g t ; A d m i n D i v i s i o n 2 & l t ; / t y p e & g t ; & l t ; l a n g & g t ; e n - U S & l t ; / l a n g & g t ; & l t ; u r & g t ; U S & l t ; / u r & g t ; & l t ; / r e n t r y k e y & g t ; & l t ; r e n t r y v a l u e & g t ; & l t ; r l i s t & g t ; & l t ; r p o l y g o n s & g t ; & l t ; i d & g t ; 5 0 5 9 2 6 5 9 6 5 8 7 1 5 9 5 5 3 4 & l t ; / i d & g t ; & l t ; r i n g & g t ; t l 1 g o m p _ 7 N w 4 6 H n 4 i j n M 7 1 7 g t t E 7 y 1 2 Q x 0 y 1 y V 3 x 4 n y D q 1 u 7 m K n 7 o O 0 p x Y 9 p l 1 D k _ _ 1 B p u g R x g u g C p 6 _ y C k 8 _ 1 B n w w w B m 0 w m B _ r m p D 7 q n v C h 8 3 Z v s l z C 4 _ g F s v 2 S 0 m 5 g B y j m U w 4 9 o g Q o r m m S g n 6 G m 6 x C y g n w C o _ - 9 O s _ 1 2 3 E g 4 1 p P 8 u o i 5 P k 8 u l J i 9 x 5 x C j i u z _ B 2 v 9 j _ C 6 o i 0 i X h n 4 n u E u s o 9 z O 5 _ 9 i u F u h _ h - S h m 9 R v k w 8 4 D x 7 5 k p E x 5 t z S x g o m E 0 5 7 V _ 4 x c 3 0 j u B m h o q B o p w Z k x o 5 B k 1 y G y - t a 0 8 9 1 B 2 9 9 L o n 8 b v p 3 O r w 1 m D 9 w 3 P 1 6 q h B z t 7 v B _ k 6 h F 1 _ 7 9 H r 0 h l B q l 6 w C p m g H o 3 7 n B p 2 9 W u i k q D 4 5 m 2 B x x 8 I s r 4 X q 2 n z D 6 j t t B h q j F v j w K _ w 7 2 B 9 _ k Y j h v O t v i 8 E j y n N z n r 5 N i 1 _ 4 B 1 o w m B 2 5 p j E - _ g t B z 6 i f 7 u i P _ 2 h r B 0 j y 0 B 4 7 k U n w m V o 2 9 O j t u y E g 8 - _ B q _ 4 4 B x 0 z o D g 4 v u C t 6 4 8 C 9 j x t C w y 1 l C i w v m B 7 v 9 Z 6 5 - g H u 9 l b 1 m 3 g E x n t s B t k u w B l 2 i t D n 8 m p F q o l q G o s w v C 4 z 9 m C 1 _ 5 d m m z e z 8 9 o B r q r N 9 2 9 z E v q u G o 9 7 m I z z p c 4 q g l B _ n x 0 B p x u a 9 4 h Q _ n 9 z D 9 z 9 D v k w a l z x s B z 2 o 5 H k _ p q E u 6 u l B s w z u B 6 4 g e l s t i B 0 v 2 s B 2 u j s B 3 y 4 0 F g h q e t 2 h h D 5 o _ r C u h i x B k s i j B z h _ h B w r 6 T 9 5 n J s s 4 E 5 x 3 u B k q 2 v B p l j j E p h g K l o u Z k _ k w C j 0 n L t l g 8 B y p 4 7 C p 7 3 h D j 0 u G x 0 z 3 J 0 h t u B 7 r q b 9 5 9 P p o u y B 8 9 5 U 1 2 _ 7 D 0 s 0 o B i 0 j o D h 0 o L o q q M v i - t G l u l 9 B y o h 8 C x u 8 w F 9 o y _ B s x 6 5 B u l y y R w w j F 4 y 4 3 B k 8 l n C p o u e h 4 9 K t 4 y n C - 7 n j C 7 4 y 5 C - n p t C p x v k B w x t G r 4 i 1 D y q s d j 4 i T m 6 - I 3 4 y 2 G w n r 3 J 8 y j V i 1 r t D i j - s B i 6 6 X m _ 4 0 C z u 0 v B 8 g 6 w C i o r w B _ z y 0 B m 5 3 Q 0 1 0 B s _ r P 2 r 5 m E 3 v u v C 6 v - V 8 l r j H 6 l z u B 9 9 p v B 2 y n q B 2 y p 1 G r t 5 X m 2 7 S 7 1 r i B p l 0 1 C r k x z B n h 7 D i 5 9 I 0 v _ k D n h o R 9 7 u 0 B m 5 n 1 D 5 w 8 h E h l t x D o _ l S n n h t B r w z 7 B p 3 n F s k u R 4 6 h y F 1 _ w z F x v q s E 5 _ 4 k E v o u 3 B y i v r B q z 5 f j l z W 0 3 5 I r 0 s 0 B 0 y 0 5 B v 2 u e 6 y 5 0 B 6 p x y B v i 6 5 F j l n 0 B 6 3 i 2 H 7 j v T y g i K 8 x r v x v B g p 7 y 8 J l t 4 z r H q l v i C 6 h l n B 0 v 5 V 5 u 6 j F m p s R - m h j D z _ t e 7 1 5 O 4 s t g C r l 5 6 E - g x s B m o 4 T y n 8 p D 0 3 u k K g 7 m 7 B v q v Z 8 z _ s I y 0 o h G m t 4 1 F k q s z B n 7 n h C u h 3 Z 6 r w R n r 1 3 C 4 q s y F t 5 w n D p v q l D n n 2 u D k _ g Y l o 8 z C i l y Z o t y g E y _ w W g 1 _ q D y t g j I 5 l q 1 H v t 3 i B r u z k C w s q 6 B z n r 8 B x 1 8 l H q z z 5 K t 5 w h C o y 1 h E x r z x C z 4 t H q 8 0 2 J r j 4 1 F 0 _ 0 4 D 8 z x 0 B 8 r _ Z z w 9 H i 6 0 o D 6 1 k m K 8 v 2 H g h n c x r y 7 C 1 g y 7 F 8 i 4 X - k 6 h B g 4 j Z l j y _ C i 2 i m F m i 2 H 5 2 3 9 B 9 y n 3 B z 1 s s G h s w Q n 2 o 4 C g 8 x 1 E - l i x C g 8 r r F - - p X r h 0 k B j 3 g z B 3 6 5 q D 7 q 9 b i 3 w r E z x o p B u 0 0 6 D - 7 k N 3 j 4 g B r l h 3 C n 8 i g Q o m s n G s o o V j h 0 y C j - 0 J 8 m l m F 8 9 s w C _ g 0 6 D v 3 z p C 4 7 h 2 B 3 j 0 k B 8 v o 7 G w l w n I y - 8 n C 6 - 1 c - t 5 k B m 0 q w G i m z - M m k n z I n o k 1 G z x n j B 0 _ r 1 B p n s 7 B r - i p B 6 3 m s C m g s 1 B 0 q m 4 B n i q k E p q 3 U j 0 s N - r 1 F t 3 u T h t s o O q g 0 i B w 1 t i B i q m c j w j Y u 7 z v B q o 8 o E 2 1 t o C 6 i n M 0 y h F o - 9 S m 6 0 U x j 0 S h o 2 z B h j u 3 D 9 v p Y g 4 m u B u 8 g s B q - p t B l m p e r o 0 _ B m 7 k z B j l s S 4 n 6 o G u p F o x 4 U 7 r _ b q 8 j t B u 2 4 o B 2 x w p C l 4 p L j 8 3 c 2 z 8 l B v 1 p Q j t r s B 0 w g 8 B n 4 h h C u 2 _ j G p - 1 - D n t 3 l C 8 m s k B _ s h h B r r q _ B v r k Q - 8 5 F z _ x o C h j s l D p y j 8 B _ 1 u h C 6 m r u B - 9 8 t E 0 0 h 9 F g g s U u 9 7 o F j o r u C t j g K u 7 1 q E 2 i v y D u y v t D p 7 v a 7 u 2 8 E r 9 8 P 6 v 9 V w m w 1 K w 1 l 1 B u l n b t q x X j r 4 G 0 9 x N 8 r i J 0 9 7 v B o q 3 0 B 4 k u X g n o 5 D y 3 k K p x i P 2 0 - Y l y 4 I o j 7 R _ 9 5 G v 4 _ M j r l M l 1 6 n D m q 1 T 2 q h 2 C 4 t o k D 9 s r D g z o j C t 3 z - B m w 1 s B _ s n E 6 6 5 j B q y 9 w B 2 u j U k 1 u k F o j 8 V 8 _ h Y v l 8 Y t y _ k B 5 r z M x i v k B m 1 p e o i q S l 2 9 l C 6 j p D u y _ L 8 m t V 1 o q Q n o l w E q u v g B _ l _ Y l i g O s p 2 o B s u 6 N i 3 m 4 D 7 _ s I g 6 9 m B z n h h C 2 t 3 4 B i 1 8 C 7 - k Q 0 6 x z B s 4 k h B 4 w m H q 0 3 7 D 7 i 4 l E z 2 w G 4 1 r M g t 6 - B 6 k _ e y l o G j r s n C l m _ P w i v g B 8 p o I g h w v B h t 5 _ E l 0 i c r m u G 9 s m I i n s H 0 w i e x p h a 2 o k l B t x 2 Q o l g C 1 v t Y l k 1 H 7 5 3 p B 8 z r Q 9 - - 7 F i w y f z n 8 a w s q w B j o m Q r y 8 P 3 - 5 P x y 7 m C 5 u - H u w 3 - B g 2 7 J _ x u q C s k l X n r 3 g D 9 8 6 a q 5 t l E 6 i 7 Y 7 k k z B 7 l - i C o i i K 6 u 2 6 D 3 9 h y C 5 m q z B y q 5 m E k m 9 m C 7 n 6 5 C r s o f v 6 q h B 2 8 3 w E x w i 6 B v n y C 9 9 0 S n 4 p M y - q J 9 t t K j r 9 Y j w j y E p m 4 T i l m G z q 6 C i 2 1 C l - y E 5 s h f k z i e 0 o h k C p n z R 6 2 h w B y z v h B j r u h B w l m L 0 x h 8 B _ z p F r r r 2 C v 2 7 c w m v r B 0 0 t l 4 D 8 w o 4 E 2 t t f i 6 y R 0 v h l B v 8 9 Z x z 4 B _ v w B 6 g 2 E z Z j k h G 4 _ w H u w 0 E i p 0 i Q s s q w k C 2 r g R h l g i 9 E o g y l j 6 C - z 7 w 1 - C 6 _ p s 0 Q w 9 _ Z 7 j r x D u 5 _ t 6 M 4 - j K 8 8 5 q B n v r m B u 6 4 G - j r s B 9 s 6 F 3 8 8 9 C v i 2 H 1 5 l - C s g h O p n 4 w C 5 0 i o B _ g v q e 3 n - V h y o Y 3 5 g r F - n y g B 6 7 m T 2 z m H 2 h y u B n h 7 x C w r k S k 8 2 H 0 z 8 Z w o v P p 4 o W x 2 r 6 D o 8 2 k C w 3 o w C 3 y 8 G n g o P 8 y i 0 D 9 1 x d k 9 q h B r 6 o 9 B q 7 j 3 D l g 2 p B n r s 7 B _ h 2 t E t 7 h M u j j N m i i L 1 o 3 m B q 1 r q B i 0 _ P 4 9 w 9 C 4 g 1 V 4 2 t _ B y p 7 G s w m K n i n o F t 2 n Y w v r b v y _ g F 5 j n u C t q t Q 2 k _ S t z q g B u r _ P y t m h B k 8 y 7 D v s 9 V t 8 z F p s k 7 C 0 y 5 4 D t n 8 H i u r G k w _ F v g 2 L y 7 j p B m 6 j O u t t m G r _ z L w w - F 4 p z q C 7 u w h I q o r C g n 0 q U 7 0 u r C 8 8 s i B q 1 x E _ g v d 7 r o 1 D 4 0 5 4 D k l h G z n g w D 6 y g t B 4 9 0 N 8 7 m X p w n E h k j a 3 8 u X m i x P s 9 4 F i n 6 G p k i B 9 z q Y 2 8 u k D j - h b s 9 l U u j s K g y 8 T s r s W x m i n B 6 y r G 7 t x 6 C y m i Z k h w N 1 z w r E - q 3 I 3 9 x o I 6 - x x B v 6 k K x s g 8 D 5 x 0 z E h 0 w 1 J _ 7 x U q j i m W h q l f s g l n B 7 r 5 t B 1 v 9 m C 4 t 5 O _ i 9 i D y 7 x P 2 n 2 c u t m P n v z c u s s _ B v i l F 9 _ n M - y h K _ 3 i Z g _ 4 i B & l t ; / r i n g & g t ; & l t ; / r p o l y g o n s & g t ; & l t ; / r l i s t & g t ; & l t ; b b o x & g t ; M U L T I P O I N T   ( ( - 1 2 0 . 9 1 9 2   3 5 . 9 0 6 7 3 ) ,   ( - 1 1 8 . 3 6 1 2 9   3 7 . 5 8 5 8 9 ) ) & l t ; / b b o x & g t ; & l t ; / r e n t r y v a l u e & g t ; & l t ; / r e n t r y & g t ; & l t ; r e n t r y & g t ; & l t ; r e n t r y k e y & g t ; & l t ; l a t & g t ; 3 9 . 0 3 4 6 7 5 5 9 8 1 4 4 5 & l t ; / l a t & g t ; & l t ; l o n & g t ; - 1 2 1 . 6 9 4 8 4 7 1 0 6 9 3 4 & l t ; / l o n & g t ; & l t ; l o d & g t ; 0 & l t ; / l o d & g t ; & l t ; t y p e & g t ; A d m i n D i v i s i o n 2 & l t ; / t y p e & g t ; & l t ; l a n g & g t ; e n - U S & l t ; / l a n g & g t ; & l t ; u r & g t ; U S & l t ; / u r & g t ; & l t ; / r e n t r y k e y & g t ; & l t ; r e n t r y v a l u e & g t ; & l t ; r l i s t & g t ; & l t ; r p o l y g o n s & g t ; & l t ; i d & g t ; 5 0 5 7 7 4 2 2 1 5 2 4 2 0 5 5 6 9 7 & l t ; / i d & g t ; & l t ; r i n g & g t ; - x h n 5 i - 9 y O n l 4 t F - 5 r n E k p i h p B 5 k 7 p 8 J q 3 3 n 5 B y 2 o k h D k s 5 o L m v 7 S 0 t _ G 8 j 7 2 B l h _ k C m g q 2 I z o - r B v z p n B k - o J m y i 2 C y 4 2 r F o s 5 6 N o - w 2 H o o 8 2 O _ v y n B z 5 6 j L g 7 y _ L 6 7 k D 0 t y s C q u y y W 6 2 m u G m 0 p x B 0 i h s C - y 5 V l u _ r C 3 t - 8 B k l 6 I _ 9 7 u D w h 4 y B p 8 m g D g 5 i L v _ n v J 0 k k 1 N 1 n h 8 _ B u o k o D 3 _ u O 8 z u s B 4 n u n B k i h w E h 4 9 j D 9 m l d 0 t 0 0 H x t 2 r C x h - r M o h s g D t 5 r r B x t z R m z 0 7 B k m q J s v r j D n m _ S x t 0 _ B p g l g C h 1 1 B l r p M 7 i 6 P x g - 4 C 4 5 z v C o 1 q h C p 8 j L 5 g - s B 9 5 0 L 7 g 8 e o 7 q w B 8 g y j C 2 9 k z E l j o i C 3 i 5 2 B 9 r v B - h 1 w B u 4 p 8 B - 7 s F u 8 n g B h n m h B p q s _ B z s u 5 F 5 m t m B t h q G t - 2 x D 6 k i E - 4 4 M 9 0 i p C n m v i n r B t 8 q E p h p o B t 9 o b _ p n I w i 5 F r 9 0 H 3 t i K x o 5 y B 0 k 6 g D 5 9 6 R 7 p h x B 5 _ 4 4 B j m q 1 B j h 2 l C h - 7 o C - 7 3 w H _ 6 5 o B o s u V 0 q 5 L r w 6 h D 3 i 4 G t r o o C n l 6 O _ 6 n k C 7 m v Z n z r 3 B - 3 m m C 1 q u 2 E _ 9 u 8 E i r g 9 I 8 m p k B h r i g C 4 q i 1 H 4 s _ K k 2 q b o t 3 u B u - p 9 D p m y w B m - 9 k C t r p v B u m 8 9 B p 1 n 2 B o _ o t F 2 h 4 8 B s 1 n w B y 8 j X n g t m C t n y _ E 0 9 8 8 B 1 h y w L 7 o _ n G 4 h y s D k o 2 e o o l j B 4 s t s C y 2 m W h 4 _ K x - i J j 1 u p B h t p L l k z h D 2 j 2 G s w 0 9 B j k _ 3 D _ p r 1 B l n k t B q q 6 J 9 x i 3 C n h k 6 F u 8 6 S 0 r n _ B 1 q l t F r n h Q m 9 q x B w t 5 l D g i 9 0 B t 7 p f - 7 4 3 B 9 j - t H s 7 x 4 E u 2 t 9 O v 7 s D x m y U h m k h B y w y 1 B h 1 g 0 G r j 2 f 9 r r o C 8 6 7 M w g 8 q C w 7 k y E y z u L 7 n 8 x E s 5 r m B _ 8 k c z y y o B n 6 - f 8 9 y d 2 3 - 6 B w h t 8 C l s l Y 1 9 l o B 3 p 7 S 7 4 s O y _ _ u D x r 4 - B 1 5 - k I u p l h B n g p f u r 7 v B j x 7 n B z 2 8 S t s t Q 2 m y 7 F 0 p i 9 J t q v 3 F k 8 h 1 B _ 8 l a g y z H q 2 n t B 7 8 t k B 9 w i 0 G m 1 j P m 2 h q C 6 2 y v B 0 _ j d j - y e u g u t B y - u 0 F p 0 4 h C 9 x p g B m 0 5 4 B j w 8 L u p 0 d 7 2 i T j j x m C w - 8 W r y 0 O q h g S s v 3 U 8 r _ y D 2 3 m C s l 0 I _ 6 q t B 6 l 6 L r 3 1 1 B h u 7 2 B w 4 s C j p _ w C 8 l 5 a p o v c 7 g 6 z B 9 x 4 8 G i - 9 n D h w p p G _ p r W z l p z B 5 q x 0 L u o l o m F 4 p 6 j O & l t ; / r i n g & g t ; & l t ; / r p o l y g o n s & g t ; & l t ; / r l i s t & g t ; & l t ; b b o x & g t ; M U L T I P O I N T   ( ( - 1 2 1 . 9 4 8 3   3 8 . 7 3 4 5 7 ) ,   ( - 1 2 1 . 4 1 4 4 4   3 9 . 3 0 5 6 2 ) ) & l t ; / b b o x & g t ; & l t ; / r e n t r y v a l u e & g t ; & l t ; / r e n t r y & g t ; & l t ; r e n t r y & g t ; & l t ; r e n t r y k e y & g t ; & l t ; l a t & g t ; 3 8 . 5 2 4 7 4 9 7 5 5 8 5 9 4 & l t ; / l a t & g t ; & l t ; l o n & g t ; - 1 2 2 . 8 8 3 3 4 6 5 5 7 6 1 7 & l t ; / l o n & g t ; & l t ; l o d & g t ; 0 & l t ; / l o d & g t ; & l t ; t y p e & g t ; A d m i n D i v i s i o n 2 & l t ; / t y p e & g t ; & l t ; l a n g & g t ; e n - U S & l t ; / l a n g & g t ; & l t ; u r & g t ; U S & l t ; / u r & g t ; & l t ; / r e n t r y k e y & g t ; & l t ; r e n t r y v a l u e & g t ; & l t ; r l i s t & g t ; & l t ; r p o l y g o n s & g t ; & l t ; i d & g t ; 5 0 5 7 6 8 2 0 1 6 9 4 6 8 8 0 5 3 2 & l t ; / i d & g t ; & l t ; r i n g & g t ; z o i 4 g q 0 j 0 O n - p l - E 6 7 i 0 R l x k _ F o v 2 Y h g 5 w D 0 m q i F l j 4 4 C y m z M o q v h B 0 8 y 0 D 7 x p l B 5 m r V i _ w z B o 4 _ r B 9 7 v l C u 8 2 T t 4 j q C 2 q 1 O 6 7 q O 9 3 t x F r t 2 I - 6 - p G u n x t M 0 m t I 8 i z B h q 6 M r z 2 I - p 7 - F u s s t C w i k w E o m 0 n C s 1 7 S t 7 q 4 C 9 g 1 T 3 0 5 V - 6 n p D o j 0 a 4 w x i B j 9 _ r M w 8 5 G p u i H o g c r i y Z q j u x B h t r P u p h o B u - 8 C 3 1 3 I h i 5 D _ s - - C w t h G k v s 5 J m r 4 w B 1 v - 7 F 1 x 5 I 0 v k m B r z 1 N _ 9 m O 2 n k 6 B k p x R w w 1 5 D _ p 8 l C 9 j 7 P 7 7 2 O i k v E - y j O 0 1 t e 9 z w 1 X q 7 u u B - v - F 2 4 - r E 8 p g 8 G p 0 i 6 E g j t G m 5 m a 8 i q 8 C _ 8 5 R 8 i m Z 1 5 l - E _ - x l E l 5 8 g C z 1 r 4 B x 6 6 o I - t 8 I g v i F 7 g o P 8 3 t V 0 m 8 r B 3 p g O 9 n j I t 9 1 e _ r o x B p n x X - 8 u G u p x I z 1 q j B 0 w w l B t 4 7 h D m y 1 E _ 6 h S 7 n g G 4 9 x z C - i z R v 3 t x C r m j K i 6 5 M 7 8 y 9 E h p q U 3 - q 3 C - 9 w o B 8 9 4 S 4 j o N l h x X _ z _ S j 5 m g C i - z P 9 s q d h n z 6 K t n p C 6 x 2 k E i 5 8 J 7 p v j C r g u J y t 2 q B g 7 6 T 0 3 i J o 5 o g C x - 1 k M z q l h D o v o v B 1 9 8 R t _ s F p 6 s v D z 8 0 b o g g - B k k v a v j 2 6 C t x i J 2 6 8 l B 7 3 l x E 5 0 9 7 B 3 5 v X z v s S 5 8 j V l i - D v j i s E 9 x s r B r y _ n D 8 - m v D h t u s C u _ i p B q 5 u D s m r 4 E w 9 r N 0 6 5 D 1 l h L v x 8 0 B h n - Y y 7 - j B 9 q t v D z u p M - 7 h n C o 4 1 v D z 3 i Z s z n y E 9 _ z J y 3 - g C v t h F l t l r B v 1 m j D y s t O o g 3 S v i 4 q B y t h h E 8 x o O 1 7 z e j 8 q q B _ 9 r M 0 6 7 i B 2 - p R v m t K 8 - u m o J m h j m 3 G 8 l o h W 9 n p 9 D 3 7 g 2 8 B j _ k s S p 1 9 6 7 J g l h m s B h g 9 t g C t 9 9 u Q z x 1 y R i s r i m C i i y 0 i B q 2 q P 9 _ 7 p B v n _ x B y n x c r 0 6 g C s v t I u 4 i 1 K _ 5 v W j s 4 W t 5 t o B s h g S k u t I 7 v 4 X i j 1 G 6 m r j E s 1 x B x v 2 u M z 7 4 4 C s 4 l Q n z 4 J 3 t k n D x r 0 J 6 3 0 7 E r t o v B 4 7 8 7 C v 6 l E 8 x g H 7 1 s F g i i G 9 9 i V z - x 6 C x 4 3 P - 0 o j B o n z I - o g P 0 v 2 E 7 - g H u v 7 I g q j D o z 9 H r q y J 6 y g V v n - K l s 9 X n g _ E 0 u w - C j 0 6 H u o 0 W z g y O u y y 1 B 1 _ m C v g 2 I v - j C 8 g 3 D l r R v w n H 2 j r a x O m x x n B 2 4 3 J 2 y q W y p - i B m p j C 1 i r E p u u B s s 3 u D 5 r r F w t 1 h D z w n g C _ 2 2 Q i w 6 J p s w F 8 3 i z F i - 7 L 0 g 4 c 3 7 _ V y r - h D x u p L z i 9 a 9 y g N v z _ R - 1 7 N 5 1 s U v q w F 2 _ v a y 5 z Y 6 3 t R r n u C r 8 7 g B y 4 o H i g p r M h y r S x 6 3 d u q k h B g 5 t I p q p 3 C 7 y p E k s u p C n n t I m t i Q v 3 h a u p x x B 4 2 r U h v 7 S r l g Q s x g a h p w C 9 q k R 1 0 5 J _ r p Y g 7 x C m o h P 7 8 2 4 B q 7 m S s l q K 4 _ 8 J w i t F x n z 5 Z h h - w Q 9 o 6 1 F m 5 _ M z 2 z B 6 i _ Q m r 4 n B 1 m j M n h o N 9 i - C 8 6 u O k x l J 2 8 u E y x - l B 8 l y E u 0 p K - 1 5 E l 7 - L s z v g E s n i o E 4 i h H 1 2 q Q u q g 7 C 9 r p F j 9 2 b s n 9 3 B n 6 2 b _ 6 n 7 D 9 6 8 k G 8 w u M l 8 o R h - 2 P w j i u C x 7 z o F r 9 2 I 7 t 9 C - n 7 p C 9 n 8 n E l 9 u s J 5 g j o G z 2 i K 0 i z L 1 u 8 Q t 8 6 o B 5 _ 4 G 1 j z J h w 9 _ D 5 m 4 G t 1 j 0 C x v 7 a 1 t v t B y _ h h C - x h m C j l 5 9 E k g o g Z 6 z m L m 4 l t B j 2 - g B 0 u i M i i x P n 9 7 I g - 2 V 0 j y i D 4 8 z j C s x p K y x s t I 1 j 5 L n i j V w 3 s t B - 7 _ X 2 w p v D q j _ o B g 3 3 W 3 0 n K u v 0 p B _ 6 3 v B x 5 v D _ o E 1 g D q 5 m S i o _ C j u 8 K h k g Q 3 j 9 w C v i y K 7 5 o v - p B o 7 - 3 F 4 j t x C 3 o r F 3 _ 9 r L u 7 C h o x 0 B t 8 4 o C v o n t D n o n d h 0 _ P w o k o B 7 y q i B g m g 4 C z 5 u Z 9 u v V g j l W 9 j n G k q 2 j B q g g O 9 t 2 w B z 6 3 h B w o 6 u C v z 6 N 1 7 u j C n 9 1 r B x 0 r Q 2 _ v G k w g R - 6 - F 5 m p j C 1 o 4 v B - 5 - P s - z Y 8 - 3 k D x m r x C h y y J w q 8 u C j 0 9 T 5 4 - p H k z y 6 K 2 6 h h D p 9 w n E g - v 9 G g 4 n t i W & l t ; / r i n g & g t ; & l t ; / r p o l y g o n s & g t ; & l t ; / r l i s t & g t ; & l t ; b b o x & g t ; M U L T I P O I N T   ( ( - 1 2 3 . 6 5 8 3 8   3 8 . 1 3 5 5 6 8 8 ) ,   ( - 1 2 2 . 3 0 5 6 1   3 8 . 7 9 0 2 2 7 6 ) ) & l t ; / b b o x & g t ; & l t ; / r e n t r y v a l u e & g t ; & l t ; / r e n t r y & g t ; & l t ; r e n t r y & g t ; & l t ; r e n t r y k e y & g t ; & l t ; l a t & g t ; 4 0 . 6 9 9 4 2 4 7 4 3 6 5 2 3 & l t ; / l a t & g t ; & l t ; l o n & g t ; - 1 2 3 . 8 7 5 7 7 8 1 9 8 2 4 2 & l t ; / l o n & g t ; & l t ; l o d & g t ; 0 & l t ; / l o d & g t ; & l t ; t y p e & g t ; A d m i n D i v i s i o n 2 & l t ; / t y p e & g t ; & l t ; l a n g & g t ; e n - U S & l t ; / l a n g & g t ; & l t ; u r & g t ; U S & l t ; / u r & g t ; & l t ; / r e n t r y k e y & g t ; & l t ; r e n t r y v a l u e & g t ; & l t ; r l i s t & g t ; & l t ; r p o l y g o n s & g t ; & l t ; i d & g t ; 5 0 4 8 5 0 9 8 9 0 3 2 7 2 1 6 1 4 0 & l t ; / i d & g t ; & l t ; r i n g & g t ; 5 1 1 x 2 6 y 7 o P q - w 7 4 U 4 _ k 3 i B k x 5 0 7 P 0 m - h v D 4 x o k 0 E 6 n 4 4 x p B o t r 9 7 Q t 1 w k l L p j 1 b z 6 w F i 0 j y B r t 4 N 5 y p S u r 8 G g h l Q w y 7 q B m u u 2 B n g l e h 9 p p D 4 1 7 J i 6 x s C 8 l i O w l q T y r k T q h 2 d l w v P 7 2 i R p t j E n n 5 j C _ 4 p R i m - T i h 6 0 B m x 7 J h y s J _ y y J g 5 4 4 C - 7 0 k H - 9 9 G - 5 0 k B - l u K s 4 5 F k 3 8 G q s g j C m - 2 E 2 8 i b _ n o P j x 0 J o _ v F q 1 7 z D 0 j i l F n g 6 d x o v j B - m 0 _ B 1 m m a v m 3 R k 9 l z B m v p h C o r p o B o g l x J m 3 o z B w n t R 3 z z s B 0 g t m C 4 x _ a 8 6 r M t _ p n C q k y b w 2 p R m i i 8 G 5 p 9 h B x 1 n l D l l 0 K l u m g D o n m i D v 3 5 I l m 2 h D t v t j E t n 3 S l o y K o r 3 9 H 4 t u G 8 x w c 8 v 4 G w y k n B 7 l 6 m B t 2 x 1 C - t 2 i B 9 4 8 I s y t l B t g p z F 3 t 1 h C j s z 2 B 7 7 i k F z x 6 3 F g p l H 4 0 2 J p w r 8 D - i 5 E o 9 1 p B u 4 t U u 2 l y B 4 g 2 Y h 5 p V 9 0 w K k 9 y T n s v Y s t s 6 E t 5 _ - B i _ 2 Y n i r Q 3 l 3 h C v m i Q t o n 8 G i s 2 q C g j z W v u z i D z s 7 t D w u s R n j 1 h D 9 n 9 u C q 0 3 3 E r x h h D _ w x e 1 n r O j 7 0 Q q n 7 W 9 y 2 x C x h 7 V u 3 g X 7 v q h B t 3 4 6 C _ _ s D g 0 y u D v x n G m w x y C x y n t D t i s x B z z n L q 9 i 3 C 0 9 _ J t 3 t 1 B 4 v q 6 C - 3 x p E - 4 g j D 2 y r M 4 h n g B q r _ k B h k q Y r y 2 i E z l 3 S z j i n D x n l u C 5 t s _ B 6 0 7 6 C z 6 j 0 I 0 q 1 q B 1 _ k v B v l g b 7 l s W 3 v t l B u _ 0 1 E 1 5 u v C t 3 q k B 2 u 1 j G p - 2 _ B u j 5 w E 0 y 0 f k - - 6 H 7 p k I u k i D t i 3 X m j j o B g w 2 r B k k 5 h B u l p d p _ g w C p 1 t J z t r v B h 7 n X 4 s 1 m B k 2 x n C 6 y s 4 F m v h R x v i a 2 9 z 0 B u g o l D 2 m i L l 0 z Y - g p n D w l 1 K s 6 y G 7 - k h 8 l B 5 m y 9 H 0 s r 3 E p 3 9 3 4 C q s 3 k _ H g 8 x C u r 4 m q H h 0 T n 5 v a o w u p 1 C o l 9 _ P p l l l X k v m z o B s y 0 1 j L o k 4 x M u z _ n B x k - 0 h B i k j 4 5 D r 7 5 - B l n i 9 C p t k E r 5 0 h B o s t s B 4 h K z r _ a 8 0 s w D 9 m y O s 5 _ u B k w 5 T _ 9 v W t 7 4 d m u v W w o 8 - F j 9 4 a g 6 0 N q 7 8 L y 3 u Y i 9 s n B 4 l 2 P 8 8 v E _ 7 6 X w l 4 H n w u D l 3 s 2 B 9 1 _ a o r 9 D q v i J s 7 7 L 7 t i W r 5 y I 9 9 1 C w q 9 C 0 m w j D l u l g F m 1 q D j 7 z 2 B j x i H h q i L s g h w B 6 0 t H l s z 3 W 6 q k 4 C _ - i E 7 7 0 8 x B 3 n - 4 3 D - i 1 6 _ D 6 5 6 9 r C t 4 j q W z x n p K n i p o B s j 8 v B 9 z o h e _ 4 h 5 y D w n 8 p h C 5 1 p P x 3 l 6 F 6 5 l n o C 1 j 3 v x F 1 v 6 o j B s g o l B 3 0 2 l B t 4 k k C z 6 7 g X 5 y m p d 5 i 1 H 0 6 l m B o n 0 T j p 9 W 5 6 u n C 7 9 4 w B 8 s n j D s s x y C 7 t x 6 C w 0 m - E y _ 1 i S 3 0 h l D y 8 z J 3 k m G - _ w m D 0 m u w B h o n k J 3 3 x v 7 B v g _ R k o 8 H 2 6 u t B k i y e w p i 1 D 3 u h p B h l 5 q E y 7 1 9 F m z z g B 4 6 6 y E 9 o 6 8 1 B m 0 z - B j 4 r t E s m 8 n O u 6 7 j M k u 2 i d u k m q g C 1 s 3 a j 1 _ g F 0 2 j m 1 B 4 0 - 4 F 2 4 r _ B 7 t g j I q x _ l H u j n l C g h - x H k g u 0 K 7 n z N h v w F 9 1 x B 4 _ w F i r g v B g y p c j 3 w l B k g z U t 4 6 r B h w v h C n 2 7 k O 6 o 9 - N s i 6 h x E & l t ; / r i n g & g t ; & l t ; / r p o l y g o n s & g t ; & l t ; / r l i s t & g t ; & l t ; b b o x & g t ; M U L T I P O I N T   ( ( - 1 2 4 . 4 0 9 6 3   4 0 . 0 0 1 3 ) ,   ( - 1 2 3 . 4 0 5 7 4   4 1 . 4 6 5 7 7 ) ) & l t ; / b b o x & g t ; & l t ; / r e n t r y v a l u e & g t ; & l t ; / r e n t r y & g t ; & l t ; r e n t r y & g t ; & l t ; r e n t r y k e y & g t ; & l t ; l a t & g t ; 3 6 . 2 2 0 1 8 8 1 4 0 8 6 9 1 & l t ; / l a t & g t ; & l t ; l o n & g t ; - 1 1 8 . 8 0 0 3 2 3 4 8 6 3 2 8 & l t ; / l o n & g t ; & l t ; l o d & g t ; 0 & l t ; / l o d & g t ; & l t ; t y p e & g t ; A d m i n D i v i s i o n 2 & l t ; / t y p e & g t ; & l t ; l a n g & g t ; e n - U S & l t ; / l a n g & g t ; & l t ; u r & g t ; U S & l t ; / u r & g t ; & l t ; / r e n t r y k e y & g t ; & l t ; r e n t r y v a l u e & g t ; & l t ; r l i s t & g t ; & l t ; r p o l y g o n s & g t ; & l t ; i d & g t ; 5 0 6 0 9 9 1 4 0 9 5 9 1 4 1 8 9 0 0 & l t ; / i d & g t ; & l t ; r i n g & g t ; g _ q 0 q n m o u N 4 v i n B h l w U l k 8 h B h v h 7 B w g m g B 7 5 t h C 6 v u T h q u s D i i 1 s C 8 x 3 L w w 9 L 1 o v x F n m u K n y u i F s 9 2 D g k _ u B n - 9 3 B 6 s 7 k C _ 7 l 4 C n 6 q F 1 q h m B r 7 n m B x x z F z 5 y n C 9 7 7 d 7 q h W h 2 4 T 0 3 i H 3 1 o 4 F 5 p l v B 9 - z F m m g - E r 8 4 g B 8 y 9 E z n p a - 8 u k B 0 3 t W z _ h g B s 5 q O t v h U p 0 7 t C q r 6 f k h i g C q t m R w j w G _ y 6 N 8 r 0 S i z k R 5 q 7 F n p z Y p h 0 l B u 4 l L z g l n B m s x 3 H s 4 z 4 K 8 9 3 Q v y n W l u - i B 9 1 3 p B y h 2 J 1 h 1 Y 0 z 6 s C o h y I r 8 y 1 B p w 7 g D q w l P 0 w n x B y n w n E 6 r g d 6 0 x 3 B q i 8 o C u z 3 b z v j M l h 0 B t 7 g m Y 0 3 6 h B 4 8 j r F _ j s s B 1 j t s B t m 3 e r 3 n P 9 w i T 6 i 8 y D j q p m C 5 5 1 y F q o 3 g C t 9 p M 9 3 q x B - w 7 l E 5 6 p p H k 5 o E 9 6 _ S w n w L x 3 t k E i 8 0 m G t r 0 s B x w r 0 C k 3 h v C _ 4 n V 8 9 o J 2 j 7 w B y m l x E q g n F p o 7 J i y j I 6 o z S 0 w g g B z x j Z h r k 3 D 4 u t L p m r u B x n h L 6 6 g C 6 7 n 5 B z 2 x z B y 6 9 k C u t v 3 M k q u E j 4 j M m j v f - q r u C u t o Q n s _ h D z s 0 E 9 9 l a 4 - 5 U 0 m 7 O 2 u y s C - u - z B s - m g B n _ i w I i z 8 p B 7 7 v v F 3 g 2 X u s 4 O 0 m i O - m m R s g 3 F m 9 k D y u 9 d 0 - s o H 4 g g N 3 s i X g h _ f _ p q S t l - Z t w l w E s m 4 f u i u o B 6 o 6 D - 1 4 U s z u O g u - - C r 0 r o B l s y r B q t t W s 2 g v C 8 m g I y r w h C i o 1 F 2 z k r E 8 w k M o 4 6 h B 9 y o s G u s 9 t D 9 v x q F k p n D 2 w m w B i i t R u y 2 G - t 7 h B j m 8 h B v 1 r u B p 0 i T v - h i B 5 o o 2 B s n i d s p j a k o l z C t p 5 W m - q h F w v 0 Q y n t d q 2 - e _ t 3 d g 8 y K 6 q y D 5 v 4 s C o y 6 f x v r n D j y m q B 2 5 u K 8 i q p C o i 4 j B x r x n B z j 3 x D u 3 n b i - 3 I v w 0 y B 8 u j V 4 t r p D - y g v B m r 8 Y 1 l z i B o p 6 j B j k 2 9 F m 5 y E z r 1 i B k 0 3 i B g w 2 R - _ - z B 9 9 o 0 D v r - z E v 2 7 6 E 3 1 7 R 0 t n D 4 r u T 8 3 z o C 0 s p W 2 l r 2 D 2 0 u E 7 3 - n B g w z n O z 8 j L y t m u I p o l v C 9 w 8 U 4 _ h e t 8 v W p _ _ s S y 7 5 k p E r h x 7 4 D t i 7 R i u v l q s B v s o 9 z O 1 v 2 m u E 7 o i 0 i X 3 v 9 j _ C - 1 3 y _ B i y x t g C 0 y l r Q 9 u o i 5 P g 2 q p P 0 j z 1 3 E w h k p t D x n n g d x 1 - F r 8 n L - 5 7 h 4 E 6 - h 4 4 B x q l r s K _ 2 w r Y s t v 1 T o w 4 g n B 7 n 0 m m D - s 4 C j w h Q t w h u q G x j w - 4 S - x u p 8 C 1 0 9 Z _ x 0 L 4 n j 7 k o C 6 w i w 5 p C 0 z 9 3 x n B s 1 x 3 3 C _ q s w Q - u _ h h f y o x l 2 J 4 q 2 6 g C w v y 9 n C & l t ; / r i n g & g t ; & l t ; / r p o l y g o n s & g t ; & l t ; / r l i s t & g t ; & l t ; b b o x & g t ; M U L T I P O I N T   ( ( - 1 1 9 . 5 7 3 2 1   3 5 . 7 8 9 1 5 ) ,   ( - 1 1 7 . 9 8 0 6 6   3 6 . 7 5 3 1 4 ) ) & l t ; / b b o x & g t ; & l t ; / r e n t r y v a l u e & g t ; & l t ; / r e n t r y & g t ; & l t ; r e n t r y & g t ; & l t ; r e n t r y k e y & g t ; & l t ; l a t & g t ; 4 1 . 5 8 9 8 9 7 1 5 5 7 6 1 7 & l t ; / l a t & g t ; & l t ; l o n & g t ; - 1 2 0 . 7 2 5 1 3 5 8 0 3 2 2 3 & l t ; / l o n & g t ; & l t ; l o d & g t ; 0 & l t ; / l o d & g t ; & l t ; t y p e & g t ; A d m i n D i v i s i o n 2 & l t ; / t y p e & g t ; & l t ; l a n g & g t ; e n - U S & l t ; / l a n g & g t ; & l t ; u r & g t ; U S & l t ; / u r & g t ; & l t ; / r e n t r y k e y & g t ; & l t ; r e n t r y v a l u e & g t ; & l t ; r l i s t & g t ; & l t ; r p o l y g o n s & g t ; & l t ; i d & g t ; 5 0 5 4 4 1 8 7 6 9 1 1 2 2 0 3 2 7 8 & l t ; / i d & g t ; & l t ; r i n g & g t ; 4 4 v u 9 s h j h P v z - 0 3 O 6 z h 4 2 p C z j q w 3 r B v o v j _ D 8 y x 6 i l B y 4 q n n G 2 - v 0 q Y v 7 3 y U l 1 u o E 0 w 1 5 8 w B 0 o n t 2 4 B p u v u l B w h t 4 k P 4 i y q n h B _ _ r u 7 p C - t 1 4 5 p C 2 n 4 1 z E w 5 x i 1 J w _ 4 l 4 L 5 5 m 4 6 B 9 l n 3 0 G v i 9 v q B 4 3 1 9 B t 0 n 0 5 H y i 2 w k C r o l k B s h 0 5 v R m 5 0 h 4 I m w p q s E k s 7 h y X x y n 0 G & l t ; / r i n g & g t ; & l t ; / r p o l y g o n s & g t ; & l t ; / r l i s t & g t ; & l t ; b b o x & g t ; M U L T I P O I N T   ( ( - 1 2 1 . 4 5 7 7 7   4 1 . 1 8 3 8 2 ) ,   ( - 1 1 9 . 9 9 8 3   4 1 . 9 9 7 7 2 ) ) & l t ; / b b o x & g t ; & l t ; / r e n t r y v a l u e & g t ; & l t ; / r e n t r y & g t ; & l t ; r e n t r y & g t ; & l t ; r e n t r y k e y & g t ; & l t ; l a t & g t ; 3 5 . 3 4 2 8 1 5 3 9 9 1 6 9 9 & l t ; / l a t & g t ; & l t ; l o n & g t ; - 1 1 8 . 7 2 9 9 4 2 3 2 1 7 7 7 & l t ; / l o n & g t ; & l t ; l o d & g t ; 0 & l t ; / l o d & g t ; & l t ; t y p e & g t ; A d m i n D i v i s i o n 2 & l t ; / t y p e & g t ; & l t ; l a n g & g t ; e n - U S & l t ; / l a n g & g t ; & l t ; u r & g t ; U S & l t ; / u r & g t ; & l t ; / r e n t r y k e y & g t ; & l t ; r e n t r y v a l u e & g t ; & l t ; r l i s t & g t ; & l t ; r p o l y g o n s & g t ; & l t ; i d & g t ; 5 0 5 9 6 8 2 1 9 9 8 2 6 0 7 1 5 6 4 & l t ; / i d & g t ; & l t ; r i n g & g t ; 8 i 0 1 h j x 8 t N n s 9 h l C 6 0 8 2 c 0 4 _ 9 C s 1 o y B n u u r F s o 3 v J 5 - 3 q E o 9 t _ 4 - J l z 3 v x x E 1 q 1 y 2 S u 6 - o 9 O y v n g m Z o 9 s s r i B 0 z l j 3 B 5 v 9 - F 2 9 n s Q k _ v - Y i x m 5 Q 8 j g h G z u t r y E i p _ 9 _ y B y 1 8 p D q 7 n 0 t Z 9 6 5 9 7 8 k B v _ 1 s y m I n n _ m r S l 9 8 m _ G o g 5 h 2 E - i 9 m G 5 4 2 1 D u 6 r l G p m 9 n E q 5 9 k G g k p l E 1 2 y 4 G 3 3 4 y E g p p j G x v 0 q Q 5 m 5 1 n I n m 3 q 0 E 8 h 4 9 g D q 2 k n y E j 9 j 0 p M 1 5 j _ 0 E 2 t r s t I s q h z M l z 2 n o D 2 8 j 5 S 2 9 1 o j B - r l h E k 9 q q G t k 5 6 u S k s 1 7 6 E 1 h q w I p 9 q n 1 G _ r k y K r k g 1 X i i i 3 k B t x 6 g n r B h j 9 7 I 9 6 p 5 X & l t ; / r i n g & g t ; & l t ; / r p o l y g o n s & g t ; & l t ; / r l i s t & g t ; & l t ; b b o x & g t ; M U L T I P O I N T   ( ( - 1 2 0 . 2 7 8 3   3 4 . 6 0 1 5 3 9 4 ) ,   ( - 1 1 7 . 5 3 1 6 9   3 5 . 9 8 7 0 6 0 7 ) ) & l t ; / b b o x & g t ; & l t ; / r e n t r y v a l u e & g t ; & l t ; / r e n t r y & g t ; & l t ; r e n t r y & g t ; & l t ; r e n t r y k e y & g t ; & l t ; l a t & g t ; 3 7 . 1 9 1 8 7 5 4 5 7 7 6 3 7 & l t ; / l a t & g t ; & l t ; l o n & g t ; - 1 2 0 . 7 1 7 7 3 5 2 9 0 5 2 7 & l t ; / l o n & g t ; & l t ; l o d & g t ; 0 & l t ; / l o d & g t ; & l t ; t y p e & g t ; A d m i n D i v i s i o n 2 & l t ; / t y p e & g t ; & l t ; l a n g & g t ; e n - U S & l t ; / l a n g & g t ; & l t ; u r & g t ; U S & l t ; / u r & g t ; & l t ; / r e n t r y k e y & g t ; & l t ; r e n t r y v a l u e & g t ; & l t ; r l i s t & g t ; & l t ; r p o l y g o n s & g t ; & l t ; i d & g t ; 5 0 5 8 4 7 6 2 4 1 8 7 9 8 2 6 4 4 6 & l t ; / i d & g t ; & l t ; r i n g & g t ; t q r 0 0 r t k k O o 8 p q j 6 C t z j j 9 E 1 r g R 0 5 h x k C i 0 - i Q t w 0 E 5 _ w H 8 p i C z 8 h B u N u G 3 5 x G x m 0 B p m 9 B w 8 9 Z - 1 w h B 5 q l U t 6 - C p v t n I z y y i i X y i q x B k j 3 t C w l 6 w B v 7 5 L l v t 0 E 0 o q - D i g 3 t C o h i T 6 t 7 N l - l n B r i t 4 C v - 8 h B - 9 q N q w q R - n 7 l B v 0 h o N t t t m D _ 2 1 P r o 2 i C 7 i s p H 9 m x F 4 z p a _ h s 7 B o y v p B 7 v g e l t 2 4 C 7 l - 6 D 6 3 r 0 D 8 g 9 8 T 5 z 5 f - v h 2 C p k t u C n l u N _ m 3 R u n z k B r l z z H 0 g k _ B w 4 9 H w 4 _ 1 B m p r X p v 6 J 7 k v v B - s s n E m w i u B x 2 l q B k 2 3 v B k 1 1 j E o r k 0 G v 0 - o B 6 z o _ E 7 o j _ D 9 q 2 3 B 6 5 m j G 7 t r 1 B q x y _ D _ n g 1 B g 0 8 v j B s r 1 y G s 2 y 3 1 B v h p u o B h z t q F o 7 g h I x 9 5 x E p 1 r n B j 5 k i C m - 6 k L u w w i Z o 0 o i j B u 7 h 2 Q x t s w D n u n 3 M k m i 2 Q n q i R 9 3 5 l B 3 g m r B m 6 6 i C l h _ t B 8 u s z I s j m 5 B x - i 0 M t z w t C 8 o 4 W _ i g k I 2 6 2 p D o s 5 y B 7 9 w u B z i l l 4 J r _ o v O 3 5 i p N 9 g r j h C 7 z 1 l j c i 1 6 u p w C 2 0 q Q n 5 7 u d v 4 r s O q h g N 8 w 0 l B 1 v 6 t b 8 q i w o C w 5 u x D - - k m B 8 - 9 V g n u L j 0 0 U h w t j B j m 2 D v 5 z k B 2 y t M 1 u 2 t B 3 t 8 O 4 1 9 B v j l F g p l J l g o q B 3 h n k B 2 1 _ G _ z p Y l 8 - r D m i 4 L h 6 h c o y g Q x 5 p t u T m z 1 z y L m 4 g 7 l O x 9 r k B - v u j B t 3 n V 6 q v _ D 2 w 7 l B k y h I g 7 r e p i w m B 3 z 1 _ E h u t Y _ n 7 k B 1 j m j B j z 6 o G m 5 0 c 3 8 q q D p u o T m v 1 k B _ s 5 p C t s - r B 1 3 t P u h w D u 1 t D 4 t r U 5 m o x D 5 m - _ D r - 4 4 B 8 s h 8 B y g 6 m C 2 8 0 r N - g m i B 0 8 g E m 9 p 7 C x u 5 g C v j j o B l 5 9 k C y g w 3 G g _ y i D 4 z p Q u x x l F l n _ e 6 n 3 9 E q h w k C 2 j z f 2 y 8 v F p - r F z m l 2 B k w 8 f i 4 6 d 2 0 o S w g j q B w w 7 r C q 7 u y C l _ Z 6 2 q a y 7 9 M q 2 4 z B 2 5 g j D n y i p I j v o T n p m t I 5 y i i E 3 8 v m B g _ 3 g G x j v H v p x o C q o p y l x B t w 2 2 S & l t ; / r i n g & g t ; & l t ; / r p o l y g o n s & g t ; & l t ; / r l i s t & g t ; & l t ; b b o x & g t ; M U L T I P O I N T   ( ( - 1 2 1 . 2 4 8 6 6   3 6 . 7 4 0 4 1 ) ,   ( - 1 2 0 . 0 5 2 4 6   3 7 . 6 3 3 5 4 ) ) & l t ; / b b o x & g t ; & l t ; / r e n t r y v a l u e & g t ; & l t ; / r e n t r y & g t ; & l t ; r e n t r y & g t ; & l t ; r e n t r y k e y & g t ; & l t ; l a t & g t ; 3 8 . 2 6 6 9 2 9 6 2 6 4 6 4 8 & l t ; / l a t & g t ; & l t ; l o n & g t ; - 1 2 1 . 9 3 9 6 7 4 3 7 7 4 4 1 & l t ; / l o n & g t ; & l t ; l o d & g t ; 0 & l t ; / l o d & g t ; & l t ; t y p e & g t ; A d m i n D i v i s i o n 2 & l t ; / t y p e & g t ; & l t ; l a n g & g t ; e n - U S & l t ; / l a n g & g t ; & l t ; u r & g t ; U S & l t ; / u r & g t ; & l t ; / r e n t r y k e y & g t ; & l t ; r e n t r y v a l u e & g t ; & l t ; r l i s t & g t ; & l t ; r p o l y g o n s & g t ; & l t ; i d & g t ; 5 0 5 7 7 7 8 8 7 7 0 3 2 5 6 2 7 0 2 & l t ; / i d & g t ; & l t ; r i n g & g t ; _ 0 o z 1 j 3 2 y O j m 5 q B q 7 j 6 H i m _ l B r s m h h C w r k p J 2 7 g h D y y t u K 1 w 0 7 F q 2 3 1 M u s 5 _ B 9 3 l h D x _ 6 9 D h 1 k z G w k p 5 N q j n 5 Q o 9 _ _ D 8 2 s 4 J 9 x o 0 I 7 y h e g l 6 6 M v l 3 d 0 7 k 4 F 8 t o g W o u w r B x q 6 g 0 D v k m - F z 1 6 o E 2 l 6 Z _ - s w B l 4 9 v G t 9 h 1 Y 4 5 9 2 a 4 s x _ e v u g k M g s g 5 B 0 y o h D 8 4 6 e 6 4 k 0 B 7 o p l C m 1 o 9 D i t k K g 5 x C h 9 9 4 H u v 8 o G 3 m r u J m i i r F u y z h D u k o g C w m u R _ g 2 m B l _ 5 v C g h w o B i l j J h 2 s q B r v 3 l s B m o 1 6 2 B n s g Y 4 h u m 4 Q - g o D x r j h f 5 7 7 U q v w 3 I 6 9 0 i D o 2 h 2 H t z - 0 D g o u 9 C y r 0 2 C _ 7 u M g y x O h w s I 7 p z 0 B 6 g z f 2 1 r J w p 9 D x s o i E 9 i s l G _ 2 1 5 K y m n m K 4 i h p D 3 _ j m B g n v l I 8 o z j D p n 6 w H q g o 1 E v i s 4 G 2 l _ p D g 1 s 4 H z w v o B v u n 2 J t r 4 s B - 7 j J 0 o 2 k B w 6 u P u 6 x r D 8 3 8 I q n x s E p u x g O 7 9 _ m E l _ 8 - N y 1 i l H q y - l I 9 y k a h v q q B 1 p 2 o B t t 7 o D v 0 2 i B y n j h d 2 _ v 5 Z y u w r D 0 8 4 v F s 6 1 H 3 x r C 0 v u w B _ h h L o y w u B 8 3 9 r T 2 t t x T h 8 w Y g u _ P 6 u k 4 B l h y I 0 n q c x o g 3 I i z n N h j h T p l 7 L y i i I r 5 n V g 4 k j 9 L 5 k i c k 8 9 S x 5 h R r r s V p w g u D 0 1 h G 7 x 5 F 2 s z i D l 6 o 9 B j 0 h p B v p j e w z 2 L g 2 j 0 D k _ s G 7 j u q D _ l l v B v v x o F 0 5 6 X y m y h B 0 3 y N u y 5 Y 6 3 l n C r m l Q p z w i B 4 x p N s - w J 8 5 1 G u h 7 y M j 8 - k B j r 3 c x g m 0 C n w v S 5 4 1 x B k z 9 N 6 j o 3 B 7 u i L y m 8 k B u v v b 6 y j i B h g z g D n w 6 Y 8 - t J 0 s q R 8 1 z g B 6 5 v 3 B j 0 1 m B m 7 0 5 o N 5 g i - n C u o v F k x k _ F 5 7 i 0 R m - p l - E 1 o 9 L 1 1 6 6 i F q 4 3 r M w n s k g C w n 3 0 G _ w y 4 Q 1 3 o y I & l t ; / r i n g & g t ; & l t ; / r p o l y g o n s & g t ; & l t ; / r l i s t & g t ; & l t ; b b o x & g t ; M U L T I P O I N T   ( ( - 1 2 2 . 4 0 6 2 3   3 8 . 0 3 1 9 4 ) ,   ( - 1 2 1 . 5 9 2 9 9   3 8 . 5 3 9 2 6 ) ) & l t ; / b b o x & g t ; & l t ; / r e n t r y v a l u e & g t ; & l t ; / r e n t r y & g t ; & l t ; r e n t r y & g t ; & l t ; r e n t r y k e y & g t ; & l t ; l a t & g t ; 3 8 . 4 4 6 0 6 3 9 9 5 3 6 1 3 & l t ; / l a t & g t ; & l t ; l o n & g t ; - 1 2 0 . 6 5 1 7 5 6 2 8 6 6 2 1 & l t ; / l o n & g t ; & l t ; l o d & g t ; 0 & l t ; / l o d & g t ; & l t ; t y p e & g t ; A d m i n D i v i s i o n 2 & l t ; / t y p e & g t ; & l t ; l a n g & g t ; e n - U S & l t ; / l a n g & g t ; & l t ; u r & g t ; U S & l t ; / u r & g t ; & l t ; / r e n t r y k e y & g t ; & l t ; r e n t r y v a l u e & g t ; & l t ; r l i s t & g t ; & l t ; r p o l y g o n s & g t ; & l t ; i d & g t ; 5 0 5 7 8 1 9 0 7 7 1 7 1 4 7 8 5 4 2 & l t ; / i d & g t ; & l t ; r i n g & g t ; 0 5 t s t 8 w _ s O 2 5 8 S w n s S t t 8 o F x i 7 _ I r i P t 9 3 i H i w z s C - y 7 _ I l k 3 - B _ t _ l C w l u W 6 _ 1 f z 2 3 t B n _ 9 N j z x l C u o v o G g 0 m i B 7 w 8 0 F 5 w w 8 E 1 y 3 s H u n 0 9 C o h 4 x B g j 2 6 B h 2 1 M y w q h B x k r 7 C j i 6 6 C 6 9 r 4 D h v y k E 8 q n 2 C o y x o L n 5 - W 0 4 - t F 0 _ n Y r 0 5 H s 4 l m C 1 2 j X u o g f l 3 n s B 3 n 5 u B k _ q t D 6 t 7 M j p y j B 7 0 g p C y _ r i B 2 h j Y u v 2 - D _ 4 j p B i x x Y 7 h w v D m t x - B - 6 m e n o g S l 9 u z C k s x C k m k N i w 8 i B i z j h B l l l p B u g 8 Y y _ 1 j B o 7 2 M 5 o 5 g G v s t I u x w 8 D 1 5 7 d 5 9 x o B 3 p 0 7 C 3 n n l E z 7 o j D 8 x z i B 2 u 3 l B z 5 w b 9 3 o L u u _ l B 8 y 1 l C z o 6 0 E 0 y x Q h i g j B t r - L 8 s i H i l 5 K m 1 x L r v 7 x B n 8 k l D y i z V z k 1 M v - 1 v B r q g r B v v v U x 3 v Y p 6 x J i 8 y 9 B 7 7 9 8 F u q x n D t u z r B x q l X y h 2 5 E x i o 5 C v i g x B r 4 z P y q o x J l k x 1 C j s _ 2 F p 1 p 3 B _ p l n G 9 n j o E m m w 9 E 8 v _ h D 8 s 1 o B v _ q Q s 9 j I v 4 p p F 3 i _ j B z 6 _ o F o r u t C p w 2 w B z 3 h k F 0 v p a u p k v B g i u O z - _ T 5 _ u 0 K 5 9 8 Z q 6 j p B o h s m B w 7 3 l E k 0 2 z B 0 p t x H y k z r E p z h s B l v _ Y q u 8 T p _ x u B s o z w D y y t 6 B - x _ t 0 E 4 w 2 s o D g i r s S v 0 u m C r 4 v p E z - n d q v o 9 B 0 _ m m B g i j x H w t 1 g B i p z O x i _ k D 7 u p h D _ u h e k _ l h B w s 3 w B z s w n B 5 o 7 n B 6 - 1 u H m - h b k _ 4 6 B o _ j n C y h 8 q D 3 j 4 z B 9 x i 9 B 2 v r W i 0 1 b 6 j s H m 1 r R u k 8 i B 0 r m x B o 8 6 J u h j M x 7 o h B k n x q F j s i k C l g v y C n o 0 N t u s Y h 1 - e 9 s _ X h r 4 I x l h 1 C k j n l E i 4 h 0 C h o p R 3 y l 6 F _ i l v M 2 i r m C n h 3 r I r m - r B o i _ K i 5 u S k h s j B u m p 8 G 5 z q 1 C _ 1 o 4 D 6 k i 7 C 1 4 r f k p 9 t B g l _ t M n o h x C y 5 5 g D _ u k i B 4 z u 8 B o v 6 t D 8 2 3 8 R h n x 4 B 4 y q c 6 3 x 8 C v i r k N m o i 8 D 5 y q m D o r x v P o g z y C 1 4 4 i B r h x 7 E y k 0 o B k q u J k q 1 r B 8 h w k B o r 8 r E k 8 y - D t u 3 0 D i 5 v 5 H 2 1 9 X p _ r r B s n 9 s B v j 1 m D 7 v u w B - x y H z 7 q j E h 9 s v D p 7 w x B j g q r B - g i Q s m x t B n q k I o k s I p o v E v 9 i c 5 3 h r C h 7 5 h C 9 v n q C 1 1 6 3 B 9 k 2 h B s 6 r P 5 g x G o 2 z r B 3 7 n F 6 x o R x m r B _ n 5 Y t z q J g w - J p u m K 0 g v l B g i u q B z 0 k V k i j f t 7 j r B 6 m 6 7 B x r h x B r x 7 N 2 6 v 0 B 9 u i S i t p Z i n u 4 B w s n g C 1 - k d 1 r 4 G m 7 7 O g 8 n s B j t i 8 B v n n w C 1 2 4 H s o - V 9 _ 8 G j 0 w m C h 0 y _ B 7 k i H 3 q 3 Y o y o j D 6 j l L u j - I j 0 0 b s i 3 d 1 j v V 6 - n D w w k N k h 2 F h 1 1 j B w 9 u Q 5 n r S 2 l 6 V 1 o 1 u B 4 r j W s 3 8 4 B z t _ R 2 8 3 9 B o o _ 3 B n n - z C z 5 0 a 1 t 5 n C 6 9 7 D _ 6 t g C l j 4 s B _ l 4 q - F 2 v m 8 z E h n m 9 H n l 2 l 4 G n 6 o H 1 4 o 9 B 9 8 i T 1 g 2 p D & l t ; / r i n g & g t ; & l t ; / r p o l y g o n s & g t ; & l t ; / r l i s t & g t ; & l t ; b b o x & g t ; M U L T I P O I N T   ( ( - 1 2 1 . 0 2 7 8 7   3 8 . 2 1 7 4 3 ) ,   ( - 1 2 0 . 0 7 2 3 5   3 8 . 7 0 5 9 7 ) ) & l t ; / b b o x & g t ; & l t ; / r e n t r y v a l u e & g t ; & l t ; / r e n t r y & g t ; & l t ; r e n t r y & g t ; & l t ; r e n t r y k e y & g t ; & l t ; l a t & g t ; 3 5 . 3 8 6 7 7 5 9 7 0 4 5 9 & l t ; / l a t & g t ; & l t ; l o n & g t ; - 1 2 0 . 4 0 4 0 0 6 9 5 8 0 0 8 & l t ; / l o n & g t ; & l t ; l o d & g t ; 0 & l t ; / l o d & g t ; & l t ; t y p e & g t ; A d m i n D i v i s i o n 2 & l t ; / t y p e & g t ; & l t ; l a n g & g t ; e n - U S & l t ; / l a n g & g t ; & l t ; u r & g t ; U S & l t ; / u r & g t ; & l t ; / r e n t r y k e y & g t ; & l t ; r e n t r y v a l u e & g t ; & l t ; r l i s t & g t ; & l t ; r p o l y g o n s & g t ; & l t ; i d & g t ; 5 0 5 9 6 5 8 2 5 1 5 0 7 8 5 9 4 6 8 & l t ; / i d & g t ; & l t ; r i n g & g t ; 7 0 r j k z l y x N o u p J 9 - x q G k 8 v x 2 E o h x 9 x E l 9 q q G 7 h r h E m k l o j B u 0 3 4 S p v z o o D 0 r r z M h 1 w l L 5 u 4 4 q F h z u o M g l z 4 r C k 9 j 0 p M 6 8 m o y E 9 h 4 9 g D g 6 x l q B l 9 i _ g B j u z E z w 2 v 7 H y v 0 q Q h p p j G z 5 _ y E 2 2 y 4 G 4 8 u l E 6 4 2 k G 0 m 2 5 B 2 z w Q i q o l G t m 8 1 D l y 5 m G - g o - m D 9 2 2 t E m 9 8 m _ G o n _ m r S _ _ _ 6 e 8 7 l g t q C 0 7 1 9 r q C 6 u o p 0 q C j _ 2 4 i C t _ 3 v P 9 1 5 E n 8 k 0 F n z 9 5 B i n h O t 0 3 B _ w n L 4 x h M m 3 n t B y q 2 P s r r J 5 o v H k g h K p 4 w 9 F k 7 j X j i z 1 D 3 - r 8 B v n o 2 D 6 7 x L 6 6 n j I r t p j C w _ n Z z o o v I h u g W v h 9 M r q n N 3 g w l B w y u a 8 v u 7 B j y 2 G n v u K u t - n F 8 y 0 L 3 z s d j h v l I y 3 y i D 5 t p j C y 8 5 J g 2 p J s _ 5 v E - i o F l p 4 n B 1 2 q N h t 3 K 0 l j E - 4 3 D 4 7 1 j E 2 s x u H 9 3 3 v I h t h G s z p I _ q o F z w l O l s y k F x 0 x l D m v t 8 F 4 i s m D z 5 s G p z r I s j 1 S p 0 g 3 I m 3 m y B - 5 9 I s u 5 r B - k 3 S r o g k D - 5 0 q B s s u L 8 - 9 p B w z 1 0 L t 9 r 6 B z l o M q h z r C r p k t B 0 k r W l t 3 d _ 9 r E z q 3 d 7 w g F i 3 r G 3 r x M m 7 y 1 B j j o a - 9 y G v 4 t q h B y i r S u n p o B t l u q H l v 1 _ B y 7 r - B i 2 _ q E s z i T - k k T - l r J j 5 g N 0 g 4 H 2 z y 0 G x 5 g b u n r g C z q p 9 e v x h y j B z p s z R k r h b p m _ I 9 5 o u B 7 y 0 x B - 4 y E - k r t I 8 _ p j 5 B 7 j 4 1 R 5 h 0 X 6 9 - c 6 4 4 g D w - s B 3 z u I y q h E _ u 6 C s l 5 L - o v N - i t b 6 t u J n k 0 m G j 1 4 J t t 4 7 F n 1 7 W x 6 q E 7 q x 4 I r o x Q q 5 4 W 9 6 u D 8 r n E z v k P r 3 r B 9 4 p l B 7 2 3 a 3 0 i F s t 2 O o 2 i M _ m u L 1 v z 5 F 8 n 6 s B m p p C o 9 z M h 9 j D i x l m B 9 r z C 4 3 k 5 D x 7 r N 8 y q q B 8 6 s q G t h _ i N r 8 w K 4 4 7 - B s z R t 4 H q x p 8 B - - 1 3 B m 8 j J 6 4 l U u p o q B 0 - 2 t C r 0 u j C 3 s 4 O 9 8 - J y s 2 K 3 u x 0 B 0 i n I 9 4 r H s p z s B - 5 z C n s 7 D _ i 3 3 C 0 4 0 k B x h - 0 L 9 5 0 O n k 2 I _ 0 4 N z 0 z X y 1 - N w l k I q 1 x l B o 6 3 i F 0 4 2 t F 1 q 3 F 9 j 2 F l i 7 k C 4 k 2 w G 6 n i i G 3 w y k a k 9 0 k v B q 6 z 2 P z 4 t 1 V n 9 j j R g 1 9 x B q h k q E t z z q B 2 0 q g D 2 - z n D _ p 5 _ B g z q k J v x n _ B v v t 2 E h i 2 i C 3 v n j H q v t w r B _ 4 r 1 q C 4 2 i j y B h h 0 E - 8 p g E o _ h r C 7 s y _ E - p s z E w u i z K 5 6 y z G 9 z r l P u 8 h m D h _ 1 1 E n x y x B 5 g 1 7 C z x 3 m K t t 2 7 D 4 1 o h C i 6 r n F l r i I i 2 3 i B x s p E u - 7 l C o z 9 8 C w s 1 J 1 l 7 c g j q H t 2 k Y m n 2 w C o 1 7 r F 3 y q V 2 3 3 2 H l g i f 0 5 l m B j n 8 u E 9 o g d n 4 v x C 7 5 z r B i m z - B q v u v C z i m U 7 m h Y p l n m B 3 m 6 N 6 v 0 w D m 8 r U u 0 4 Y t m i G p y i k F v h _ g G q 4 x g B 7 o m S v s o X 1 i 0 s F h _ j H h 4 h a 8 o 1 P 0 s m 5 E x k 7 r B v v 0 Y q 3 6 8 D q o 3 5 B p 2 s h B u - g z B h - t l B 6 6 3 E 6 8 4 s B m 6 r v C r 9 x S 2 8 o E j j k M 3 1 5 N v j h q B 9 8 w b w u 2 W g 0 i E 9 s 2 G k s g Z r 9 o L g j j d _ _ 4 q C x 0 4 j B n 1 p H g i y U 3 x g H r 8 i Q o g q H x n k l B u n 8 K 9 l u Z y g j Y x 5 9 K u 2 7 Z y q z 8 B _ r i X k j v x B x 0 s g B 5 z s E m v k C l 0 - _ B h n j N h 5 g z E k m p Y u i 9 j B 4 x i K 3 1 p 3 B 9 r t W k g - N z 9 p 7 B 6 5 k d r t i t B 0 x s W z l w 7 B h x w m D 3 o g J k u 7 L 9 v k H n 6 h I _ r j L 8 3 n J z t s K 0 j u t B 6 j m Q u _ 4 Q z 2 y v C 6 y m M 2 5 y R q 0 y T t - y e 1 6 y o B 6 4 n i B x n o L j p p O t o i U m h w 2 B q - w m B 5 t 9 G k h h D 9 r w W v o p H 0 9 i v B 8 w u L 3 i i j B h m 8 H 8 i 6 c p 7 v E 1 _ x d 3 r s P x z q O z 5 _ h B s q - J - j h C 5 - m H y y y K r 4 j M o m 7 I 9 o s j B 9 n 5 R 9 1 0 T 2 6 4 m B 9 6 z P n i 0 U _ i j 6 C 4 v y G u l p N j u 7 1 C r 7 t G o m z G 8 8 p E v _ g M 4 i n R l j 4 e s v - I t 1 i y B t s 6 L w s 0 3 B j 0 w i C l 2 p X _ 0 5 E x q 3 C i 0 1 I v s l Y r 4 y E 2 9 q N v m u n C 8 x m D 0 u g J z 2 0 z B i t m Z o k y P v _ v h D z h r P 9 n i K n 8 l J p n x 1 C y t i H x i 6 O 1 1 v P h 0 7 m B o w 8 W t w _ T s q k c p j w V h 5 x t B 1 _ h 6 B 0 3 4 t C 9 m m p B v 0 3 H q z _ z C _ y l V t 0 m r B _ g m s B 7 o 2 S 9 u k x J r v q 8 G 8 _ r C 6 5 x 7 D 4 g l b i l r O n 4 n 3 B _ g 2 x C 3 5 v u C 1 s z q G m 4 n J 0 j k h C 5 l 4 - M s 2 s x F _ 6 - l B w u - z B q 6 s v D 3 n j q C _ z s o g B & l t ; / r i n g & g t ; & l t ; / r p o l y g o n s & g t ; & l t ; / r l i s t & g t ; & l t ; b b o x & g t ; M U L T I P O I N T   ( ( - 1 2 1 . 3 4 7 8 5   3 4 . 8 9 7 4 7 ) ,   ( - 1 1 9 . 4 7 2 4 1   3 5 . 7 9 5 1 9 ) ) & l t ; / b b o x & g t ; & l t ; / r e n t r y v a l u e & g t ; & l t ; / r e n t r y & g t ; & l t ; r e n t r y & g t ; & l t ; r e n t r y k e y & g t ; & l t ; l a t & g t ; 4 0 . 7 6 3 7 2 5 2 8 0 7 6 1 7 & l t ; / l a t & g t ; & l t ; l o n & g t ; - 1 2 2 . 0 4 0 5 6 5 4 9 0 7 2 3 & l t ; / l o n & g t ; & l t ; l o d & g t ; 0 & l t ; / l o d & g t ; & l t ; t y p e & g t ; A d m i n D i v i s i o n 2 & l t ; / t y p e & g t ; & l t ; l a n g & g t ; e n - U S & l t ; / l a n g & g t ; & l t ; u r & g t ; U S & l t ; / u r & g t ; & l t ; / r e n t r y k e y & g t ; & l t ; r e n t r y v a l u e & g t ; & l t ; r l i s t & g t ; & l t ; r p o l y g o n s & g t ; & l t ; i d & g t ; 5 0 5 4 4 7 6 8 7 1 7 6 5 3 2 7 8 8 8 & l t ; / i d & g t ; & l t ; r i n g & g t ; y 8 i k q 5 l q l P n i v g B i 4 o x B - j o W t - q r F v 8 g K 3 k y u B 3 3 o 3 C n w r U 3 u 5 u D v v _ C s 0 u 1 Q r 8 4 o C 7 o 6 i H i s u G n s y E v s i J _ p 6 F 4 5 i K g m h I - g s a w n l E 3 y o T u 8 6 C h 5 r Y i j 1 F u p i X y 1 h P v i g d w i r D _ 7 g E k w m i B t 5 - P h n v Q 3 y g H 8 8 k f q r 5 n C h n g - G 4 q n H t 9 w I i 0 g i B 3 n n m B z _ g M 5 _ q U n v 8 Q p i s d j z l I 7 4 y z F - h i a 2 p _ H - w m V 7 y 4 6 F w _ - t C x m 6 7 G z 3 4 p C 3 4 q V s _ 0 P y v i t E 3 q h v B m l i M l 5 y n B m h 6 a 6 x z 9 E 7 y h P j o k 0 B 1 _ r n I l q r n K o n 5 3 D 7 k g j C 0 m p 2 B p u q N i 7 v n B o t 7 2 F g g i g C 5 1 6 t C j 7 g h B l z v t D 0 s h 9 B 9 r n R r n 0 5 C m z j h E g g 2 l C r 1 i 4 C g l _ r B 4 j i N r 2 w z D 1 t _ U - g v q I 8 o w M t x o F p v q i B 8 q i E s w o j B 4 q 1 G 0 t v 8 C n 2 n W 4 l 7 h F 3 o u P y y h H w 8 o M 2 z 0 k G l 6 l i C l z o j B 7 2 z Z 5 j _ 3 B t 2 x x C - q k u C 7 h g R k u s Z u m 1 L m y 1 e r 5 9 p D 8 1 n X o m 6 s B 4 1 h 5 D 9 i 4 w G 9 x m 3 E v 1 u j C z 1 9 s B x _ j r C j g h v B u u 6 4 B 7 h 7 g B p z p k C 0 1 8 K g 6 m I k u v d z _ v k B y 3 7 L 1 n u E _ q x 4 B g w n q C t u x h B 1 u s d 7 v 2 i C i x i g B u h v j B n 9 s q B s q - d 5 6 h V t 0 r 6 B q 9 s 8 C q j h I v 2 n o B 3 2 4 9 C g h t q D 3 9 l Y i g t l B q 4 h h C 9 _ i 3 B p n 3 j C 9 u n 9 C s - 1 p C 5 8 y H h 8 t B z 1 g 1 H 9 z n c 8 _ 7 - B 8 p 9 Y o v l 6 B _ m 2 y C l 7 y k B s w 0 C n g k H 8 u 1 F 2 o j O m i w r F _ o s r D 2 o 4 m M _ l 4 c 4 9 9 L u s 7 h B k s 8 o B j 2 g p B _ _ j D o 0 t 6 B 2 v o z B x 8 o W p 4 v E y 3 j j B i v _ B m h 5 M w 5 v X w x 1 h B p 5 j r C 1 y q 7 E v s 6 z B 6 t o 2 C k s w r B 4 _ _ c w k q J l r h y C 5 5 3 _ B r n g N 0 k g W q 7 h T l 4 7 l C w x h R n o 0 F m x F 6 9 U p j K g 4 g F k o z M j 0 t i D i 9 w P q k q e 4 o u 7 B m m l 8 B m o t D u q 4 s D q i 2 n B 4 n n 5 B x 0 8 4 B m r 1 2 B - - o m B 8 - z b q k t M 5 8 v s C 1 - 5 H r q q k B p r m 3 D _ s k f i p s r D 8 k q m B _ q x i B o 2 h i B 3 t 3 K y j x X y g 4 L u 0 1 1 L z _ m j C u n 6 j D 6 r l a 9 l i J k 4 j 7 F h 7 m M q l r 4 B s k y 3 T 1 t s p O x j k M h i 7 v B o z w p D 6 w p 5 F i m w t C y g 4 S s z 9 K 0 _ n 0 C 2 2 k Y 2 8 g G m j n 9 E l m m e 8 4 2 4 D p r n q B 1 0 v 0 B 0 - n S i 7 2 r E m y r m B x 4 x N v q 6 z B 7 h 7 t D 1 p s u E g v 8 1 9 Q 0 6 6 t O 3 h 2 4 Q k y k k D y g 7 - B 9 5 s z 0 B 8 3 r I - z 6 g z E 8 u m y s X 7 l n q B 6 k 7 k 9 B 5 n 8 p q C p y r 6 C 2 j 3 q 0 E _ 1 8 3 1 L o i 9 j y B 8 i k 9 j 5 B z h 3 t 4 p C h - 4 w 7 K m 9 3 9 K m y h y g X 1 t y 6 v O - q 1 F _ 7 7 r C 8 q k s B 5 2 w z C 5 j q 4 D n - z Q j 0 6 l B v s 0 8 F u 9 g G 5 y 6 - B i m n N 8 3 j u D 4 1 p M p n g E 1 4 0 I 7 3 t k D x s u 2 B - 6 s c s 5 8 0 F q m 7 W u 7 6 K s 6 r J u 3 5 z D 4 v v F s 3 y 3 G t 6 0 t B 7 h p e 4 x h k C t o g 5 P z _ _ Z 9 u t k B z x 4 - B k l 3 v B 4 z i X o z m 8 C m 5 - 6 D j n g J 9 s s i B h j o 3 J 2 t m b 3 v - k B r l x m B 3 5 0 m D 5 _ y 3 B 5 z y D i j j 2 B 8 n 1 w C v s 3 r B 1 - 4 6 D 2 s h k C i 1 2 - B l v 4 N 5 v 4 0 C v h k y B x 2 6 Z p 3 p T w v o F _ 8 8 4 G 0 g s T 4 2 m - D _ 8 m v B t j 9 d 9 - y H 3 g o v E 2 t m m B m 8 u i B 8 q 4 M g q r o D r 8 q - D x t k W u z g 7 D x 9 v 2 C - 6 r g D v 1 2 l C r 0 v i H 4 y 8 s B s 9 n _ F l o g n Q 1 3 2 n B y k j P 6 i h c k y s h C x 0 h 4 D j 9 i k D y v p 3 a m 1 4 u B 4 n k I - u k - C y n w s D w z _ g C y m 9 g P 7 s 6 _ B m q - 3 B l 3 7 7 B x i 8 V n r 7 U 5 - i J 3 h j z E h 9 3 V u 3 7 G _ y p 3 B 8 9 8 4 D 8 6 i Z 3 2 5 8 D t 5 k 8 D w v h n C s v _ S 7 p j o D p t n n D y s u g C 6 s l V 5 1 j i F g y 8 0 B s 4 3 q E t 9 j U l u q i B k q u j C k w 6 s B x 0 0 l C z 9 x 0 B g r 1 S l 6 6 t B y j 7 c w o p 3 B h z 6 O 3 v 1 O j u o m C 1 m 4 5 D 0 _ v _ E 2 o 0 j D h g s m G h 9 n z B 5 1 i F 1 3 t r Q y u 3 P z y w i B 1 q 3 Y j - o P _ w n m B 7 2 o 1 B u 2 h r E 6 t 6 n E k s k v E m q y p G 8 9 9 g C 4 o 7 n C _ r _ J k m 1 4 B y 8 x 2 B t h r l J g 9 t h D g s w O 5 _ x g B u r k L p 3 j n B x 8 1 K v q o U n s r 8 E l t r h C o 1 v - B j l h s G x i - J t 9 5 7 C i - v W 8 s x H _ n q y M n 3 w F 5 6 n i B x y t 6 K i r s o D w _ 9 3 B k p k u G u g 0 T m g 9 Z r l u W j - v M l _ j 3 B x n 4 P z 9 t b p g g l B r s 6 L _ p j 2 B p - p 6 C u h 3 d p 4 p R 7 w s 3 C l 5 _ e i g 2 F w g 9 U i q o a 0 h z j D g p y Q x z 1 Q p i o 5 B 1 i n _ E w g 7 K 7 n 9 5 B 7 n n S v z 1 E p k 7 L r z s P r z 0 o B y y x F 9 4 t m C w u j h C & l t ; / r i n g & g t ; & l t ; / r p o l y g o n s & g t ; & l t ; / r l i s t & g t ; & l t ; b b o x & g t ; M U L T I P O I N T   ( ( - 1 2 3 . 0 6 8 9 2   4 0 . 2 8 5 3 8 ) ,   ( - 1 2 1 . 3 1 9 5 8   4 1 . 1 8 4 9 7 ) ) & l t ; / b b o x & g t ; & l t ; / r e n t r y v a l u e & g t ; & l t ; / r e n t r y & g t ; & l t ; r e n t r y & g t ; & l t ; r e n t r y k e y & g t ; & l t ; l a t & g t ; 3 9 . 1 7 7 5 9 7 0 4 5 8 9 8 4 & l t ; / l a t & g t ; & l t ; l o n & g t ; - 1 2 2 . 2 3 7 0 9 8 6 9 3 8 4 8 & l t ; / l o n & g t ; & l t ; l o d & g t ; 0 & l t ; / l o d & g t ; & l t ; t y p e & g t ; A d m i n D i v i s i o n 2 & l t ; / t y p e & g t ; & l t ; l a n g & g t ; e n - U S & l t ; / l a n g & g t ; & l t ; u r & g t ; U S & l t ; / u r & g t ; & l t ; / r e n t r y k e y & g t ; & l t ; r e n t r y v a l u e & g t ; & l t ; r l i s t & g t ; & l t ; r p o l y g o n s & g t ; & l t ; i d & g t ; 5 0 5 7 7 0 1 8 4 1 7 9 4 4 9 8 5 7 6 & l t ; / i d & g t ; & l t ; r i n g & g t ; 4 j 9 v l 2 t h 5 O m y o m k F u 4 k k z H 9 p 2 y t M j l 6 m 0 O t 5 k B 4 j w Q w 1 s 9 G g 8 4 3 B u 7 p f h i 9 0 B g v _ l D n 9 q x B v n j Q p 9 r t F 8 p r _ B _ h 9 S z 7 q 6 F p n n 3 C r q 6 J m q 2 l B n p k _ B k k _ 3 D t w 0 9 B 9 7 k J 1 r u h C i t p L k 1 u p B y - i J i 4 _ K z 2 m W 5 s t s C p o l j B l o 2 e q 0 h t D y t 5 2 G x u o w L 1 9 8 8 B i _ 4 8 D 0 m p g D y p m X t 1 n w B u _ 7 8 B p _ o t F y 9 3 5 B 4 l x 3 B u r p v B n - 9 k C q m y w B v - p 9 D p t 3 u B l 2 q b 4 h g L 3 q i 1 H l r m g C 9 m p k B j r g 9 I - 9 u 8 E 2 q u 2 E j _ q m C r q v 3 B q s 3 c 6 3 8 2 B n p _ C l 2 5 L 7 3 u w B r s 5 G s w 6 h D 0 h 7 L p s u V m h 9 o B q - n l H x m - r C 3 m 6 l C - 6 t 1 B t 3 8 4 B - 5 k x B t h 9 R _ q s k D k _ j y B z g k K 6 n - G 9 o m F - p n I n t 9 N r v v s C w n r w D - 6 6 J n j h D 4 4 4 1 B s h 2 K - 9 7 H 1 1 v 1 H 0 9 k Z y x r 8 C 1 0 s O z h l S x 8 9 D p y z Q v x q I h - i D n u k 5 B v n p S q 1 j C x _ 3 _ D 2 i m 4 n G p 1 n 4 G w x 8 Y 8 w s v C 1 z u P 5 w k t H 2 0 r p 4 J 3 y 9 p Q 3 x 0 p _ Z n r l t 2 E 5 8 o y u N y 3 o 1 q F 3 w i k K 1 0 9 t 6 E 9 3 x 5 G x z j D m t 2 C _ p b y i j F j n 8 B 4 9 p T _ 3 w P v j h p B y s h l B z w 7 v C _ x m 8 B 5 h 5 n C 6 u y 8 C 2 1 t v F m h t z B m v _ 2 C 9 w 7 V y s l y D _ v - d i i t 9 C 6 p w p E p 6 y s C 9 _ k 2 L v v t e v 0 3 P - 9 y P 7 q s p D t x r C 5 x x t B j q 2 J t 0 n U l u 5 F s z p r M x w k i B u i g m B q i r n B q 8 j N 8 t v l C v 1 q f y 0 8 E z - v k B 3 p t m E k p i 8 G i 3 6 7 D 9 o _ r C o l o 7 C - y h n B i j o q C l _ 2 j T 9 8 1 T s 6 5 5 C v y w U u t _ k G l z 0 r C l x 7 t C r 7 0 E x g _ f v 7 0 G u 9 9 a 7 g 1 m B y 2 s v B y h m U 6 s q n C - 7 6 q B 6 8 k F p g z S s 5 _ H n _ 7 P _ y r c w j y P p h l J 4 x 0 h D h z 7 W y g 8 a 2 1 9 t B v 3 g 4 B o i s G y s x G h _ n N n h j 3 B - s p P t s _ L h s g J j r i P 1 h z 3 B 2 p 6 T x x 5 h B 7 6 l D s s g p B r r 4 S 5 o 1 O m 0 g w C z 4 9 m B 7 4 w 3 F y w n y B u x 1 a k h 9 3 E s g 3 Z 7 z u f s - 5 z B r 7 x T z v 6 M 6 9 5 T s 3 2 O m r v n B x z s r H g r q C 5 4 p a 9 o 0 D z z i 3 B 2 l q h B v q - K h y g 3 N k 0 w H 6 4 0 l P 5 v t F h 8 i K 6 5 w M v 5 w L x l x R 8 m n W j 4 8 Q _ h n D k - w K y 9 l H n 5 s N 7 _ 1 K t w o Q g _ 6 s B y - x _ F i j 3 P z x y O s z h o E p q z j B 5 u 8 p a s 3 l W 7 8 5 9 O u 9 u d g o 8 E j u 4 Q & l t ; / r i n g & g t ; & l t ; / r p o l y g o n s & g t ; & l t ; / r l i s t & g t ; & l t ; b b o x & g t ; M U L T I P O I N T   ( ( - 1 2 2 . 7 8 5 1 1   3 8 . 9 2 3 8 ) ,   ( - 1 2 1 . 7 9 5 0 8   3 9 . 4 1 4 6 1 ) ) & l t ; / b b o x & g t ; & l t ; / r e n t r y v a l u e & g t ; & l t ; / r e n t r y & g t ; & l t ; r e n t r y & g t ; & l t ; r e n t r y k e y & g t ; & l t ; l a t & g t ; 3 8 . 5 0 6 4 6 5 9 1 1 8 6 5 2 & l t ; / l a t & g t ; & l t ; l o n & g t ; - 1 2 2 . 3 3 0 6 1 2 1 8 2 6 1 7 & l t ; / l o n & g t ; & l t ; l o d & g t ; 0 & l t ; / l o d & g t ; & l t ; t y p e & g t ; A d m i n D i v i s i o n 2 & l t ; / t y p e & g t ; & l t ; l a n g & g t ; e n - U S & l t ; / l a n g & g t ; & l t ; u r & g t ; U S & l t ; / u r & g t ; & l t ; / r e n t r y k e y & g t ; & l t ; r e n t r y v a l u e & g t ; & l t ; r l i s t & g t ; & l t ; r p o l y g o n s & g t ; & l t ; i d & g t ; 5 0 5 7 7 7 3 2 4 1 6 9 9 9 2 6 0 3 0 & l t ; / i d & g t ; & l t ; r i n g & g t ; q 0 4 - t 1 u 2 z O k 0 1 m B i x z 3 B 9 1 z g B 1 s q R 9 - t J o w 6 Y i g z g D q w m i B v v v b 6 n - k B 8 u i L t _ q o D - m v k C j 1 x S t z q 0 C k r 3 c v 9 i l B v h 7 y M 9 5 1 G t - w J 5 x p N q z w i B 3 m n Q 5 3 l n C m i 8 Y z 3 y N q j 1 h B 1 5 6 X w v x o F - l l v B - o z q D j _ s G w i p 0 D v z 2 L r h m e k 0 h p B m 6 o 9 B 3 s z i D 8 x 5 F 1 1 h G l 4 l u D s r s V 1 7 j R l 8 9 S 6 k i c g - 7 k 9 L s 5 n V i w j I t 8 8 L r 1 4 M 0 z 3 T y o g 3 I 1 n q c h w z I 7 u k 4 B q y z S x z u V 3 t t x T r m 8 n R r v x 2 K r q s C t 6 1 H 1 8 4 v F z u w r D u q _ 5 Z q v y h d w 0 2 i B p x g p D o u _ z B 4 0 p 9 I p 4 p S z 8 l a t s v P 9 8 u 9 P p g p g Q z m l L v l 0 s B g l v i E t q l g E n n r D y q t O j n y j F r z u G w t 3 t J _ _ h O 9 v y y C r w n p C 3 s 5 I 0 p 6 7 B _ u y B m 6 p T x p 0 1 F y 0 k w C 4 n m v B _ k 8 m O m 5 l I o i u z B h 7 w 7 B h o k z C n w r 1 B 7 s i M 3 h y I h o m y B 7 w y m B w u p U z 4 t 6 I u 5 y J _ j k f u 4 0 n B g 6 y 0 D 4 z t z B 4 v 0 r I t 1 y 0 T o q r t B - 8 q I 4 y 8 w D w x j q I u 4 3 2 C n g 5 2 D 1 z k 2 G q - l 4 D i 5 7 J j i j h E m t s z E 6 m _ h C w y - Y u k 1 r C z s i i C w p g 4 T 3 2 x f o 2 3 _ C v o q n C g 1 - y C i - z z F z 5 7 D 8 j u v E o w j 2 D x l 0 8 C m 8 h y D k 3 r U _ 4 k o B p 1 p u C u k l J 9 s p U 4 w j m C g o z 6 B _ 9 i t B m v j R 4 4 1 7 C 0 x m n B z v u X n y 3 x B 9 v q 0 B m 0 n l F m u p s u H j w i i i T l 9 0 p J n v o v B - s g h D l k s k M n 5 o g C z 3 i J - 6 6 T i l z q B q g u J v m r j C 6 m 7 J g x l u D j o r G g n z 6 K 6 y x H 2 q q z B - 4 i g C v z _ W x o 8 Q 3 j o N 5 z y U p z 5 j B r 1 v 3 C g p q U 6 8 y 9 E h 6 5 M q m j K u 3 t x C _ i z R 3 9 x z C 3 g - F 9 6 h S 2 v 0 E 7 o _ o D n 4 j f m t t y B 5 6 8 K o n x X 2 7 k x B s 9 1 e x 1 k I 2 p g O z m 8 r B 8 t r V 8 g o P g r h F r _ 6 I w 6 6 o I y 1 r 4 B 9 9 q k C x _ s j E 0 5 l - E 0 y j Z x r u I i w i G j 3 s o D m r p a - i t G o 0 i 6 E 0 8 4 7 G u 7 5 r E _ v - F q u r u B j j h 9 a p s t D k - 9 n B q i u E i 7 j O j 3 r S 9 p 8 l C v w 1 5 D j p x R 1 n k 6 B 2 h l O n 4 z N 8 s h m B p i 4 I 0 v - 7 F l r 4 w B j v s 5 J o m g G 9 s - - C g i 5 D j l 5 I t - 8 C t p h o B t u p P p j u x B q i y Z 5 u M k o N 2 2 g J k u l F i 9 _ r M 4 y u i B 4 w x a _ 6 n p D j q 3 V h 6 y T s 7 q 4 C r 1 7 S 4 t 4 n C w i _ v E t s s t C _ p 7 - F n k 1 I t j 8 M k 3 z B k 1 u I t n x t M _ 6 - p G n i m K 6 j z w F 4 0 _ t B u 4 j q C u 1 0 T 8 7 v l C o u 7 r B j _ w z B 9 8 o V n w m l B z v 1 t C p 5 2 p B j u 2 U m j 4 4 C 0 i 6 _ I 6 4 y f v q o Q 7 2 8 _ q C l 7 0 5 o N & l t ; / r i n g & g t ; & l t ; / r p o l y g o n s & g t ; & l t ; / r l i s t & g t ; & l t ; b b o x & g t ; M U L T I P O I N T   ( ( - 1 2 2 . 6 4 6 7 8   3 8 . 1 5 4 9 3 ) ,   ( - 1 2 2 . 0 6 1 3 9   3 8 . 8 6 4 5 9 ) ) & l t ; / b b o x & g t ; & l t ; / r e n t r y v a l u e & g t ; & l t ; / r e n t r y & g t ; & l t ; r e n t r y & g t ; & l t ; r e n t r y k e y & g t ; & l t ; l a t & g t ; 3 3 . 0 3 9 6 8 4 2 9 5 6 5 4 3 & l t ; / l a t & g t ; & l t ; l o n & g t ; - 1 1 5 . 3 6 5 3 0 3 0 3 9 5 5 1 & l t ; / l o n & g t ; & l t ; l o d & g t ; 0 & l t ; / l o d & g t ; & l t ; t y p e & g t ; A d m i n D i v i s i o n 2 & l t ; / t y p e & g t ; & l t ; l a n g & g t ; e n - U S & l t ; / l a n g & g t ; & l t ; u r & g t ; U S & l t ; / u r & g t ; & l t ; / r e n t r y k e y & g t ; & l t ; r e n t r y v a l u e & g t ; & l t ; r l i s t & g t ; & l t ; r p o l y g o n s & g t ; & l t ; i d & g t ; 5 0 7 3 5 4 5 2 2 0 3 5 2 6 3 8 9 9 0 & l t ; / i d & g t ; & l t ; r i n g & g t ; 4 o g r 0 2 _ q y M o i j n 2 F q i n 6 q 1 C _ 6 9 s 8 0 C g 9 m q m p B m - w i 0 H t j h k r n B 8 l 9 _ F 4 _ x 4 O g z 1 n E k 4 k 7 G 0 u j s j B v x m o E 3 z u u C t _ s a v v r W y s t u K 1 g y L 5 5 1 g B v - n 1 F 3 - o g B - w 4 v M z h k i B m m y _ C 1 p 8 Z l w 5 0 F 6 y l u E 2 i k h E 8 n t s O z g x g S 9 0 y 9 m B h k x 2 i D x l 5 j Q i 6 n y D 9 t 4 - U 8 9 0 9 C 0 p u z B z q _ O u 3 v j J n o - L o w w 2 I i 2 q 9 I k l _ q C g 9 3 7 C x h i t G i 1 _ g I o 8 x s e l m j Y n q r 2 F 0 o q v J v 6 2 o J i r g 9 R o h _ Z 0 - g O p x g x G 7 y - k B l 0 2 5 E y u q k D 4 o 1 s C y t s 4 O t - 0 4 C 2 5 s R y s 4 q E 7 4 l r B w j 3 1 J 5 7 o _ K 6 x g - I 4 - g p P 1 l v g D w 9 0 g G n s k 1 E _ i 8 W m x t y J h w - 0 e n h 2 8 L i i 7 L w y 9 M g v v r C 2 h t 0 C - 7 v 2 B 1 i 1 u S s 7 1 0 C r m 3 o L 1 z i _ G 4 v w r L 9 k 1 2 L q m x 7 D 4 5 1 x B h 2 l j K w 9 o n B o l m r R 0 h 8 D 0 r 9 d u l 5 a v 9 o 2 I z w s - K z _ k o C 1 7 z j J 1 3 2 0 B 5 4 k 6 K t g 7 3 F 8 0 8 5 4 Y 8 y - H g 4 8 l m K _ l _ 3 - p C m 2 - o n q C r 3 7 v h q C 2 0 g 9 8 C l z 8 z O o 5 z 1 m Y u 1 v 0 v J - z q s J o t y 9 O v t 2 8 k B w - o h v Y w 7 x _ p D - 6 m E p n s v S 6 6 8 t y D & l t ; / r i n g & g t ; & l t ; / r p o l y g o n s & g t ; & l t ; / r l i s t & g t ; & l t ; b b o x & g t ; M U L T I P O I N T   ( ( - 1 1 6 . 1 0 6 2 4   3 2 . 6 1 8 3 8 ) ,   ( - 1 1 4 . 4 6 2 8 2   3 3 . 4 3 3 7 2 ) ) & l t ; / b b o x & g t ; & l t ; / r e n t r y v a l u e & g t ; & l t ; / r e n t r y & g t ; & l t ; r e n t r y & g t ; & l t ; r e n t r y k e y & g t ; & l t ; l a t & g t ; 3 7 . 0 5 6 1 2 5 6 4 0 8 6 9 1 & l t ; / l a t & g t ; & l t ; l o n & g t ; - 1 2 2 . 0 0 1 0 4 5 2 2 7 0 5 1 & l t ; / l o n & g t ; & l t ; l o d & g t ; 0 & l t ; / l o d & g t ; & l t ; t y p e & g t ; A d m i n D i v i s i o n 2 & l t ; / t y p e & g t ; & l t ; l a n g & g t ; e n - U S & l t ; / l a n g & g t ; & l t ; u r & g t ; U S & l t ; / u r & g t ; & l t ; / r e n t r y k e y & g t ; & l t ; r e n t r y v a l u e & g t ; & l t ; r l i s t & g t ; & l t ; r p o l y g o n s & g t ; & l t ; i d & g t ; 5 0 5 8 0 6 3 8 5 6 6 3 5 4 7 8 0 3 0 & l t ; / i d & g t ; & l t ; r i n g & g t ; 7 3 p l p - x 8 p O 6 h z 6 F i u o v D - 4 j y J _ v 0 _ D 4 j r 1 B s o 1 l C - h 7 c q 1 m i J 8 w u 2 G h q 6 p C 8 l s 0 B s u t L w 4 w E q w i - D 9 p w 0 B v y 3 r F 0 3 x L u 0 o O 0 _ v w B u 3 h i B u 4 w r B t 7 k j E s - 7 g C t w r v Q h t g S _ 0 m y B p 1 t t B p _ l J 8 k m X p g 9 i B s l 6 E u g g U 5 4 6 0 O y p k r D q 4 6 q G x 5 p l B l 4 h m C 8 x k n B s 3 y F n g r J q u u 8 C - _ - Q 8 k t x B m n 5 e 1 - r u F j m z w T l q q E 0 u 1 r B 8 - l s D - 0 q E i w z R h - q O n 1 m p F 3 0 z v B 7 i 6 0 C t 8 z n B 4 p q Z 5 w t R j l x 6 D 6 6 u s C i j 6 h D - 9 - 1 E l 1 4 t C v 3 g H x 3 y R i i n J 1 z 1 P m u k N 3 h 0 u F v h l g D x v _ X t k l e o t l - B z m l H m 1 n 1 D 0 q s 3 C - l k E 9 5 z R 5 5 1 o L k z 1 o U s 8 8 I g 7 h a t y i N s 6 7 E g m 5 E t 3 t v C 5 2 u F n k m f v r z 4 B 4 g y 7 B - 3 s J - p u k C m 8 v l B n s 8 g C 1 h - i B 9 j q Y 3 s n i B l p p E v z q q B x - o z O 9 l t U 4 4 h j B o 3 t L _ - v 3 C t 1 3 7 H n t 2 R w p v G 9 h - B g k k l B 6 9 6 i H g g k x P r x 3 L 2 i l j E 8 o t r F l - 0 h D s 9 h 9 F 3 i v p B 1 1 l U y h z D o i 5 C y 7 2 F n q h P g t s V 3 4 u u I 1 j y 1 B r 9 k h G 6 9 - c j j v G _ g p J j q z Q o 6 k _ C k v x V 4 0 _ d u 2 o g D l x t j C h _ 4 F 6 m w 3 F o 9 0 H 5 2 0 L 6 r g c w x o F p m l h B r 2 v g E 5 h 5 H s j j i D 2 h q 8 B g _ y k E w 3 t T k 8 6 m D i n 8 s M v n 5 J k 3 i J g 4 - w B y p w P x v x Z p k q e q j q L i 8 3 - B n m 4 Z 1 w 1 3 B 0 q q 0 I t r 1 3 a i 1 5 7 E q w 6 s 6 E z k z i M y 3 1 _ N - 9 8 9 I i n y p Q j j - 9 m B m l v z 8 B o p m g C _ 5 s z C q u n g M l q g _ B h x m k B 5 9 x D 6 0 h G - w h p B o s _ I n l w L x p w D 8 y _ 7 B 6 8 i z B g o n 3 V o n v 8 J i i v W - 8 w r E m s - b j m n p B i k l h G k 2 5 P 9 o 1 F - 9 0 K - w 1 H p y 0 q B v v j U 5 1 t C x y 4 e 9 - - E q 6 y i B k g j 2 D q 4 0 c n q 8 e y h m s B w 2 n m E 3 y r Q s 9 w S 5 l j T w 7 p c 4 z 4 P u 5 9 w E g 0 t v I n n p D m z p N 2 r 1 H 9 g o K n - o F n p 0 5 C o v s t B m 6 g w D n u q 2 B z n 6 r F 6 o 1 x D r t 5 B l h 8 l C 8 r r l C 7 g u D t 4 t i C p s x s C 4 2 m J _ t 0 i C 4 r 1 f g 7 9 t E s 1 p L o 9 6 4 E k j 0 g G 4 3 m G 4 i r D 5 s q K 5 6 t h D 7 o g j B 1 m k 9 D y 9 4 _ E o h g G o m r G u 5 9 p G _ n 0 q U w x 0 5 R k n p r a x z 5 l 1 G & l t ; / r i n g & g t ; & l t ; / r p o l y g o n s & g t ; & l t ; / r l i s t & g t ; & l t ; b b o x & g t ; M U L T I P O I N T   ( ( - 1 2 2 . 5 1 0 8 5   3 6 . 7 8 5 0 9 4 3 ) ,   ( - 1 2 1 . 3 8 7 1 3   3 7 . 3 3 9 3 0 2 8 ) ) & l t ; / b b o x & g t ; & l t ; / r e n t r y v a l u e & g t ; & l t ; / r e n t r y & g t ; & l t ; r e n t r y & g t ; & l t ; r e n t r y k e y & g t ; & l t ; l a t & g t ; 3 4 . 4 7 1 5 8 8 1 3 4 7 6 5 6 & l t ; / l a t & g t ; & l t ; l o n & g t ; - 1 1 9 . 0 7 8 3 2 3 3 6 4 2 5 8 & l t ; / l o n & g t ; & l t ; l o d & g t ; 0 & l t ; / l o d & g t ; & l t ; t y p e & g t ; A d m i n D i v i s i o n 2 & l t ; / t y p e & g t ; & l t ; l a n g & g t ; e n - U S & l t ; / l a n g & g t ; & l t ; u r & g t ; U S & l t ; / u r & g t ; & l t ; / r e n t r y k e y & g t ; & l t ; r e n t r y v a l u e & g t ; & l t ; r l i s t & g t ; & l t ; r p o l y g o n s & g t ; & l t ; i d & g t ; 5 0 5 9 7 4 3 2 2 3 4 0 9 2 7 9 0 0 4 & l t ; / i d & g t ; & l t ; r i n g & g t ; v r z t 5 g j 4 p N 3 q u Q 9 1 w C 3 y z 5 C 1 y 4 H j 5 1 g B 3 n r L i g r r B 0 6 1 r 9 C l t p z w H - u l s E 5 3 y N p r 4 F l 4 i n h B i q 2 u 2 I _ r 2 x O 0 7 j n n B s t k x X q x 2 3 I z u p i a r 9 7 n 4 O n o j i k E j l s i o K 4 v y x j a q j v 9 2 P - i u 4 t F y k u 4 D z 0 1 i B p 3 p w 5 Y p p m r x C y m z 3 k B s k g 1 X m y t y K 1 z h m 1 G 2 h q w I 1 z y s o C m r v O 0 k g u 0 D q 7 i W k 8 m q D o _ 8 2 C v t l M y _ k Y y l 3 0 g B l r x n r I 2 l 4 r 1 S o 6 5 N 4 k 3 k C n h k p F z l 1 e 1 3 - G n w x U g 4 6 E 6 m u H l n 8 i H h o m l B s _ v R j z z M l 1 o m D k o 1 _ C 4 n y C q 4 n f 0 r 7 K r n 4 N v 6 8 g B 8 i p o B g t v q D s j y v Y x v r e v 0 7 x B 1 j l x J p _ k m N i o u u M 9 g x 2 F i n 0 9 B 7 7 4 n e n 3 0 u G 8 u 6 - K o i y x G m q 3 o B 4 t 1 s D q n 5 5 C g 0 m w K 5 t 8 v C g k 9 3 M 5 h j v g B 6 j o w y C 0 7 g E 2 p 7 K x 4 t E i 8 r r B l 2 p s D l l r U m 5 q L j y l r C 1 v - 5 R t g r r 1 D r r m - R p 5 h r E 1 s r t C m s s 1 c p i 8 8 N u m w 9 l B p z i t C m - 8 t I 4 n 4 N g t t 3 Y s u y i D & l t ; / r i n g & g t ; & l t ; / r p o l y g o n s & g t ; & l t ; r p o l y g o n s & g t ; & l t ; i d & g t ; 5 0 5 9 7 4 3 2 2 3 4 0 9 2 7 9 0 0 5 & l t ; / i d & g t ; & l t ; r i n g & g t ; g v n i 0 s j g s N u v 2 p I m i 6 H _ l k x D m x o w B q _ q D _ y x 7 B u s 6 t H z p 2 v D _ 1 x M o j - n B h x w i C 3 v 4 M - t k N k q - l B y 2 6 O 7 s l z C y - u n L & l t ; / r i n g & g t ; & l t ; / r p o l y g o n s & g t ; & l t ; r p o l y g o n s & g t ; & l t ; i d & g t ; 5 0 5 9 7 5 2 8 4 4 1 3 6 0 2 2 0 2 8 & l t ; / i d & g t ; & l t ; r i n g & g t ; n 9 x l 9 i 0 h o N w h 7 - E w i q r B s r 2 5 C o t i x C j 2 z U q 6 o r B 6 0 v i y B 1 6 3 x B k 8 2 u F t m l E 4 1 q i D 8 m 8 l D g 4 - S 6 i t 6 L m r 6 N g z q N 1 h u L p q i 1 B 2 w k 6 C n 5 t l C 3 w 9 x B 5 q o j M 0 m 4 n G j z m S 1 0 t G o x l n F l r k e v n q i B k t g C j x w h J 9 1 s H r 9 m 9 C z 2 m M n - q - C x 9 r 6 D k o 2 w D m n 1 S t 0 4 w D y 5 1 6 C w 8 j p B & l t ; / r i n g & g t ; & l t ; / r p o l y g o n s & g t ; & l t ; r p o l y g o n s & g t ; & l t ; i d & g t ; 5 0 7 1 7 7 9 0 2 7 4 4 2 7 2 8 9 7 2 & l t ; / i d & g t ; & l t ; r i n g & g t ; 7 u g 7 r v o - r N m 9 l j L t z s s B 0 7 7 s B p k k I o h 1 4 B & l t ; / r i n g & g t ; & l t ; / r p o l y g o n s & g t ; & l t ; / r l i s t & g t ; & l t ; b b o x & g t ; M U L T I P O I N T   ( ( - 1 1 9 . 5 7 8 7 6   3 3 . 2 1 4 4 8 ) ,   ( - 1 1 8 . 6 3 1 1 2   3 4 . 9 0 1 0 9 ) ) & l t ; / b b o x & g t ; & l t ; / r e n t r y v a l u e & g t ; & l t ; / r e n t r y & g t ; & l t ; r e n t r y & g t ; & l t ; r e n t r y k e y & g t ; & l t ; l a t & g t ; 6 . 5 8 3 5 8 6 2 1 5 9 7 2 9 & l t ; / l a t & g t ; & l t ; l o n & g t ; 1 . 8 2 6 5 4 2 9 7 3 5 1 8 3 7 & l t ; / l o n & g t ; & l t ; l o d & g t ; 0 & l t ; / l o d & g t ; & l t ; t y p e & g t ; A d m i n D i v i s i o n 2 & l t ; / t y p e & g t ; & l t ; l a n g & g t ; e n - U S & l t ; / l a n g & g t ; & l t ; u r & g t ; U S & l t ; / u r & g t ; & l t ; / r e n t r y k e y & g t ; & l t ; r e n t r y v a l u e & g t ; & l t ; r l i s t   / & g t ; & l t ; b b o x   i : n i l = " t r u e "   / & g t ; & l t ; / r e n t r y v a l u e & g t ; & l t ; / r e n t r y & g t ; & l t ; r e n t r y & g t ; & l t ; r e n t r y k e y & g t ; & l t ; l a t & g t ; 3 7 . 2 3 2 5 1 7 2 4 2 4 3 1 6 & l t ; / l a t & g t ; & l t ; l o n & g t ; - 1 2 1 . 6 9 5 8 2 3 6 6 9 4 3 4 & l t ; / l o n & g t ; & l t ; l o d & g t ; 0 & l t ; / l o d & g t ; & l t ; t y p e & g t ; A d m i n D i v i s i o n 2 & l t ; / t y p e & g t ; & l t ; l a n g & g t ; e n - U S & l t ; / l a n g & g t ; & l t ; u r & g t ; U S & l t ; / u r & g t ; & l t ; / r e n t r y k e y & g t ; & l t ; r e n t r y v a l u e & g t ; & l t ; r l i s t & g t ; & l t ; r p o l y g o n s & g t ; & l t ; i d & g t ; 5 0 5 8 0 8 7 9 0 8 4 3 5 5 5 8 4 1 4 & l t ; / i d & g t ; & l t ; r i n g & g t ; _ i 7 7 h j p 5 o O 8 j w q B o t y r C 3 o v j E 0 3 v p B l - t p I k r 4 H h 5 m K v j i I 8 6 w 3 j B z i g - C q 6 3 d 6 4 - K 7 s w O q w _ F 4 1 s k C r k z z M 6 o z 7 M n t 6 S 1 0 i P 1 g j Q z i q r F - h y c v j t o D 4 i 4 l C 4 n 9 v Q n q x t g K r 7 g k q D z - i 1 E 5 z p Q h _ y i D z g w 3 G h _ h l C 7 o m o B t v 9 g C n 9 p 7 C 1 8 g E z _ o i B 3 8 0 r N z g 6 m C 7 s h 8 B - 3 8 4 B l 7 k - D 6 m o x D g 2 t U v 1 t D u - w D 0 3 t P s s - r B u 2 9 p C n v 1 k B q u o T 4 8 q q D n 5 0 c k z 6 o G 5 k j j B p 4 n i B t 5 w b r 9 7 _ E q i w m B o z u e l y h I m z _ l B 6 _ 0 _ D u 3 n V g w u j B o l w r G s - h p J z v l h O - i k j H v z l U i q m k B l l j z B 9 l t E 5 4 m O r 4 u C 0 _ 6 i B 1 g 1 F t 6 u T u q l 6 C 4 y _ U u v 7 O l 9 r h C 5 8 - G q r 6 i F u i 0 u B 9 x 0 D 3 9 4 5 B s 9 h Y k v z L 9 p k _ B t p - d g j x a r 0 z M w 9 p q C p r g U i y _ m G j z x V r s 1 R - m 4 i B l v v q B 3 9 1 O 5 8 9 p B 6 h v X h o 7 M z _ t _ E 5 o 8 w B 9 9 6 P g x y J j - 8 e y p t T u h 8 j B 6 0 6 h D y 4 l n D j j 7 k B 1 9 x p B 5 - x t E l 2 6 I j t 6 Q k _ y h B 0 1 3 o D 5 9 6 E q 4 m 8 F y 0 z c t r x j B 8 s h g B n x p 8 C w l j l C o g x D m 4 s K k 6 s 7 B 5 p k O s 8 p v B x i q v C 4 6 i t E o y 7 H x u u M j j o s B 0 - j 8 H g 7 9 r H u p r D r z g H w j h Q i u k z M k h 7 t B _ w 7 p C u 8 6 R 2 6 2 M s v - n E g j 0 x C - p g 7 C y v k r R y i 1 n F 8 g x Y 8 2 _ V k 0 4 K y 9 v S 0 v g Z 0 w 4 j F y 8 h I 1 v r j E _ 7 x O 3 4 1 a 0 7 - y F 2 s o z D y 3 8 O 2 u u H 5 9 j 1 B y u l X j 2 o 8 D u m - 5 C x 6 8 H 1 n 3 w B x 3 y N v h r Q 1 r y k n R s 3 6 8 v e m k u x O 5 4 h i C i w 8 H 4 z v h N p 5 6 4 E o y t a q 7 n W r 8 7 h B s 3 9 T x 4 n W 6 7 0 2 F j y - L i k p H h 9 p O n - w Q 5 u n o D 1 k p - F n h 3 g D m q 1 m B 6 q - f u w 8 6 a 5 u t i K 5 w _ 6 j B z t s p T h o v G z 9 v 1 I n q i i C 9 y k w B h 8 v H _ 4 8 I 2 6 7 G 1 1 w p D 5 4 k h B j 8 - T i 2 w Y u 9 k z B 0 4 h K i 3 g b q 7 8 4 B 4 0 s F 9 y - s B 6 p _ 0 B i v p i B y - v w B _ 8 4 N y m n M y y u 0 B t 6 3 G g y n O 8 k l D x 1 4 P - 7 m J q 9 l r D _ l g q C m x k g B r h j 0 K 1 3 k k C 2 k v U h m 2 y H _ j o p e q w j w B 2 w 5 H l u n C k 1 y 2 C _ 1 m N m l x K r h 9 s B - p 8 l C 5 k 6 V z 4 - v D 1 v h 5 C t u 3 d w t l 3 C o k 9 k B h 8 3 - B y t o L o k q e w v x Z x p w P - 3 - w B j 3 i J m - 1 K s 5 x 8 L j 8 6 m D 5 6 8 Q 1 x w r E l 6 4 y B 7 r m v D 4 h 5 H q 2 v g E o m l h B v x o F y g j c 4 2 0 L n 9 0 H 5 m w 3 F m x 2 F 7 r q k C t 2 o g D o 9 7 d j v x V n 6 k _ C - o x Q 9 g p J v 6 t G i 0 i d q 9 k h G 0 j y 1 B 2 4 u u I g 6 m G v l 6 S n l Y x 7 2 F g 9 5 C q j y D 0 1 l U g - i n B 0 j w p G k - 0 h D 7 o t r F 1 i l j E n o 5 L - - j x P 5 9 6 i H - j k l B x r _ B v p v G z w 4 R s 1 3 7 H 2 1 0 3 C o h s L 3 4 h j B p u v U w - o z O u z q q B k p p E 2 s n i B 8 j q Y 0 h - i B p y w _ B y 4 q n B _ p u k C j p u J 3 g y 7 B u r z 4 B m k m f 4 2 u F s 3 t v C - l 5 E k 3 6 E s y i N 4 s k a 6 - 4 D w 5 1 _ V 4 5 1 o L 5 2 x R g m k E k 1 n 3 C l 1 n 1 D v x m H w s p - B s k l e 9 9 g Y 9 t n u C 3 8 3 I _ 9 k k E 2 _ h Q 0 z 1 P y x l J w 3 y R u 3 g H k 1 4 t C j 6 5 1 E h j 6 h D 6 m z s C i l x 6 D 1 z v R 3 p q Z 5 3 w n B 4 6 1 k C p m 4 P y 0 4 R t t y J 3 o 2 6 E g - q O j w z R r 2 r E s m r s D z u 1 r B m q q E i m z w T h z y u F l n 5 e k 9 u x B j 9 9 Q y 0 p 8 C r v p J 0 x x F 1 y n U 7 r - - C & l t ; / r i n g & g t ; & l t ; / r p o l y g o n s & g t ; & l t ; / r l i s t & g t ; & l t ; b b o x & g t ; M U L T I P O I N T   ( ( - 1 2 2 . 2 0 2 6 9   3 6 . 8 9 2 9 7 ) ,   ( - 1 2 1 . 2 0 8 1 8   3 7 . 4 8 4 6 3 ) ) & l t ; / b b o x & g t ; & l t ; / r e n t r y v a l u e & g t ; & l t ; / r e n t r y & g t ; & l t ; r e n t r y & g t ; & l t ; r e n t r y k e y & g t ; & l t ; l a t & g t ; 3 7 . 4 5 5 4 4 8 1 5 0 6 3 4 8 & l t ; / l a t & g t ; & l t ; l o n & g t ; - 1 2 2 . 3 1 7 7 7 1 9 1 1 6 2 1 & l t ; / l o n & g t ; & l t ; l o d & g t ; 0 & l t ; / l o d & g t ; & l t ; t y p e & g t ; A d m i n D i v i s i o n 2 & l t ; / t y p e & g t ; & l t ; l a n g & g t ; e n - U S & l t ; / l a n g & g t ; & l t ; u r & g t ; U S & l t ; / u r & g t ; & l t ; / r e n t r y k e y & g t ; & l t ; r e n t r y v a l u e & g t ; & l t ; r l i s t & g t ; & l t ; r p o l y g o n s & g t ; & l t ; i d & g t ; 5 0 5 7 8 8 6 2 5 1 0 9 7 5 2 2 1 8 9 & l t ; / i d & g t ; & l t ; r i n g & g t ; 3 8 4 4 8 p n r y O x r j E 9 9 8 J t 4 s D & l t ; / r i n g & g t ; & l t ; / r p o l y g o n s & g t ; & l t ; r p o l y g o n s & g t ; & l t ; i d & g t ; 5 0 5 8 0 3 6 4 3 7 5 1 3 9 2 8 7 1 7 & l t ; / i d & g t ; & l t ; r i n g & g t ; p o 9 n v 9 v t u O 3 - M 7 v 6 B r o z G 1 p d p 9 e v h Q k y E 7 s F i 9 Y h q T n j 3 B & l t ; / r i n g & g t ; & l t ; / r p o l y g o n s & g t ; & l t ; r p o l y g o n s & g t ; & l t ; i d & g t ; 5 0 5 8 0 3 6 5 7 4 9 5 2 8 8 2 1 8 8 & l t ; / i d & g t ; & l t ; r i n g & g t ; l z s 2 r h z l u O w p q g C n l v z 8 B k j - 9 m B y 0 9 p Q z s l _ I 6 p g - N n - 8 i M i 1 9 t 6 E 6 8 - 7 E u r 1 3 a s y w l L u m m S 2 z x 0 D 6 8 0 x D 6 k 6 V g q 8 l C s h 9 s B m 5 y K - 1 m N l 1 y 2 C p 2 m C u 9 6 H p w j w B - j o p e k 3 u 0 J y 0 2 t D v o s 0 K _ r n g B m 1 4 g C n 6 n l C j v u M z s o J l 1 6 P s h m D h y n O h k 5 G z y u 0 B y _ o M - 8 4 N i v z w B 7 o 0 m B 1 - h w B p _ i t B y x y G g k x 1 B z o m j B 6 8 1 G _ v o z B h 2 w Y 1 x 0 J x 4 y 7 J 2 k 9 G 9 4 8 I 9 n x H _ y k w B r s m i C n o 4 1 I 2 z u G n 7 4 p T k 9 9 k 4 B 6 9 8 g D 9 s x L v h i G j v q k s Q 0 7 l 5 B u k q J h m 1 k G 1 _ g 9 t Q x u s 9 4 B h l k h B p 3 l 9 j P h s p 8 L v l q m K p y 8 g B s l 9 j P j l q H q p w H t n 6 X i o j l B h 5 v H 1 y v N - 7 w q B w s 0 V 0 k m Q y y 9 N 9 8 j k C x 3 r h C z r r F 0 m 8 k B 9 j u z B u 0 q j D _ n l S 5 l 1 J v 8 s E s y q J o 0 5 H j p k N 4 s h a 1 l h G n 8 q i B 3 7 s 9 K x 8 g 4 B m 9 i f 2 w z Y g k 6 v B r 9 h m M x j h Q j t 6 H 7 m h L _ t z N j 3 v Y 6 n _ g D _ g v b o l l E x v 5 H x v 5 M - y 2 l H 1 x 9 q P 1 1 2 l n B h i n 3 E q w v 2 F k u m R y y k S 9 l i j B n _ l 2 B v - 1 5 D 7 3 i Y i s 7 R 8 w s v F k 4 w j B g k h E x n o m L o v u h t B 7 m 6 9 T s 8 j o R y l 8 h B q 3 m N n q i 7 D 1 p g F j x m u B q w m b 2 i z n C 0 x 2 b k u z O m w y n C u 3 7 k B z t g X - q 9 - B u 9 k j B g 3 y D 0 v p 4 H 2 l l g E v z g r D i s n M 9 z r Q r o k l B n h - Q v 7 s R v g 9 C x w x 6 C n w _ 9 E r q s P q 4 w X q w 3 f y h v z E l r 4 u B v 7 g 5 H y g m m B & l t ; / r i n g & g t ; & l t ; / r p o l y g o n s & g t ; & l t ; / r l i s t & g t ; & l t ; b b o x & g t ; M U L T I P O I N T   ( ( - 1 2 2 . 5 2 5 1 9   3 7 . 1 0 7 ) ,   ( - 1 2 2 . 0 7 7 7 5   3 7 . 7 0 9 1 1 ) ) & l t ; / b b o x & g t ; & l t ; / r e n t r y v a l u e & g t ; & l t ; / r e n t r y & g t ; & l t ; r e n t r y & g t ; & l t ; r e n t r y k e y & g t ; & l t ; l a t & g t ; 3 4 . 7 2 4 5 4 8 3 3 9 8 4 3 8 & l t ; / l a t & g t ; & l t ; l o n & g t ; - 1 2 0 . 0 2 2 7 0 5 0 7 8 1 2 5 & l t ; / l o n & g t ; & l t ; l o d & g t ; 0 & l t ; / l o d & g t ; & l t ; t y p e & g t ; A d m i n D i v i s i o n 2 & l t ; / t y p e & g t ; & l t ; l a n g & g t ; e n - U S & l t ; / l a n g & g t ; & l t ; u r & g t ; U S & l t ; / u r & g t ; & l t ; / r e n t r y k e y & g t ; & l t ; r e n t r y v a l u e & g t ; & l t ; r l i s t & g t ; & l t ; r p o l y g o n s & g t ; & l t ; i d & g t ; 5 0 5 9 6 1 2 1 7 5 1 3 2 2 6 2 4 1 2 & l t ; / i d & g t ; & l t ; r i n g & g t ; h x h i _ _ v u v N j y r z B - v i a t j x 8 E h _ h 6 B 2 y r v D 3 _ t h C x m 8 i L w q 5 E 5 0 x M 3 v 5 j P u o y y F s 5 3 2 J 7 l o r W 8 n t O 3 z 9 f v g 5 k D x l p 2 E o - 7 4 C _ 5 h H h 6 p P 9 u 0 4 H t 9 s 3 B n z 0 b 6 2 1 p D 0 q 1 K 9 r 4 k D 4 k 5 4 F w 7 7 o G k _ 6 h C 4 3 m m C u 2 s U - m 1 T y 3 s R s m 8 M w o t e j 2 u h B k u p w B t 7 h 1 B v x _ a u 2 7 6 H 5 h t 2 L 8 0 8 l B n 9 9 d 1 x 9 t E v l 2 r D 4 _ 8 R i k - u G _ m z u K 2 2 r q C - 1 h r D n v n p H g k i E 5 v 9 7 B g _ l n B s s 2 a z x w S h 6 v z B t m 7 f 7 i y F g i s G _ r 7 T 2 9 9 j C x x _ J l - t i E m u w 6 E w 7 j L m _ j s D i 7 h 2 B v x 4 y B z r 7 k C y 7 n g B i h r o B 5 - i 1 N o y 0 R 9 - i 0 B m 3 7 2 C i u 9 I i r x w E i m i q M v 3 i G 1 p i o H i j r O & l t ; / r i n g & g t ; & l t ; / r p o l y g o n s & g t ; & l t ; r p o l y g o n s & g t ; & l t ; i d & g t ; 5 0 5 9 6 4 0 9 3 4 2 3 3 2 7 6 4 2 8 & l t ; / i d & g t ; & l t ; r i n g & g t ; h q j i g 3 - 5 t N 6 v - e r k u w D _ w 5 3 M 0 1 1 o B z g 1 w E i 7 9 p B g r p Q n i 2 o C 2 2 y m D o l 8 i E z - 3 Z i r m u E j 5 v k K g s m _ C m - 0 j C s 3 3 l B 5 n 4 t F - s 0 U n i l - D r v 0 g E x v 5 l C o l n F l k k h D n w y Q j q 2 h C n y 6 Q r 5 _ 7 C 7 h q k B r u x M t l z f 4 w _ B 0 6 8 W t 6 w l G 7 n y 7 C 5 m 2 U z 8 s I 0 u n g C m v 9 M 2 8 g 9 B 8 t o O r 3 k E i 8 - W w h y S k o x w D 5 _ - T q k 2 G j w 9 S o s n J t 0 7 C u 8 v Q s 7 j N z q 5 O y l i a g 0 r Q 3 6 5 G _ g 9 Z z h v Z _ p 4 M w 5 o n J z q l m M 7 k 3 u B u 6 p G 7 - t Y w h j m B r j k y F j x k q B p 6 y n D w o o 8 E o t 4 F q k j y B 5 r _ E n h r K r g - L 7 6 6 y C w v 3 J w w o C m s t p B m 6 2 W m 2 8 n C j z 7 L 0 5 n h B y m w d _ g o H y 8 u L 6 y w E l j l M 2 _ - J 6 p m F s 0 0 C q 1 _ S w h 3 P - 6 w G r q 9 Q v 5 s v E q j m E u - s B n k 3 F v k y C j _ t F r m 4 E h s u h B l k l f g 9 9 N 1 z k V v u h K q g 3 e 8 w z 6 B 5 5 g C x 0 5 F j - _ k C l 9 v C n z - C l 8 o N w u o K n 0 _ k C s 8 s h B - o k G 5 5 s Y k o 8 D 3 p x Z v 1 3 V i j 0 R q t m B 7 q l a 6 8 9 e v x - U 2 k q E 2 v 4 B i x y j D t m 5 C 7 h 2 J j s 6 X m x 9 E t 3 y J 9 2 _ B y w i t C v g _ D q n 2 E h 0 j v B 2 i h t B n 2 w E 2 w - Q k 2 u 8 B u 9 u k B r n s r C - u 6 6 C l v 7 u R r j 6 L 9 0 o K n 4 l J m 9 l k C t z r I q w 0 m B s y o 3 B z o p F o z r P p p q r B u - y n C 7 h g B 3 2 J k r Q t q U u x _ o B q w h 9 G t 8 2 7 C o t 9 x K y w h r D - 9 w x D q o y o D 6 m 2 P y 0 0 X - - y p D o 2 r z D _ z 4 G i t p g C 9 8 t n B v i n N m r h y E & l t ; / r i n g & g t ; & l t ; / r p o l y g o n s & g t ; & l t ; r p o l y g o n s & g t ; & l t ; i d & g t ; 5 0 5 9 6 4 6 6 3 7 9 4 9 8 4 5 5 1 6 & l t ; / i d & g t ; & l t ; r i n g & g t ; z n r o j z j h n N - - q P 0 4 9 q B t o r V y q o q B 4 m k r B s h 3 B 7 n x 2 E 5 7 w S t 9 z N 5 6 p Q p r 7 p C 8 - r b p _ 8 u D & l t ; / r i n g & g t ; & l t ; / r p o l y g o n s & g t ; & l t ; r p o l y g o n s & g t ; & l t ; i d & g t ; 5 0 5 9 7 2 4 3 2 5 3 1 8 2 9 5 5 6 4 & l t ; / i d & g t ; & l t ; r i n g & g t ; 8 z r o k o 1 v x N w p k m E k w s 5 f k 7 v M v z m 1 B x v 4 j I o z 1 6 E 3 4 k q B j i v o G w u r k B 1 - r m B - 1 w h B 9 - l - B k g z N 7 4 0 M r j 2 Q j 9 r V q y 2 H 3 2 7 Z m 9 z F g l l e y 4 q C q q x g V n k s x I 3 9 1 1 C q 3 8 l B 6 p i m C z j z F h _ 9 H 9 h u W 6 h s - J 0 o r 6 B y l _ J 5 - 1 M 1 q s g B 4 r o H i s z M i 3 p N u o h X x i 3 t G 4 r p 4 B 6 2 p j B _ g _ X i 1 w 4 W g h r j E w 9 v k H & l t ; / r i n g & g t ; & l t ; / r p o l y g o n s & g t ; & l t ; r p o l y g o n s & g t ; & l t ; i d & g t ; 5 0 7 1 7 7 1 8 8 0 3 8 2 2 6 7 4 0 7 & l t ; / i d & g t ; & l t ; r i n g & g t ; r 1 j p 9 3 4 x u N 9 0 0 J 9 4 r D w 4 1 J w 2 - N j y y N 6 x q f 5 n y C 8 j 6 _ C h 3 t m D 5 p h K q 2 - U n l n n B 6 2 5 8 G g u - G - l v F y 5 t W z _ g 0 B 6 m j n F 5 k 3 k C 4 1 7 N h 1 y 4 1 E u 6 w p 3 N p p m d k 7 1 y s B z l 3 0 g B z _ k Y 3 y m o B t j 5 q B l 8 m q D y m l W 1 k g u 0 D n r v O 2 v j 0 p B n u p J - z s o g B 4 n j q C r 6 s v D x u - z B - 6 - l B t 2 s x F 6 l 4 - M 1 j k h C n 4 n J 2 s z q G 4 5 v u C - g 2 x C 9 h v 5 B o k k P s n s Y 7 5 x 7 D 9 _ r C s v q 8 G _ u k x J 3 j 0 S - g m s B p r j r B - y l V r z _ z C w 6 _ J 5 9 9 i B 1 3 4 t C 5 k _ 5 B i 5 x t B n m 9 P r m w h B u w _ T 9 u k U 3 z z s B j - 2 R i 1 l P i j h H q n x 1 C o 8 l J _ n i K - i p P w _ v h D y 7 _ J g u v B l 0 k V 0 2 0 z B 0 _ _ I r u 1 C z g 2 s C o l 3 V w 6 r c u o 3 G h 1 t B o s x H - z q W m x 9 m C x s 0 3 B u s 6 L u 1 i y B s - g J m j 4 e 5 i n R w _ g M k _ q E p m z G - j v G k u 7 1 C m r n N 4 m x G - i j 6 C z 5 x U _ 6 z P 3 6 4 m B h v y T _ n 5 R 5 p p j B p m 7 I 3 g i M m j o J g r o I g y 7 B x 3 v J n 8 o k B o y 7 N 4 r s P 2 _ x d t 5 u E 9 i 6 c l 5 6 H 4 i i j B 9 w u L 8 v - u B r 9 n H h g u W l h h D 9 3 _ G y y 0 v B 9 j 8 C 0 m 4 K w j i D 0 4 j X t 0 j O _ o 5 I z 2 i g B g m p w B 8 t s c i s 9 U p 8 l M 9 7 i R 0 2 y v C _ 8 2 Q 7 j m Q q w 5 j B x 7 5 V y j 7 K 7 s g I _ v k H 2 7 n P 3 y u G i x w m D _ u x 6 B z u _ V - i 8 o B z 6 q h B 0 9 p 7 B x 8 w Q j h g S 4 1 p 3 B g - g K v i 9 j B l m p Y i 5 g z E l t h N m 0 - _ B r g i y C v i 2 q B y s y a i u v 8 B 2 5 5 M g 7 q C n 3 i L r y t b t 6 9 Q 1 g h P n s t l B k i u H n 8 g Q 2 x g H w 5 v U o 1 p H 9 0 1 j B 0 - 3 u C h q _ a z 9 t L i 7 n Z x j 1 G o k 9 E 5 1 h O 0 8 r C 9 q m Z 9 5 k n B r 6 3 N k j k M 2 7 n E v 4 v S 2 r n v C 6 x 1 s B 7 6 3 E g - t l B m t 9 y B 9 5 p h B 6 u z 5 B p 3 6 8 D j g y Y 0 0 6 x B 1 - l u E l 7 k U k 0 4 U 0 x u J 1 2 j l F 7 t o b w g 1 O i 9 u g B w h _ g G t l 8 j F h - g G v 0 4 Y u k u U i m v w D 4 m 6 N t i k m B v 4 _ X y i m U r v u v C j m z - B n w w r B z 1 g 7 F v 7 3 E 6 5 o t D 1 5 l m B h n - e z z m 0 G t 7 z h B q t 7 8 F 3 l o 9 B - h y d - i q H 5 v 4 c 1 2 y 9 N w s p E 6 3 0 i B 5 9 g I h 6 r n F 2 3 k c r s 4 P g i 0 j D p y p - G 4 i _ T z p z j C 6 m x 2 B p o 3 r E v 8 h m D s h u j B i 6 v i I 6 6 y z G x u i z K g q s z E 8 s y _ E p _ h r C g 9 p g E 1 _ y E 5 2 i j y B - 4 r 1 q C q 6 6 v r B z _ - i H t - x i C w v t 2 E w x n _ B w h i k J m r 1 _ B 3 - z n D 2 3 l g D h r w q B q l _ p E g k 6 x B o 9 j j R r x w 1 3 B m n 3 w B 5 0 u K h u - G 4 j o i R n 3 q g B 6 2 x t F i l m N l j s 4 F g 1 m 8 B l 8 n 4 B 4 v j g C y h _ 4 E _ z 8 w B _ z 1 a o n u t F l z w 2 m B m u i V 2 4 m 7 n C 8 9 p z B 1 u 8 g B 8 p j Q w n 0 - B 7 k j 8 D p q 9 8 h B 8 j 8 w f s p v 9 N 7 l w h n B _ - n _ I 2 _ j X q x j D 8 m q d z r i O x u _ z B w 7 z O h 8 _ k B j y v o B 9 y - S h l 4 k B 7 o w E k j l p B t m p I n 1 g N 8 0 j E 8 8 t O 9 1 4 z E p 5 g q B x l 8 k B j 9 r H _ v z 5 J 8 n 2 p C h 0 j t Z x 4 x 1 D 0 0 r h l B 3 2 s 4 O 0 w q 3 F y w m R q z i 5 B 2 w 7 - F q u l 9 U i m 9 T z v y 5 B s z t i B r m 7 q B x o l I _ 6 _ w D 0 i 1 j K y s s 0 B x 5 v D t j B _ k B 6 5 2 4 D 6 j n x s B 5 2 r R 4 2 v t C k 8 - V 9 _ y f l t 8 0 V 8 9 g s D j 8 r i H k p j j B 1 u 7 r K s m _ k G 5 r 3 h 5 B 2 z 7 7 C j j _ f t l y l E t n w s E r o 4 x N t 9 o 6 K p n 9 i M 6 z 9 c 6 h g _ D h 9 8 4 I w t n j I 8 w 1 6 B p _ l u C 8 5 p 3 H 9 h 4 k B 2 m t V 8 2 n 8 H n _ 7 t J k 5 k e x o h 2 K 9 1 y e n 6 k U 1 z 0 U 0 o - C _ 4 9 g Q 5 z v 3 F - q y 0 D o w 1 w B z k w c 7 t 6 o E 5 w n 3 G 9 1 i 7 C z _ x u B 3 l 4 k i B g 4 w 6 D j l 7 j l C 1 0 9 s D k u 9 w H y - q s B 2 m p K m k p _ G n 7 4 f - _ u R _ y m g B q l 3 t K i 3 y r E 8 8 r 6 C 3 - s u C g w 0 8 B t u u J o o m O y m x _ N q 8 i 2 G 8 m 9 Q 1 l 9 g C 1 r t v T 7 - 2 w C 6 7 z c t u 1 l K o 2 0 o L 2 4 g m D _ 4 6 8 E & l t ; / r i n g & g t ; & l t ; / r p o l y g o n s & g t ; & l t ; / r l i s t & g t ; & l t ; b b o x & g t ; M U L T I P O I N T   ( ( - 1 2 0 . 6 7 1 7 3   3 3 . 4 6 5 1 ) ,   ( - 1 1 9 . 0 2 7 5 7   3 5 . 1 1 4 4 8 ) ) & l t ; / b b o x & g t ; & l t ; / r e n t r y v a l u e & g t ; & l t ; / r e n t r y & g t ; & l t ; r e n t r y & g t ; & l t ; r e n t r y k e y & g t ; & l t ; l a t & g t ; 3 9 . 2 6 9 1 8 4 1 1 2 5 4 8 8 & l t ; / l a t & g t ; & l t ; l o n & g t ; - 1 2 1 . 3 5 1 2 6 4 9 5 3 6 1 3 & l t ; / l o n & g t ; & l t ; l o d & g t ; 0 & l t ; / l o d & g t ; & l t ; t y p e & g t ; A d m i n D i v i s i o n 2 & l t ; / t y p e & g t ; & l t ; l a n g & g t ; e n - U S & l t ; / l a n g & g t ; & l t ; u r & g t ; U S & l t ; / u r & g t ; & l t ; / r e n t r y k e y & g t ; & l t ; r e n t r y v a l u e & g t ; & l t ; r l i s t & g t ; & l t ; r p o l y g o n s & g t ; & l t ; i d & g t ; 5 0 5 7 7 3 7 1 6 4 4 7 7 9 5 6 1 1 0 & l t ; / i d & g t ; & l t ; r i n g & g t ; u 1 w s 3 _ 2 x 0 O q 4 l D g 0 8 _ L v n k k L 2 0 1 n B 0 s y l P x q y 0 H g 9 j 7 N q q 9 r F 2 m n 2 C j - o J 7 3 s n B y o - r B m r y 2 I k h _ k C 7 j 7 2 B 8 3 - G l v 7 S k 8 i p L 5 l 0 G _ u 2 K k j h x B x 3 u H n j t v B _ h q x F 9 m t I 0 m g I t 2 _ u C s r 4 H i u p o B v q m i C q o r S m - 9 P s 1 o V y - k W 6 k n 0 F o v j 8 C 5 9 p i B 7 4 1 r C u i t 5 D t 9 o L 6 l _ S l z 9 s D m o g m B 1 p r I x x o s C j r x m _ W r _ w K 2 v m 8 D 8 y g w D x 6 v t D j u g 0 B w j o - B 5 1 o J x w 8 k B - r x 8 C r j p t E x 1 2 8 I 0 8 w Q v 9 i _ C n 1 r o M 7 3 3 v C s _ m u B 6 z _ n E h 4 7 v B s h y h D m 3 y Y i w 9 x B s t 3 y C m t _ o B y r 3 U r 2 m m B 3 y u h D i 4 k t C 0 h x i B 9 l z 5 D p 8 - Q x 3 7 G 2 t t H 4 2 v f v t l J 9 y w a p m o 3 D - - 9 w B r m j U m l 4 S 4 2 z 8 B h g u n B 2 - 4 Q x z g 8 B 5 4 n U 8 4 p i C 2 z r - B y 7 9 i B - x 6 l B n g j V t n _ R t 2 r H 2 i z R q 0 1 2 B o 4 i E - 4 q Q 5 - 1 5 D l i w R q w x U q 6 k 3 8 J l _ 9 k C 1 x 2 Z v 0 m P _ g 1 R k y 8 K o 5 l z H h o n Q - i 1 s B j 2 v g B 2 6 - k D i y j p C q _ y F z h v H z k x a j u i i r B j m h z q B - v g y M u 5 5 2 k E q 8 2 m E 1 8 6 m P z n 7 x G 2 r n 3 B q 8 _ H s h y q L - s _ g B j m 6 0 B z 5 _ n Q _ k 4 w B 9 1 i h B i y 8 r N j 4 x j B 8 _ q q 6 B m i s 9 D r o u l b 0 - p p B r u 5 i D _ g 6 i F 4 m m s J 4 z g O 0 g p p C 7 9 7 N y _ l s C r 3 0 0 B v u o h B v r y 4 B v r j J 8 6 m P s _ 1 n C x 6 o p B g _ h y B p n 5 h B t 5 9 I 1 8 v u C u q - a 7 0 i b u m _ 3 B k j l I 5 2 q t D 8 0 k k B i _ 1 d 5 m 6 g C - m i Y g 8 2 u H r h y 4 C - u 7 T 2 g g j C q y x 2 B z x z J s r v 6 C 4 _ i w I s u 6 J n 8 o U y 1 _ O x x m E u g 9 s B n 6 2 q F p 8 i L 6 s 4 e n k 2 s D i w v Y 8 m h p B r 7 n g B l 1 y i C h j n l B 0 h t X o 0 s o B 2 l o y B n u y O k s _ I 0 y _ G 2 i o J k 9 n U v 6 2 T 3 i k e 0 - r t C s x _ i D u 9 9 e y u 1 u C n 2 p 4 B q 0 g M y g r u B 1 z _ L 5 j 5 J 8 n t r E 5 i 5 q C p 4 u F z 0 l z E p 8 q X l 2 h P 6 j n G 5 y t g D i 6 u n B _ w 6 p B 9 9 7 3 N p 9 u M p z j p C m 7 0 J 1 j q m B y s u 5 F o q s _ B 9 q j h B v 8 n g B 7 2 r F 0 g 9 f 2 n h h D 2 w _ 0 B 7 7 x w C z q z 1 G u 2 n Z n 7 q w B 6 g 8 e z s x T 2 z 3 g B o 8 j L g 0 m h C 3 5 z v C w k 2 o C - n m J _ 1 x P x 6 3 C _ s 2 8 B _ h y D 9 w 4 X 7 m j m B r v r j D s 1 o J 2 3 w 7 B w t z R s 5 r r B o k n g D w h - r M t i y r C m u 8 h C 9 p m 4 C s v 3 P l 4 4 j D j i h w E 3 n u n B 0 _ x s B g 9 i F 2 r v k B _ y n v B x 9 h h G h 7 5 6 Z z k k 1 N u _ n v J - 4 i L t - h g D v h 4 y B 9 9 7 u D j l 6 I y 2 9 h B 2 y k y D r o 3 V z i h s C _ j m x B 5 2 m u G q g l y W z t y s C & l t ; / r i n g & g t ; & l t ; / r p o l y g o n s & g t ; & l t ; / r l i s t & g t ; & l t ; b b o x & g t ; M U L T I P O I N T   ( ( - 1 2 1 . 6 3 6 0 7   3 8 . 9 1 8 3 3 ) ,   ( - 1 2 1 . 0 0 9 5 6   3 9 . 6 3 9 4 ) ) & l t ; / b b o x & g t ; & l t ; / r e n t r y v a l u e & g t ; & l t ; / r e n t r y & g t ; & l t ; r e n t r y & g t ; & l t ; r e n t r y k e y & g t ; & l t ; l a t & g t ; 4 0 . 1 2 5 6 9 8 0 8 9 5 9 9 6 & l t ; / l a t & g t ; & l t ; l o n & g t ; - 1 2 2 . 2 3 3 9 1 7 2 3 6 3 2 8 & l t ; / l o n & g t ; & l t ; l o d & g t ; 0 & l t ; / l o d & g t ; & l t ; t y p e & g t ; A d m i n D i v i s i o n 2 & l t ; / t y p e & g t ; & l t ; l a n g & g t ; e n - U S & l t ; / l a n g & g t ; & l t ; u r & g t ; U S & l t ; / u r & g t ; & l t ; / r e n t r y k e y & g t ; & l t ; r e n t r y v a l u e & g t ; & l t ; r l i s t & g t ; & l t ; r p o l y g o n s & g t ; & l t ; i d & g t ; 5 0 5 4 6 6 5 1 2 8 8 8 9 2 8 6 6 6 8 & l t ; / i d & g t ; & l t ; r i n g & g t ; r k 6 4 9 x t 8 8 O t - r r n D g 7 n Q 2 q 8 - P 6 q l n I k k z K i 9 4 y J t p t v D g p s K i - y t B 0 4 6 I s s t t C 5 4 q 2 B _ u 0 l D 0 s 0 n G x k q I w h _ N y 0 q 9 1 B s o _ 2 2 C w o 5 l 8 I 9 k h V p x v 6 R z 3 r y F v r g 8 J 2 4 l R - z 6 w G l _ 2 - E t h z 5 K 6 q 1 6 B 4 m 8 j F h n 3 X 1 x r h B w n 0 x D 2 z n w C _ n m n j C n z z h E _ m m R l 2 y N r 4 _ G - g u q N i 9 x 1 B j w _ 4 D r n 0 q B r 3 5 u B 9 r 2 s B y g _ q B i m 5 _ B 5 3 h E n - n F 5 - t g I i 3 m r E 4 g h g C w u _ i B j m q w t D t w 7 i B 4 o 5 n H u 1 - h B z y u 4 B 5 7 p i B 6 5 3 _ P 9 r q g B u 1 u 5 B x 8 9 v G t p _ 9 B q 1 w V n z h J q 3 - I s - 7 7 D n - 3 y D y m r s E 9 u 7 R s q 6 I 1 5 q o B v z x J m 6 0 g D - - i V 4 1 y c g 4 n y C x 8 j w B 2 - 8 q B 0 u g U i 3 - K _ j - z D 9 1 i 6 B w 5 r z F - z 5 H r s 4 Z y w m 0 C _ 9 p 3 C r h t I - t i U v - z T g j g H q i 8 n F h 3 0 w I x z q h B o 8 9 b 0 r 6 L n 6 o w C s 3 l G s k 1 K 7 g i W w 3 1 i B w h 0 X i h j V 9 g 8 L 7 o q o D q 4 i t D 1 2 j _ E 3 _ m m B 1 6 t I p 6 5 b 6 o 9 1 B m t g t E j w p T j n 4 V s m u c 5 k o h J 1 j 2 y E t t v d v 3 n H h _ j r D 2 m s 3 K p i 0 i F 4 u p 8 G 9 5 - T 2 y u r B x 5 3 U 4 r p J x w n w B n 0 r q B 3 m 6 5 E o q _ g G 6 l k t F y q 2 m F 5 g x J - g 0 O 0 3 4 J - x q 2 B r n x N s h q i B n x s S 4 o 9 E 9 t w m C z p 2 _ C 1 _ z s B k 8 x i a z 2 0 6 S o q u 9 C 3 g h t M u g 6 9 C j 7 2 r E 2 v x b 2 7 4 o B 6 y x W w 6 q 8 D 0 r 8 C p u j e n j n 9 E u 1 - F 3 2 k Y 1 _ n 0 C t z 9 K q 7 1 S 1 k 5 5 C s z 0 l F p z w p D t z 3 v B - k t N - v w N 1 z z o J t k y 3 T r l r 4 B k m 0 K u 0 5 h G 5 1 g J 7 r l a v n 6 j D v 7 i j C m - r 1 L z g 4 L z j x X r 5 1 K p 2 h i B _ s u i B 8 h n m B q j n r D 2 z h f 1 8 g 3 D - p n k B 2 - 5 H 9 w r s C r k t M 9 - z b g g p m B _ 0 x 2 B 9 7 4 4 B 4 u j 5 B y 9 y n B v q 4 s D 2 q s D n m l 8 B 5 o u 7 B r k q e i _ u P k 0 t i D u u 0 J p 0 9 G 3 - j B o o 0 F q l s T i l g i C r 7 h T 0 5 9 V 3 t _ M 6 5 3 _ B p 6 8 x C 4 z o J 5 _ _ c 0 i t r B 7 t o 2 C r 5 2 z B p r k 7 E 1 u - q C x x 1 h B g s t X u 6 6 M j v _ B 6 4 g j B t 2 u E y 8 o W m 9 k z B g 6 p 6 B 9 _ j D n n _ q B 3 i 4 l B 1 5 6 e q 4 t I - q 2 D 5 s p W u q x z L r q j 6 D 2 w p r F 2 s h O 9 u 1 F z 1 i H r w 0 C h 8 1 k B o x - x C h x - 4 B 9 p 9 Y 9 _ 7 - B _ z n c n 7 4 0 H 9 o t B s 9 o G 0 5 u L u y 3 k B _ u n 9 C 1 j z j C _ _ i 3 B q 3 9 g C j g t l B j v j Y g 8 n q D 7 7 z 9 C w 2 n o B r j h I y j o 8 C u 0 r 6 B t x - U t q - d j 1 p q B m i s j B j x i g B n t y i C 2 u s d 5 x u h B 7 - v t C y 2 h 0 B 2 n u E - m p G n h 6 h B 9 - k v B h 6 m I 8 g 7 K q z p k C n m 4 g B v u 6 4 B k g h v B 9 z - q C 0 1 9 s B j y q j C y - y _ E 3 v v o G 3 - u m E 0 5 h h B 9 1 n X 3 0 4 p D n y 1 e v m 1 L l u s Z 8 h g R z 9 - t C u 2 x x C l s 6 3 B s 7 z Q m z 9 v B h 4 h i C 3 z 0 k G w k n M x y h H 2 o u P o 6 0 h F 7 q l W o 4 2 E x 5 x f w 2 8 E 9 7 o n B 0 q h E q v q i B u x o F s w u M 7 7 m q I 2 t _ U s 2 w z D g q g N g 7 6 r B n - 9 3 C w 6 x l C u 9 9 g E s n 0 5 C x p l R z s h 9 B 7 x h r D 1 w m i B x p r k C 5 6 y i C m s r h G y 2 s n B 9 z o N 1 m p 2 B 8 k g j C p n 5 3 D m q r n K h 7 j n I k o k 0 B - w j P r 7 n 2 E j h 6 4 B x 7 i S 2 t g M 4 q h v B y x 8 s E k - y P 7 u o V n u 0 p C y m 6 7 G o x 7 t C n 4 x 6 F r n k V 3 p _ H r w - Z 1 l 0 v F q _ - I q i s d o v 8 Q 1 2 o U 0 _ g M - n z k B 4 i y D 5 x _ F q o 5 D p v z J g r r H l 4 4 _ G 6 j 1 n C 0 j i f 2 y g H l m t Q u 5 - P 0 y j i B h 9 8 D h v n D r s 9 c y 3 - O v p i X i 9 z F r p v W z v 6 C 4 y o T 5 v - F - h m X h m h I g n h K - p 6 F r 8 g J o s y E j s u G 8 o 6 i H o k s t C 2 9 q l Q w v _ C r m 0 u D j o p U 4 3 o 3 C z 3 u u B 7 p - J _ - 1 - E p z q a 1 m o j E x 3 - v C u 7 6 B l - v P r u y _ D w x v w H 4 q 7 l E z 3 i t B 1 h y t D l u j 0 C 3 l _ r G p g 2 3 G x o 9 0 E s v v l B _ z u U p 3 s C v z y s B 8 z t X 1 6 r Z v l x o C 5 9 n 4 B - 3 j U i 6 0 1 B p y y 7 B w 1 _ m G 2 h v 9 B 1 2 i p E r l 8 m B 2 w _ p D 0 r 8 v O i 1 z 5 D y l y P p y u O t l z e o u o L r u j 0 B h j m m F 7 j 2 f l 6 t h B 6 q 1 c 7 y j q B h u 2 n B k g s g C 5 t y O k i u w B l p - 3 E t t y y D r m 4 1 B 2 m l p B g z g m C 0 w n N 0 8 5 l D 0 k 4 U 6 m 7 I 4 4 6 O w o - g E r - v F l 7 7 z B t s u q B k i w 6 B k o h b q w s Z z 3 _ F t k z 2 D 5 k j J s 9 8 _ B 2 6 _ Y 0 w l x C 5 k 8 x D 7 k k E w w 1 e 7 y 2 H 9 x g i B 0 1 l h C k s o p D - s r 3 D k 3 i l J o p 0 R 7 o 3 b 2 p r h B 2 t s i D g 9 3 f 3 k 5 4 B 5 - k i B v k j 5 D 4 _ i X 5 3 3 y E _ p 8 g C k u u U k i 6 1 B w h i x F 7 - j W v v y 8 B 9 4 u K k g w a 4 t v m 4 C 8 4 l 9 v S 3 - j q i 5 B 1 2 l 8 j B 5 p s 3 q e & l t ; / r i n g & g t ; & l t ; / r p o l y g o n s & g t ; & l t ; / r l i s t & g t ; & l t ; b b o x & g t ; M U L T I P O I N T   ( ( - 1 2 3 . 0 6 6 0 5   3 9 . 7 9 7 4 ) ,   ( - 1 2 1 . 3 4 2 0 4   4 0 . 4 5 3 1 4 ) ) & l t ; / b b o x & g t ; & l t ; / r e n t r y v a l u e & g t ; & l t ; / r e n t r y & g t ; & l t ; r e n t r y & g t ; & l t ; r e n t r y k e y & g t ; & l t ; l a t & g t ; 3 7 . 6 5 0 5 1 2 6 9 5 3 1 2 5 & l t ; / l a t & g t ; & l t ; l o n & g t ; - 1 2 1 . 9 1 8 1 4 4 2 2 6 0 7 4 & l t ; / l o n & g t ; & l t ; l o d & g t ; 0 & l t ; / l o d & g t ; & l t ; t y p e & g t ; A d m i n D i v i s i o n 2 & l t ; / t y p e & g t ; & l t ; l a n g & g t ; e n - U S & l t ; / l a n g & g t ; & l t ; u r & g t ; U S & l t ; / u r & g t ; & l t ; / r e n t r y k e y & g t ; & l t ; r e n t r y v a l u e & g t ; & l t ; r l i s t & g t ; & l t ; r p o l y g o n s & g t ; & l t ; i d & g t ; 5 0 5 7 9 9 2 6 2 8 1 7 6 4 2 0 8 8 4 & l t ; / i d & g t ; & l t ; r i n g & g t ; h 1 8 v t 0 1 h u O 6 m q W n y t a l - g 5 E 4 6 5 h N i 9 9 H 9 6 l i C u 9 4 x O r 3 6 8 v e 0 r y k n R m y k k C p u r i Q u 4 j k B 7 s _ Q q 4 v 1 B 1 8 0 i C z m m o B 4 i 2 T y j o r H 9 _ t p C w 6 x D g z y 2 D n q u w B 1 p 8 y B 6 i 4 h C l z i 4 q D 0 t x u 7 X v z t J j s 1 2 D l u l t C 5 7 j t 3 D y 5 i v _ I 7 h g l D r m z 3 I 0 y x _ s i B w h 1 j J l 9 3 2 D 0 8 4 0 B _ n s P z w 6 F - u s s B 3 7 g 9 G i 4 3 m B k 6 2 i J p p x - U g j - o L m g y 1 L 1 t v 5 n G 8 x - 3 E r m 7 p D j 9 2 t C n r m t O n 7 0 g C s 3 6 h B y n h M 2 y s 0 C o 6 t 1 I n o - d o r 5 3 B s s z k E l - n s B u u l 0 E p z q q J x y 5 O n y x y C x h n f k m o v B y 3 r M p u z J m s p f v y j 1 B 7 u k s B t z 3 E n w p 0 D n m x q B 5 7 z 0 D 1 y x s i B 6 h j z Z 4 0 m s 8 G - y x y B 0 2 i x L 8 p 4 p w J 0 _ g 9 t Q g m 1 k G 2 z o J z 7 l 5 B i v q k s Q s 0 l F _ p 7 M 5 9 8 g D r x 1 q w B 7 y _ p s B q u 6 r J u l r 7 a 5 q - f l q 1 m B m h 3 g D h i w - F 4 u n o D r g z Q i 9 p O q v q H i y - L 5 7 0 2 F l t l W 8 _ - T q 8 7 h B & l t ; / r i n g & g t ; & l t ; / r p o l y g o n s & g t ; & l t ; / r l i s t & g t ; & l t ; b b o x & g t ; M U L T I P O I N T   ( ( - 1 2 2 . 4 8 8 5   3 7 . 4 0 2 3 9 6 3 ) ,   ( - 1 2 1 . 3 5 5 4 9   3 7 . 9 5 6 6 0 4 8 ) ) & l t ; / b b o x & g t ; & l t ; / r e n t r y v a l u e & g t ; & l t ; / r e n t r y & g t ; & l t ; r e n t r y & g t ; & l t ; r e n t r y k e y & g t ; & l t ; l a t & g t ; 3 7 . 9 3 4 7 8 0 1 2 0 8 4 9 6 & l t ; / l a t & g t ; & l t ; l o n & g t ; - 1 2 1 . 2 7 1 3 2 4 1 5 7 7 1 5 & l t ; / l o n & g t ; & l t ; l o d & g t ; 0 & l t ; / l o d & g t ; & l t ; t y p e & g t ; A d m i n D i v i s i o n 2 & l t ; / t y p e & g t ; & l t ; l a n g & g t ; e n - U S & l t ; / l a n g & g t ; & l t ; u r & g t ; U S & l t ; / u r & g t ; & l t ; / r e n t r y k e y & g t ; & l t ; r e n t r y v a l u e & g t ; & l t ; r l i s t & g t ; & l t ; r p o l y g o n s & g t ; & l t ; i d & g t ; 5 0 5 8 0 1 9 4 9 8 1 2 9 3 5 8 8 6 2 & l t ; / i d & g t ; & l t ; r i n g & g t ; u 3 7 2 g r 9 y r O j h p 6 _ p B h i 4 o g B r n y u I q l k 2 p E t m x l D g 8 _ d 7 v 4 u B o 6 0 D g _ 2 5 D j s 9 E v 2 8 4 B w 3 p d k t 8 K 4 - p n B o 4 9 L 9 x 0 H v 0 n K n s n T h z t w C _ 6 6 U n o 3 9 B _ w z D 5 9 1 d v 9 v C j 6 t D y h y O x m l r E 9 v l d - q _ Q z 0 n E 6 t 3 g B 6 3 u B 1 8 5 J u - l G t q r H 6 j t P h l 1 N y s j G g 8 8 K n v 3 - B 1 k _ f _ 5 o G x 5 1 M w r 5 J p q t e z 9 m Q z s y M p q x H l w g P q p 1 F 1 2 1 M k - 3 C g z u 6 D h - k x C l 0 u H i n 6 Q z g 0 U _ 6 x L v y 1 D 1 n u o B u w 9 g B 0 k t t B q s h N 8 v u 7 B p k - I 2 7 u O 1 q g c z v 6 K j k i L k q w P j 0 _ J 6 1 3 L n x 0 E 0 7 s J 2 k l e o t h F v y 0 G 7 j - J m 2 g Q o r l e 8 8 j G 4 y 5 c u 4 k U 4 z j 1 B - k 2 I 0 4 6 u C m t 7 i C k 6 2 M 5 2 h K u j i J 5 5 j W p 7 0 I 2 i v T o 7 g J y v p J t k 3 X h q _ J 2 _ i q B v z w i C r q 4 O 4 h 1 1 G v j z i P 0 _ h k D - s r k B 2 m x x G v 6 u G r z z n C m - q X _ 0 j c k 1 n j B 1 k h - c o i 4 n w E o w y h 0 E y 0 0 _ h H m t i p I q k v p j O r h x 9 l N 2 0 w s E o 4 4 9 C q 9 z C - q 7 5 I k _ 2 S _ 8 u 5 Q 6 - 1 C i 5 y - C y m h 8 B j t h o G u q y j D 1 z y o C 6 n m x C m g v s C k s s L q 3 - u B i 5 g H w 9 7 7 H 1 o 7 u K u m k y D 4 m 6 p C y 5 6 5 B s _ 2 S n q 8 U y 8 _ o B p q v m E 6 1 n v E v u k 9 B m o r 8 D 1 6 j S 4 w w I h y h M x v 5 Q r 4 m i D - x m j J n r - 1 B g w x W j 1 u r K p 0 j g C 9 z j m E u y 5 R 2 1 v U t o h 0 D q q _ G s t z X 5 3 p z D g j _ k B 1 5 1 K 9 u l V 8 o x G 0 h n o E _ 9 m u C 1 3 z f k o r t B r - 1 R o o z k D 7 i 8 o B 4 2 i i E 4 h x s C 6 3 y g E z j 9 r B u 6 5 v D 5 _ h R 1 - t d m 7 x a 7 m 0 d 4 q p p D t u _ 1 D p w _ X x t t P 5 - o V z 1 m l B 3 q 8 J 7 g 6 6 D _ k 4 0 D o 0 m e k p w 8 C n 4 r l B i 2 r d m 6 k L y p x g D h 1 4 a 3 i 1 X w 3 g M k s y L w 0 p q C 4 j v t B g w 5 i M 3 _ j h H 2 n 5 m B 5 l 4 2 L s x 7 e g j 1 g B 7 i z g C n w 8 l C z 8 k 0 C n v 0 f 1 l 8 _ F j v 6 L 0 0 g r B z x r 7 B j t y 2 E l v 8 g B s 6 3 F n n 0 G 9 1 m f 3 _ 2 H 1 i 7 d l n q Z g p u r B 8 v 4 G g z v X z t 2 r B n 7 o 1 C r - 0 C x p x E v v y i D r 6 n H h t y 7 B s x 8 n C 1 w m L i 0 w a w z 2 u B _ t 8 E 1 u t Y 9 i p n B q _ 1 e q t w c w u z p B - y s L m 6 n 6 B m m u i C n z 6 s C z r n H 7 1 1 R x 4 h p D p 9 y j C k i 0 H i z u F 1 k 9 g C 1 1 o r C u v u P n 3 - 7 B v 1 - H k k z z B _ _ 0 N 9 l 3 U - l v r B v 8 7 j B 7 v w i B _ i 1 7 D z 3 w _ B 6 t 8 o F g g m q D 3 n k e w v y t C i 7 z i B q k k - F 5 _ o x C 6 _ 0 4 B j 5 s H 5 g 7 8 C 4 6 j M u y 6 L x 5 p s B u 6 o c u 7 3 T y i 5 P w 2 t s C r 6 r x B 8 p o f 5 j 6 I l m s O 2 m w K o 1 2 h C 1 v k Q m 9 - u B w 6 6 l B h 7 z E 7 1 7 V s w p l B j y r K 9 4 p g C 0 l h n B i x p n _ V k z i 4 q D 5 i 4 h C 0 p 8 y B m q u w B - y y 2 D 4 4 y D 8 _ t p C p w y z F 9 g 9 M y 1 m R n h j o B 0 8 0 i C p 4 v 1 B 6 s _ Q 2 4 m k B o u r i Q m u g k C & l t ; / r i n g & g t ; & l t ; / r p o l y g o n s & g t ; & l t ; / r l i s t & g t ; & l t ; b b o x & g t ; M U L T I P O I N T   ( ( - 1 2 1 . 5 8 4 8 4   3 7 . 4 8 1 8 5 ) ,   ( - 1 2 0 . 9 1 7 1 4   3 8 . 3 0 0 0 9 ) ) & l t ; / b b o x & g t ; & l t ; / r e n t r y v a l u e & g t ; & l t ; / r e n t r y & g t ; & l t ; r e n t r y & g t ; & l t ; r e n t r y k e y & g t ; & l t ; l a t & g t ; 3 6 . 5 1 1 0 5 8 8 0 7 3 7 3 & l t ; / l a t & g t ; & l t ; l o n & g t ; - 1 1 7 . 4 1 0 5 9 8 7 5 4 8 8 3 & l t ; / l o n & g t ; & l t ; l o d & g t ; 0 & l t ; / l o d & g t ; & l t ; t y p e & g t ; A d m i n D i v i s i o n 2 & l t ; / t y p e & g t ; & l t ; l a n g & g t ; e n - U S & l t ; / l a n g & g t ; & l t ; u r & g t ; U S & l t ; / u r & g t ; & l t ; / r e n t r y k e y & g t ; & l t ; r e n t r y v a l u e & g t ; & l t ; r l i s t & g t ; & l t ; r p o l y g o n s & g t ; & l t ; i d & g t ; 5 0 6 0 9 9 3 0 5 8 1 8 7 7 7 1 9 1 8 & l t ; / i d & g t ; & l t ; r i n g & g t ; p 6 - 1 4 0 w 4 t N z 1 8 p D w 6 l 5 6 m b p 8 7 v z j E 3 9 o k z _ E j g o 1 E x 7 k 0 v E w 9 0 y p _ H l 4 3 m p k J t 9 q r _ z C _ 3 - n w Q 0 w n 4 0 w C 1 5 p q 0 g D h 2 t y m _ D j 6 r 7 1 3 F k 6 n x 4 O k q u s - z B - q n n t 7 H h 2 q 7 F 4 v _ y H r y _ z N z 1 9 n E z x i s b w 7 3 r q B z 1 4 v B 2 1 8 s K k 7 0 z I o _ 6 y P t l y y R u h o - Z q w m o q I 1 x - n c k o w m w B 0 u k 7 W 7 _ 2 2 H 9 7 l 2 m B 2 x _ j v C 3 - k 6 I l 9 8 r G s o 8 p D z l 9 j X x 2 g j I 8 s 1 y F g 7 0 v C z - q n y C 3 6 0 y I 5 5 - g H 0 6 p n K k s _ 1 K r 2 8 w H v w p - L m h 6 t F 2 8 k u J v m _ - O w o x 4 E g j 8 p v F z u y p N u 2 n g X 5 - z 9 H s 0 z n L 3 q 5 j y B r w s y K v l l k l B 9 m u 3 z B - v z n O u l n 5 r B g o w - Z v o 7 z J j s k - H h m 5 j Y x 1 g s E q _ 9 i P q j l n J p 9 i l K m 2 t h b 5 - 1 4 G v l n s O u t k n F 3 m 3 5 K j v 3 s D l u s m E _ 5 t 3 M t s 9 t D h q z 9 L 6 4 m j q C i w 5 k I l 5 4 j D r 8 7 k c x l y 5 W 9 n 2 8 U k y 5 h L g x 1 z Q s _ z k d m s _ h D 8 u - l F s _ 4 q B x h j x P o q i 3 G q 1 q i L w 3 v s E r 8 _ 4 J - k 0 p J 2 2 0 m y C r t t r K _ j 0 v K 2 7 l g q C z r 2 j I k o 2 k L m 3 1 i z B x m h h N x 5 v 9 J m 7 s 1 _ C l s x 3 H p v 9 u W r j 1 e _ 2 w y E 8 0 t i I l 7 z 5 Z r l m 4 M n o m n I k u g 0 O 3 o v 2 G 0 w v 3 J l k 9 p G y n - 6 E 0 k q x W g q u s D p p _ 7 E _ 4 1 h P 6 t n o y E & l t ; / r i n g & g t ; & l t ; / r p o l y g o n s & g t ; & l t ; / r l i s t & g t ; & l t ; b b o x & g t ; M U L T I P O I N T   ( ( - 1 1 8 . 7 9 0 0 3   3 5 . 7 8 6 6 ) ,   ( - 1 1 5 . 6 4 8 2   3 7 . 4 6 4 8 3 ) ) & l t ; / b b o x & g t ; & l t ; / r e n t r y v a l u e & g t ; & l t ; / r e n t r y & g t ; & l t ; r e n t r y & g t ; & l t ; r e n t r y k e y & g t ; & l t ; l a t & g t ; 3 3 . 7 4 3 6 4 0 8 9 9 6 5 8 2 & l t ; / l a t & g t ; & l t ; l o n & g t ; - 1 1 5 . 9 9 3 7 2 1 0 0 8 3 0 1 & l t ; / l o n & g t ; & l t ; l o d & g t ; 0 & l t ; / l o d & g t ; & l t ; t y p e & g t ; A d m i n D i v i s i o n 2 & l t ; / t y p e & g t ; & l t ; l a n g & g t ; e n - U S & l t ; / l a n g & g t ; & l t ; u r & g t ; U S & l t ; / u r & g t ; & l t ; / r e n t r y k e y & g t ; & l t ; r e n t r y v a l u e & g t ; & l t ; r l i s t & g t ; & l t ; r p o l y g o n s & g t ; & l t ; i d & g t ; 5 0 7 3 4 6 2 6 5 4 2 3 6 8 8 5 0 0 4 & l t ; / i d & g t ; & l t ; r i n g & g t ; p 3 9 z j 8 x 6 2 M w r u 4 _ s M l r u y g D m n 2 6 z k H v m w j N g 6 i 7 q D _ 2 2 s X - s w z S 1 4 o k 2 B l m r y m B o l 9 5 K j t s l O 5 7 o j I k t n o H z t p m I 8 5 k x Q 2 z y w J v r q w E k 1 r 5 y B - v t 6 G v m - h W h k y _ L q r r 2 v C h _ _ x H z 7 s r G q 3 9 y m B t y t k F l p 3 k O _ j p r y B u s k j F s 5 t p E u z 5 4 p B i n x h C 6 q - m S k - x j Q q j i w v B - - o k C q y g z C y 5 2 p B 6 o x 1 C r 6 o k C 4 1 r x I z x v m L q v h 8 4 B y 9 r 3 0 s O m 3 p 8 q B 9 h h i h 1 k B w i - p x a z 1 1 o Q z 5 u t - L n r r 6 r O o t 6 l E x x _ y y N _ 3 w h E q q w w g U n 3 l 9 m B q z 1 y 7 C 9 s x q r B n v y 2 m B t 0 s 0 Z i q h 8 I 3 w 8 v D o k r 9 E z 4 y 8 2 K u 2 y u x C k k m z u B k r s 4 B 0 s 0 p g B u v q 4 z C 8 6 5 m 4 G w - t m n G s w 6 6 0 I m u 7 t Q - 3 s 8 0 M j p 4 q I 5 y i w u R h 4 o x F - _ j 8 o j D 4 v g r 2 I p p v r 3 y G & l t ; / r i n g & g t ; & l t ; / r p o l y g o n s & g t ; & l t ; / r l i s t & g t ; & l t ; b b o x & g t ; M U L T I P O I N T   ( ( - 1 1 7 . 6 7 6 3 7   3 3 . 4 2 5 8 8 ) ,   ( - 1 1 4 . 4 3 4 7 4   3 4 . 0 8 0 0 6 ) ) & l t ; / b b o x & g t ; & l t ; / r e n t r y v a l u e & g t ; & l t ; / r e n t r y & g t ; & l t ; r e n t r y & g t ; & l t ; r e n t r y k e y & g t ; & l t ; l a t & g t ; 3 4 . 8 4 1 4 3 8 2 9 3 4 5 7 & l t ; / l a t & g t ; & l t ; l o n & g t ; - 1 1 6 . 1 7 8 5 2 0 2 0 2 6 3 7 & l t ; / l o n & g t ; & l t ; l o d & g t ; 0 & l t ; / l o d & g t ; & l t ; t y p e & g t ; A d m i n D i v i s i o n 2 & l t ; / t y p e & g t ; & l t ; l a n g & g t ; e n - U S & l t ; / l a n g & g t ; & l t ; u r & g t ; U S & l t ; / u r & g t ; & l t ; / r e n t r y k e y & g t ; & l t ; r e n t r y v a l u e & g t ; & l t ; r l i s t & g t ; & l t ; r p o l y g o n s & g t ; & l t ; i d & g t ; 5 0 6 1 3 0 3 5 6 7 5 1 2 5 0 2 2 8 6 & l t ; / i d & g t ; & l t ; r i n g & g t ; l o 3 i o 7 4 3 h N g t x 9 E 4 w 8 v D 6 3 p 8 I u 0 s 0 Z m v y 2 m B _ s x q r B y 1 w z 7 C 7 r 3 9 m B i 9 3 y g U _ h r h E w x _ y y N o 0 0 l E o 1 n o y L p 0 w - 7 O 3 i h p Q v i - p x a x k 4 - z k D 9 w u i 5 t S _ n 8 8 q B 6 4 0 0 8 h E h q v j p m D t 4 y 0 4 B 2 6 u 7 y I 8 _ 2 u _ B u x o y c v t i 8 o B m i q h D u _ 7 _ i H 9 y w x C 6 9 k w S y 7 p 4 B j _ k 6 t B 4 x 4 x T v k 0 g v B 0 8 w 3 a g u 7 - S 8 r t t 3 C 0 5 h 6 V l k z 1 S m 1 3 4 b t h k j H t y l s g B l h t o E t n 7 j D j m 7 0 q D s 9 l u 7 C j s 7 h y B l _ 2 2 E r t p - l C 6 9 7 z Q 7 - u 0 F 5 o 2 2 y C t u o n I 0 _ w m D m 3 6 - 1 E v q p r o C l g 5 9 5 B s n s 7 2 D o _ q 0 l K 4 _ v y t o C l t - - j x F v 3 v r s h C l y o w 0 2 G 2 1 6 5 w E s _ k 1 E l t 6 z w i S 3 s h v u 0 P 3 n r q y E 0 l 5 g G q _ 6 4 Q 0 i _ - Y u v 8 r Q l y 2 - F q - 7 u y B k 0 _ y l h D z y o h l B y 4 0 - p O 2 i l w t T y j 2 j Y p w k y h d s _ m h m B 0 o i k B w 7 m - w G j n r r 5 S 6 s 9 i l P t j u 1 u U 6 r z 8 I w r 5 i B i 4 g y a 7 h h 1 G v q _ _ F 5 4 2 1 p B k y i i B k 4 m w B v j _ 8 D s 6 t 5 1 Y & l t ; / r i n g & g t ; & l t ; / r p o l y g o n s & g t ; & l t ; / r l i s t & g t ; & l t ; b b o x & g t ; M U L T I P O I N T   ( ( - 1 1 7 . 8 0 2 5 5   3 3 . 8 7 1 1 ) ,   ( - 1 1 4 . 1 3 0 8 3   3 5 . 8 0 9 3 ) ) & l t ; / b b o x & g t ; & l t ; / r e n t r y v a l u e & g t ; & l t ; / r e n t r y & g t ; & l t ; r e n t r y & g t ; & l t ; r e n t r y k e y & g t ; & l t ; l a t & g t ; 3 7 . 5 5 9 3 2 6 1 7 1 8 7 5 & l t ; / l a t & g t ; & l t ; l o n & g t ; - 1 2 0 . 9 9 7 6 6 5 4 0 5 2 7 3 & l t ; / l o n & g t ; & l t ; l o d & g t ; 0 & l t ; / l o d & g t ; & l t ; t y p e & g t ; A d m i n D i v i s i o n 2 & l t ; / t y p e & g t ; & l t ; l a n g & g t ; e n - U S & l t ; / l a n g & g t ; & l t ; u r & g t ; U S & l t ; / u r & g t ; & l t ; / r e n t r y k e y & g t ; & l t ; r e n t r y v a l u e & g t ; & l t ; r l i s t & g t ; & l t ; r p o l y g o n s & g t ; & l t ; i d & g t ; 5 0 5 8 0 8 0 2 8 0 6 9 1 0 8 1 2 2 8 & l t ; / i d & g t ; & l t ; r i n g & g t ; r 8 - g o 6 x l o O k - i 8 s z B 1 r w v u T o y _ P i 6 h c n i 4 L m 8 - r D - z p Y _ - - G j i q k B m g o q B w 5 m J 1 1 l F g s _ B 4 t 8 O x i z t B 3 y t M r 6 2 k B k m 2 D i w t j B v r y U h n u L 8 q g W 7 i o m B h x 8 4 B v o 8 m y C 5 p p u b k z 3 l B i 7 h N 7 v 2 s O z k r v d u 1 s Q i h q z p w C t g p r 9 I 6 0 g w r F p 7 h k h C m 2 u t i o C u z m q K r - 4 3 v F u l x t a z x v w 5 G t w w - Z n l - 0 u G 7 p g y z C j y _ u 7 C m x z i t F x 0 0 _ h H n w y h 0 E l g 2 2 i E 1 3 w l j B g 8 6 e 3 k m L z z 1 H 3 i 7 U 1 3 0 l C v 2 q n H x z u c - t y 9 D s k y v O 5 h 1 1 G s q 4 O p _ j - B - n r s B 1 3 8 J x 2 0 X 6 _ n J o r - I 3 i v T t q 2 I 6 5 j W 2 z j J 1 0 t Q v 3 6 j L u o n G u w g 9 B 2 w i U p g w e g o 9 E p r l e m 2 _ P 8 j - J w y 0 G o x i F 3 k l e 0 q r J o x 0 E i - 1 L k 0 _ J j q w P k k i L y v 6 K h 2 9 b 3 7 u O t 0 9 I 9 v u 7 B y y - M 8 4 p t B h j j d l x 6 s B 7 z 0 D - 6 x L - 3 x U x n o S r j u F u 5 i u C 6 q n g E o i l G i 4 1 M p - j D p 8 _ D y 6 x C z 6 i O j r 9 K n 9 k Q q q t e w 5 3 J y 5 1 M 9 1 g E i 8 0 l B o v 3 - B o n 7 K i l i G g l 1 N i l r P s q r H 2 3 k G 0 8 5 J y k u B q y 0 g B 3 z m E _ q _ Q x 5 i d y m l r E y k w O i 6 t D 7 2 w C 1 m z d - w z D z q z 9 B _ x 4 U g p y J s l n o C m n s T _ x 0 H n 4 9 L j j t t B t z 9 H x 3 p d 7 9 4 4 B k s 9 E - 9 2 5 D g y 9 F 3 6 1 n B w k 8 d u m x l D q - i 1 p E n g q u I w l 7 n b z 0 k k 2 s B z 2 p K 0 z x l C y 6 8 H t m - 5 C t h k 2 C 2 i 0 s B 4 9 j 1 B u 6 v H x 3 8 O 1 s o z D 0 l 5 y F 2 4 1 a _ _ v O 0 v r j E i q j I z w 4 j F z v g Z 6 4 t S j 0 4 K 7 2 _ V 7 g x Y 6 x 7 n F x v k r R r t 4 Q i n 1 d w y v x C 8 0 5 n E 2 h 1 M _ 4 4 R 9 w 7 p C 8 0 3 t B h u k z M w j - P q z g H m s q D - 6 9 r H 0 h 8 7 H 3 4 k s B l 2 s M p y 7 H 4 8 8 s E y i q v C s u m v B 4 p k O 8 _ o 7 B n 4 s K o i w D v l j l C z 3 k 8 C s y _ f s r x j B i - w c p 4 m 8 F 1 6 5 E z 1 3 o D j _ y h B i t 6 Q 5 l 8 I 4 - x t E 0 9 x p B i j 7 k B s s 7 - C q t n p D 2 h 5 j B x p t T n m 6 e - w y J p _ 4 P 4 o 8 w B y _ t _ E g o 7 M 5 h v X 4 8 9 p B j 7 3 O x 3 y q B r l 7 i B s s 1 R k z x V 6 z l n G 9 y i U w n u q C n t 1 M w 1 z a s p - d 8 p k _ B j v z L r 9 h Y 2 9 4 5 B x w 1 D t i 0 u B y 3 g j F l n h H k 9 r h C m t 9 O 3 y _ U u i q 6 C h h x T 5 m 2 F k 9 9 i B q 4 u C l 1 o O 8 l t E k l j z B h q m k B u z l U _ i k j H y v l h O r - h p J 1 4 5 j C & l t ; / r i n g & g t ; & l t ; / r p o l y g o n s & g t ; & l t ; / r l i s t & g t ; & l t ; b b o x & g t ; M U L T I P O I N T   ( ( - 1 2 1 . 4 8 6 7 8   3 7 . 1 3 4 5 4 ) ,   ( - 1 2 0 . 3 8 7 7 3   3 8 . 0 7 7 5 1 ) ) & l t ; / b b o x & g t ; & l t ; / r e n t r y v a l u e & g t ; & l t ; / r e n t r y & g t ; & l t ; r e n t r y & g t ; & l t ; r e n t r y k e y & g t ; & l t ; l a t & g t ; 3 6 . 2 1 7 1 4 7 8 2 7 1 4 8 4 & l t ; / l a t & g t ; & l t ; l o n & g t ; - 1 2 1 . 2 3 9 0 1 3 6 7 1 8 7 5 & l t ; / l o n & g t ; & l t ; l o d & g t ; 0 & l t ; / l o d & g t ; & l t ; t y p e & g t ; A d m i n D i v i s i o n 2 & l t ; / t y p e & g t ; & l t ; l a n g & g t ; e n - U S & l t ; / l a n g & g t ; & l t ; u r & g t ; U S & l t ; / u r & g t ; & l t ; / r e n t r y k e y & g t ; & l t ; r e n t r y v a l u e & g t ; & l t ; r l i s t & g t ; & l t ; r p o l y g o n s & g t ; & l t ; i d & g t ; 5 0 5 8 8 1 8 2 5 8 7 6 5 8 7 3 1 6 5 & l t ; / i d & g t ; & l t ; r i n g & g t ; 0 i r i u y 2 1 o O 7 g z B l 5 Z z 9 N g l h D & l t ; / r i n g & g t ; & l t ; / r p o l y g o n s & g t ; & l t ; r p o l y g o n s & g t ; & l t ; i d & g t ; 5 0 5 9 3 3 7 1 9 3 8 9 4 4 4 5 0 7 4 & l t ; / i d & g t ; & l t ; r i n g & g t ; s t r 2 i n w 1 6 N q x 9 R 4 y 3 T n 3 v b t 8 s I m x 3 F t _ h Q _ 5 4 c p o 5 z B i s o k H _ 6 8 d l m w Z 6 g o E h k 0 g C z p n 1 G q _ z Z 2 z x v B 0 i p I g s u I 5 g q q C g 2 7 j B _ n q m B u v 7 1 C _ g g V x s 2 6 C v h - 6 y B v _ _ m C - w 2 _ H t x 5 h E h _ 4 i B - 3 i Z g z h K m g l 0 F 7 k 2 c v t m P n x r c 2 o g R - i 9 i D o w 3 O 2 v 9 m C 8 r 5 t B t g l n B t j o f r j i m W u z v U 3 3 i o L u k 2 8 D t 6 6 7 D m 3 x H 4 - - 0 C 9 s 9 y G g r 3 I 2 z w r E s m u N z m i Z n 3 3 3 C g p k H y m i n B k 3 u W h y 8 T _ v q K t 9 l U k - h b 3 8 u k D h l o Y q k i B q 9 4 G 8 j 6 F m j v P 4 8 u X i k j a t v m E u p 6 Y v 1 i N 5 8 j p B 1 4 7 1 D o h p H 5 0 5 4 D 8 r o 1 D - g v d r 1 x E 9 8 s i B 8 0 u r C h n 0 q U 9 s 4 C n 8 n F 7 q h W w 3 g E 5 u 1 t B g 0 3 q C x w - F r j _ K w t 0 g K z 7 j p B 7 p 0 L k p 9 F 6 l q G x 6 6 H 1 y 5 4 D q s k 7 C x 2 y F z h 7 V k 1 w 9 B x _ 2 K 6 p p h B v r _ P u z q g B 3 k _ S p 8 7 O w v 7 9 C 0 y v x E o j u b u 2 n Y o i n o F 0 q o W j i v B 5 4 y 5 B o r 3 V 3 9 w 9 C i 0 g Q r 1 r q B p s 6 m B l i i L v j j N h z j M u g 8 t E w 2 i S 4 u w i D r 7 j 3 D s 6 o 9 B l 9 q h B _ 1 x d 9 y i 0 D o g o P 4 y 8 G x 3 o w C p 8 2 k C y 2 r 6 D q 4 o W w n x P k l - Z 0 o 4 H x r k S z 5 3 n B x 4 w H y 3 0 C z 5 z g B 8 9 7 b z p m y P 1 n n L r 2 3 I 8 k - 0 C p 5 w H 8 u n U t 7 0 9 B j g 9 r T t h z H i g 3 P t 4 w X h j 2 Y 3 k s U l t n v D l n n _ D m 9 - z B 0 6 8 _ B t r k 7 C g n q K w g i w D 6 u x S h l y t B 4 1 n - C _ m q P 4 2 k 1 C q 7 8 s B i q u s C o v g o B k m i w B j k m D _ u y p B o v 2 l B _ t n p B 2 0 j H i y k H 1 r l o D y i h 0 B 5 q 7 R q m l X g l l J 1 0 g L - k - q B r l x N q 6 g J z v v I 1 x 0 h C y p 5 H o p t W 0 g 5 G l 1 q F 2 z s c t 5 1 h B h j 5 N m j - Q u 6 l L m r j N v 5 2 O 3 t o J 5 9 2 R x p u Q k 5 - S l j o m B 1 2 y K 4 y 1 J q w p Z n 4 - a i 9 r R 9 9 q I r h t L l y j E 1 6 1 Q 9 k u H 5 j i H i k 1 I 7 - z s B k z g J 3 z 9 G g 2 k P s 3 m z B m 5 9 k B 5 n 2 G 4 x l Y 1 4 w u B 4 l s G o n s P n k n i B g n z L p z 1 P w j u M i - 9 F i k t 1 B 8 h g g I 6 k n b 3 v t C 1 2 _ M q _ h c q q j q C u r p t B k j - j B 5 w 3 M 6 t x J q i _ y B 6 6 0 b y z 1 L n 0 p R 7 o 6 H v q 0 L u 5 - r I 6 - k K t z 5 g B k t r R g v x C x _ 6 x F l x t R 3 k 8 9 B 5 r x I u 3 s p B m w 1 9 B y s w t B u s h F 5 4 k r B 9 q 6 t B - 0 8 f 6 t - W _ s z h B 9 0 9 m D 9 9 t Q 0 4 h a 5 8 x M k 0 q l B p y g d - k 6 P v 3 3 x B l m 3 E z 9 x U k o g q 2 B 0 _ k q m u B s q 7 z C u 8 z 0 H 2 t y v D q p y D 8 3 j H p 3 3 M w j 3 Q 1 9 i k B v y g K g r s M n 9 j K l x w u B 1 3 q M 4 o h 8 C j 5 u 0 B x 8 j _ B g s s O x h r H g y 7 O 6 3 h O 8 k 8 - C z 7 q n B 6 o _ Y 2 5 h d - x - K u - 5 V 3 s 7 N i 7 w V h 4 h g D 8 y 2 1 B t k 5 G j 8 z K g l h Z 1 z u P i n h P o 6 o E 0 7 r 3 D y 5 u w G - s 4 N r r 7 k B w s k 6 B l y 9 H 9 y n i B w 4 4 8 B 5 3 v c k m 1 J 4 8 w f w 4 u q B 0 3 p T 7 6 k K l 8 i Q t r z 7 C r p 2 S n - o t C n l 4 Z 9 9 m N g q z T 6 8 k z L o 0 h 5 H s o i S 8 t x Q 8 1 - w C r t _ P v t 2 C m x h x K 0 t 5 0 E 9 7 i 3 D 6 4 s F z y p c t _ y b l - j c p 3 l l L o q v g C 8 4 k w C w y - _ G 4 y y k C 5 0 r - B j i r W u t 3 7 B w t t R n y t J h k 9 V q 1 - f w 1 k H p v k Y 2 g w H g - p 8 B 3 s - I 5 p p i L 8 z z 0 B h 7 q F n o r Q p 2 8 U m p m r C x q n C 7 3 2 H 0 v 7 F - p 3 J y p s q C w 6 m P r t t l B 9 2 i P r j r Y _ 4 1 r B r p r a w z j x D x 5 3 g B p z x P 9 i j O 5 n q 1 6 E s s x h l E 8 v 4 k V t 0 z l k B r _ 2 K u n n g B 9 v k 6 E 8 l x R s _ w f 3 q m D l u h P n q 8 N y r q n B 5 y h W o - k K 0 - x J 5 2 y D k 3 i Q 1 r 4 m L t - 7 g C u 7 k j E _ u t r B l l 0 M 6 y m F k u z w B u g q a p h 7 D 7 g x r F h 2 s 0 B 0 r x z C v u x E y y g C 6 9 t B s 4 r L k j _ 9 B 0 n g j C 0 m n 2 G 6 k _ h J j s 4 c 8 i x l C 5 j r 1 B t o s 1 E n 3 8 u B q o 2 4 C n w 0 s D l o 7 t G j z z u 6 B t _ s t C 3 z n S k n 3 g l C p s 0 o k B n o x h n B m y 1 4 M r w u 2 M t g q j c 1 h 2 k S 8 p 5 x D n q _ z D z h m U y 5 0 K q u 7 J r g v G o u 4 E 9 - m R j w 1 L t w j O l i 9 m H 7 q 9 W 4 o n b s v k N 4 7 k F g 2 i s B l z _ p B 4 j x w D 9 y 9 g B u r r T 3 g n J y 2 t E n n 4 r B 1 j p N z s - z D y - 8 s B 5 j l j D l q 4 P p i x 1 B z 2 0 G y k h S w s i U t _ z c h k t J p 4 0 N _ x w B 1 j p s C 9 - l D - 2 7 K 6 5 q F m i k d 7 8 v n E j j t T - k 7 F 9 3 r b 8 y q e _ 7 5 F 5 p s H 6 k u H v z H - l j B t p y L 4 n c 2 5 s z D _ n v w B 0 4 x h B t o o U k 4 0 C g 1 z K 3 - w u E _ 6 9 T v z t 0 B n s 5 F x 1 m L v s 4 G t k 8 C l 2 p L 6 v s V 8 r 9 N k j - V y 6 9 D n u k H r g 3 D m s t l B g 0 5 G p n 6 B j w 1 U g k z E j s t W _ 7 v a l 8 t G p k q E k _ t D 1 p k t B 2 8 k G z z l G 8 4 3 C z u i D 4 - q a y m z j D w - 1 L w t 6 D _ 5 9 F 8 p s K - 5 v r B x l 0 Z 0 0 3 j B x - q q D n x 7 p C v w - T 7 n 7 V v 7 s L g j 8 C 4 u o G 4 q 0 g C h 7 n D n 7 w C m k r o B t 0 n Y y 0 4 x B u 4 9 0 C k q 4 F n t k N 4 0 t E v o t B z u h q B i 4 w T 1 l 6 L r x 3 D 1 v j f y j x G s _ 5 P v h 1 P 5 r q y B y 0 o D r w _ N i 6 7 a t 8 - J _ t n E l z 8 G 9 7 y N h 9 p f k _ v x C 8 2 s m S _ n u u C o h r Y l o v H 9 g 7 _ B w q 2 _ C o _ w K v n 5 Z p l y N l q 8 u D r 2 8 j E h o t F o 4 q h B 1 u n 1 B 7 k g h C i i - L - p 9 B 1 j 0 E n _ t F l 7 r t C 5 6 8 g D r 5 h m L h 9 7 W r 9 u I z t x s C o 0 t l B y - j c 1 9 x 0 F i 2 j S 4 o 8 n B 2 9 x w C r w 0 p B n t 0 q B 8 9 3 7 H 0 p 7 i J 9 r 0 q B q 0 8 0 B 5 5 2 L 6 n n i B o n q P q t s 4 G 0 2 n J g 2 3 l C 2 v k G 9 o x j C i 2 q z B n r t F 8 u r C 9 r _ Z n u h D r 3 n 1 D y j v l C x l w L - n i L 6 y j F n _ t l M u n r a p k 8 l D u 7 s y D m h l j B z k - n C m 3 7 k B t q p s D j 1 i E v y r l C 4 h - w E q q 6 o I 7 5 o W 7 j - 2 I l j w r B 8 u i Z 9 3 - Z 6 p 3 r G p r 7 k M m 3 p 5 B _ n 4 3 D x 5 r q C h l t W 3 q r 6 B j 0 z 8 F 6 8 r C u q 2 j B h 9 1 l E w l 6 4 H m - 8 j B 1 v 8 n E i t 9 K 5 p m h M l _ u J 3 z y R u z s S 4 5 i Z 1 9 z d n 5 6 9 C x o w S h 3 r i B 1 j 1 K k - j M 0 9 3 F o 9 w t G l v 9 Q k y k o B i n 9 e 6 k 5 L 3 t 7 J y 0 h E z g x U 2 p g 6 B n l 6 8 D 3 i 1 6 W l r 8 0 D m 7 7 m G x j r t J v 5 y u D _ 7 9 x O s m 9 F 7 p _ k E 9 p _ r G t 6 9 1 B i _ 2 4 i C 5 u o p 0 q C z 7 1 9 r q C 2 j g 1 7 j C - i n h F 4 i 7 g K & l t ; / r i n g & g t ; & l t ; / r p o l y g o n s & g t ; & l t ; / r l i s t & g t ; & l t ; b b o x & g t ; M U L T I P O I N T   ( ( - 1 2 1 . 9 7 8 8 2   3 5 . 7 8 8 5 8 ) ,   ( - 1 2 0 . 2 1 1 9   3 6 . 9 1 9 7 5 ) ) & l t ; / b b o x & g t ; & l t ; / r e n t r y v a l u e & g t ; & l t ; / r e n t r y & g t ; & l t ; r e n t r y & g t ; & l t ; r e n t r y k e y & g t ; & l t ; l a t & g t ; 3 7 . 5 8 1 4 7 0 4 8 9 5 0 2 & l t ; / l a t & g t ; & l t ; l o n & g t ; - 1 1 9 . 9 0 5 4 4 8 9 1 3 5 7 4 & l t ; / l o n & g t ; & l t ; l o d & g t ; 0 & l t ; / l o d & g t ; & l t ; t y p e & g t ; A d m i n D i v i s i o n 2 & l t ; / t y p e & g t ; & l t ; l a n g & g t ; e n - U S & l t ; / l a n g & g t ; & l t ; u r & g t ; U S & l t ; / u r & g t ; & l t ; / r e n t r y k e y & g t ; & l t ; r e n t r y v a l u e & g t ; & l t ; r l i s t & g t ; & l t ; r p o l y g o n s & g t ; & l t ; i d & g t ; 5 0 5 8 4 9 4 9 3 3 5 4 3 9 4 4 2 0 6 & l t ; / i d & g t ; & l t ; r i n g & g t ; v 2 o y 9 z 1 2 h O 4 _ l k r U 6 r m 6 7 I 3 z n i r c 0 9 l 6 o H g q z 3 k B l v r q Z w x j j T 1 n 7 G l q 0 g W 5 h 0 j 2 C p r p y t F k y 9 q W z s _ p 8 u C k h - G 3 4 o l B 0 v o W g 6 o j B - j p E y 2 s 4 B n u t j C v x g Q u g 9 0 D g w 8 a _ 2 1 m B 0 r p s B g x - r F w 4 5 x P l i 0 Y 6 x 6 N v p g F 1 - 5 K 0 l m p B 8 0 3 h C s 8 9 r C t l t E u _ h K z 4 k o C 0 8 2 1 B 5 x o p B x 4 9 7 B v 8 s y D k 5 0 l B 9 9 k E 1 u z 8 B z u 9 I h q u r B r 2 7 H n u p R j y 5 S t i 1 G 0 4 o l C 8 n 3 e g 4 i Q h v w 2 C g w j a 2 o 1 U r t 1 a 3 2 h 1 B r k j u F 0 v p g D 8 l 2 l E 0 w l n C x x s i C 6 r x R l 6 7 L x 8 s X 9 q l F j h 9 n L p 4 m K u h k u B x 7 k 7 D h 8 y 3 B i 6 5 q B u t 0 E y p k L k o 7 i B 3 j y W 4 k r _ M p v h g E 8 n m b t l r E n y 1 p B i x k u C n 5 g k B h y 8 f 8 8 9 h C h - k f x r 0 L i 6 h i D i j - 2 B q m 3 k C s k x t D 0 l 7 d m 5 y 1 E m j - h E j 8 y b 5 y l H 5 y 0 0 G l o z K w 2 s 0 C 3 k 1 u B o s 1 i D w q 7 l C _ t v 8 B 8 2 t h C s n 1 w C 0 v t _ B m 4 l Y j v 3 U 9 x p e 7 r 6 F s 1 0 J v l g H i h 7 c 0 l v m B 7 s t c 7 p 8 o B x w y y B 8 k u Z 7 o 3 E 5 9 q o B j p q h B z s g E w j v v B n w 2 X s 3 n t D j 5 z N z t n c 6 _ z O 2 o h L - q 0 L s q x J g r k l B v u x q B i k u 2 C q n y v C z z x y B z l j d v _ q s B m x 5 H 2 r 7 l C g o m j B 8 x 8 H r 7 7 U l v 4 z B 0 9 l 3 E n s 7 q E 3 l y r B 5 2 t l B r 3 2 K _ 4 - C p 3 0 r N w 0 n _ B k 4 5 M l g y q f s x r z X h o t V i s k k B 0 l x O - i m s B v z - U 4 5 g p B w 5 9 r E w r 4 K z y j b i - i 1 H m g h m B z w t H 0 v 7 a z y w n B j w 4 X 1 3 5 e p j t C i h - Q 9 x 7 0 B i r j E 6 9 t r E h - t O 9 t h k B 0 7 x L 2 4 q P y 5 4 f 0 k x g F n 7 - w F u j u s B p g q 3 H - 0 m N 3 z k 3 B i x r N 6 q p H 7 l 2 Y n _ k a x _ i j C m g k g C n 4 6 i D p s 6 D n 2 i N y n q M p o p M k j z Q 4 x h t F r 6 y H r 4 x Y 2 h 6 D 4 v j T n w t i B k 1 i J 3 9 t P k 9 x D v i r f 2 w 9 K z 6 j G 7 u m 2 C s q x c 2 2 l c v m g V 7 s 4 S v - 9 1 B x y g I p j p o I k o s p D i j m 1 B t j r 0 B 9 g n g B p p t t D r y 7 h C q 2 0 H q h v y B q u l 1 D 7 k 7 R v 6 7 L s r 9 R v 2 m O k _ 1 l B - y 8 K m l t 0 D s g g P 5 3 z X w - y R g - 9 4 C 6 w v y G 3 y i I w n 1 o W 8 y 5 q B s u - 2 B l n u O 1 m 3 u G - n h 2 B k i r 0 B w 0 1 j D 7 m 7 X g t k n E v w 7 L 5 g p p B 3 x p 2 C 5 1 t R h _ q q B 5 j t L 8 _ p k C o _ r a 2 h w I 0 4 x D - v 0 Q q v n C 4 z 0 K 7 i w P 9 p w G q 6 5 P g 5 9 h E - w o T 4 - 7 h B - h z y F v g o D l 2 9 q B h u 3 L 2 5 i p N p 2 4 i t O 6 9 w u B n s 5 y B 1 6 2 p D 9 i g k I 0 8 1 W s z w t C w - i 0 M r j m 5 B 7 u s z I 5 0 6 t B u 3 2 i C 2 g m r B 8 3 5 l B m q i R m 8 8 1 L z w 4 9 R w t s w D t 7 h 2 Q n 0 o i j B t w w i Z l - 6 k L i 5 k i C o 1 r n B t 8 z x E n 7 g h I g z t q F u h p u o B i 8 2 8 2 B g h _ l G r q 9 y k B x v 4 t B p x y _ D 6 t r 1 B & l t ; / r i n g & g t ; & l t ; / r p o l y g o n s & g t ; & l t ; / r l i s t & g t ; & l t ; b b o x & g t ; M U L T I P O I N T   ( ( - 1 2 0 . 3 9 5 4 5   3 7 . 1 8 2 9 9 ) ,   ( - 1 1 9 . 3 0 7 2 7   3 7 . 9 0 4 1 3 ) ) & l t ; / b b o x & g t ; & l t ; / r e n t r y v a l u e & g t ; & l t ; / r e n t r y & g t ; & l t ; r e n t r y & g t ; & l t ; r e n t r y k e y & g t ; & l t ; l a t & g t ; 3 9 . 5 9 8 2 8 1 8 6 0 3 5 1 6 & l t ; / l a t & g t ; & l t ; l o n & g t ; - 1 2 2 . 3 9 2 3 8 7 3 9 0 1 3 7 & l t ; / l o n & g t ; & l t ; l o d & g t ; 0 & l t ; / l o d & g t ; & l t ; t y p e & g t ; A d m i n D i v i s i o n 2 & l t ; / t y p e & g t ; & l t ; l a n g & g t ; e n - U S & l t ; / l a n g & g t ; & l t ; u r & g t ; U S & l t ; / u r & g t ; & l t ; / r e n t r y k e y & g t ; & l t ; r e n t r y v a l u e & g t ; & l t ; r l i s t & g t ; & l t ; r p o l y g o n s & g t ; & l t ; i d & g t ; 5 0 5 4 5 7 8 0 9 4 9 8 4 1 3 4 6 6 8 & l t ; / i d & g t ; & l t ; r i n g & g t ; v 1 x w z z _ 7 9 O p o 7 a 7 w r k K i 2 t 2 q F m p x g m N x m i 7 7 E 7 h m s _ Z 4 y 9 p Q 1 0 r p 4 J v s 3 y G x 0 l X w x v v D 4 l s H p j 9 m G x - 4 9 h B 4 u 5 1 l C y n k 1 G 2 j 8 j C r z w K - j v 9 B 2 g 5 c g n p F 6 m x C 2 i z K _ 3 1 K p k 8 L 8 8 y K q p r g B p n - I 0 s 4 i B y g y R r - _ M 4 n 1 o B _ _ - H 4 - 8 G k j x r B s 8 - D g 7 o g C x n k G i u u 6 B p i l d l u y j F 3 s 0 K m 9 k t B s z v t E r 2 7 - H m 1 9 E 8 7 u a l k j N t s 2 l 4 E 8 7 w v Z h k m F h y i N - 4 0 j B k u i G n - p z B l 5 k q B 0 s m z L g 0 s N 0 p s L _ k m G h 5 9 f j 8 z J 4 6 z S p g 4 B y x l G t o H g t 3 g C 0 x n S w l s L n k l 9 G 6 0 u q E 9 _ h z G 1 6 _ _ C q v 9 q B 8 - k r E o u v 1 B 6 1 y U q 4 q i C n 8 - x B 4 x t U o 4 4 a l 7 0 O 8 s r i B i 6 i g E r - 5 c 4 z l z F t 3 i x B y 2 z j B r q h V 4 0 z k B x 6 g H i _ 4 i B r - n l F s 5 _ i E r 7 j R m 2 v o B p u 2 b 5 t k 1 D t u w c o - - n G q 7 4 7 D x o j w C - g 4 J u i 4 P m 0 k L i w s h B 8 9 0 v B m h m q B 1 r u w B 8 z g U x t k u B v 1 6 m B t 3 p o E - i l l B i v t a w h 6 s J g 2 q 4 N k 8 5 x P i j g J _ w 4 4 K 6 - 8 I w 3 7 X w q 7 s H 7 w w 4 m 1 B p y g y h q C h k 4 0 s M t _ j r i G v q v 2 x B _ n y i N o 9 j y I w t w 2 F - l n v H y 1 l 4 0 E w t u x F 3 u z s T j k 7 p s B k y 2 5 B q - 8 9 D 3 3 h - n B m n 9 r b h q 5 0 - B q g m 9 U s l s s R m y 6 2 f 6 y x 8 S 2 s z m K k q 9 u b & l t ; / r i n g & g t ; & l t ; / r p o l y g o n s & g t ; & l t ; / r l i s t & g t ; & l t ; b b o x & g t ; M U L T I P O I N T   ( ( - 1 2 2 . 9 3 8 2 7   3 9 . 3 8 2 9 4 ) ,   ( - 1 2 1 . 8 5 6 4   3 9 . 8 0 0 5 6 ) ) & l t ; / b b o x & g t ; & l t ; / r e n t r y v a l u e & g t ; & l t ; / r e n t r y & g t ; & l t ; r e n t r y & g t ; & l t ; r e n t r y k e y & g t ; & l t ; l a t & g t ; 3 8 . 7 7 8 7 1 3 2 2 6 3 1 8 4 & l t ; / l a t & g t ; & l t ; l o n & g t ; - 1 2 0 . 5 2 4 4 7 5 0 9 7 6 5 6 & l t ; / l o n & g t ; & l t ; l o d & g t ; 0 & l t ; / l o d & g t ; & l t ; t y p e & g t ; A d m i n D i v i s i o n 2 & l t ; / t y p e & g t ; & l t ; l a n g & g t ; e n - U S & l t ; / l a n g & g t ; & l t ; u r & g t ; U S & l t ; / u r & g t ; & l t ; / r e n t r y k e y & g t ; & l t ; r e n t r y v a l u e & g t ; & l t ; r l i s t & g t ; & l t ; r p o l y g o n s & g t ; & l t ; i d & g t ; 5 0 5 8 1 8 0 0 9 5 0 4 3 1 7 4 4 1 4 & l t ; / i d & g t ; & l t ; r i n g & g t ; q l 0 n 5 x y v s O - o 3 7 E 0 4 4 i B q w 1 X j 1 r 1 W 4 y q m D l o i 8 D z q 1 k N - 5 p t C 3 6 g m B t - 0 4 B 8 1 j 9 R g 3 - t D o w y 8 B 9 u k i B i 3 _ g D r 4 l x C n q 2 p F 9 6 y z B h r - u B v o 3 d 5 z 4 6 C w h s 1 D 1 n v 1 C t m p 8 G s g v j B h 5 u S g s j j D u s 8 2 G n 9 m i C h g 7 5 M j t s 6 F i o p R 6 q m 0 C 8 7 s l E l 5 l 1 C g r 4 I p 7 g Y l u i f 1 8 _ u B r x t h D k s i k C k 4 3 q F 9 3 r h B v h j M w u 8 J z r m x B t k 8 i B _ 3 t R q v t H q o 4 b u 7 t W h v m 9 B 2 j 4 z B 1 t o j D p 0 7 t C 8 4 8 6 B l - h b 3 o 8 p H h o _ o B n x z n B o 8 6 w B s 6 o h B 2 m k e 3 s u h D y i _ k D j p z O g p 4 g B 5 v 9 4 H - _ r j B p v o 9 B n 2 q d q 4 v p E 7 6 y m C x 8 w l v T r m 6 0 J 6 k _ H w i q 8 F 6 x s b u 0 p h B 2 j 3 q C 4 1 k - C x y h k F g 1 n b n u i V u u v s G 5 n g v C 2 7 g u D r 6 2 e p s 0 q B x 5 q 2 E n x q M _ 2 x 4 B m y g X z _ w N l 8 m 0 B s 6 1 p B n w w w B p 7 3 2 B y 3 - E i x q H - 9 3 Z 7 i r p B 9 6 _ H - g 6 - D i q l O w m l 8 J z j j W q l 5 w 4 P l m k x L 0 _ p h n B s o 8 y 7 L w t g e y m l 5 B h j w i E q r 9 5 C 3 y _ l C r j h 4 E o l l k B x m l r w B j p 3 U 6 u 7 g B 4 i s s 9 C h 3 p l H 0 n y g K x 7 x 4 5 E - x j p C t 3 k 3 B j 5 n 2 B 4 q w c o x 9 Z r s q v B l m r 0 B l g u t C q j u 4 B o o y 4 D v s u d 3 z o M v r x 4 B j g j n B t n g l B 7 r z k B _ 1 r c u 0 p q C 1 7 s 0 B y w g S s 7 n R 6 q 1 4 C o h 1 R v k 6 o D m o h k C r n 0 w B 9 2 - V u s o 3 B 3 - 6 G z 1 3 g B s z l L t l h R _ 1 0 z B w v g X w _ 7 g B g n z K y - s C 8 y l D u 7 _ J j t 9 W t z 4 T 6 n y M q 4 n 3 B k 4 o - D g o g 7 B t 2 o 2 C h h u 2 B 8 m s d 0 h h M 5 r x q B 9 v g J p 8 i Z p - n S 9 8 l m B _ r m x B 0 - l O - z h v E z n x k B 7 g j Q q p h j C z y - W g 5 w O t h o u B 4 0 g 5 E 6 5 x x C k l o W 4 h 3 w C r _ t l B v 6 2 p C o j z 5 B i - 5 L 0 1 6 K 0 n o U q z i W 1 j h n B p z m J 8 0 x a 5 7 k j B 5 k - N z 1 2 J v 3 - B y t 4 N x w l C t h w h B r r 0 H i 4 0 I w l p D 9 g 0 l I m x _ 3 B 9 0 l i B o i w t B h 8 p K 7 2 7 R w 7 w l C 4 l l J r 1 9 Q p 2 t 2 B n l p p B w l 4 8 B 8 h z f l 1 5 a g x h O o 3 5 R t _ z 9 B w q 9 v E _ - y w C o i m h B i 4 s o B g i z S 4 j v v J 2 i 2 1 B 6 s _ n H q v p g E 4 0 - v E 9 n o t F v q 9 Q x g g z B i 2 h 5 F 3 n c i 2 p E m i r M g m v 4 B m 6 6 q B u o x 3 D t 9 g W 5 5 i p B n m n m F y 4 m N n 3 k 7 D v y k h B s q 5 L s 3 x S k 3 q t B q 0 8 4 H q i v 4 B l 6 9 x C 7 - h s G 4 l l E h 2 h h B p l g k B _ x 1 y I h s 1 G v - 0 2 J 5 4 j Y p 0 m 2 C 4 - 2 1 C w 0 o L y k g M t 4 6 l F x n 9 x I o 3 5 2 B p _ x s C j j l U g m r 7 C w r 2 4 B 9 k p 1 C o g l k B 4 2 5 n B 6 g y Z i g x b n q 0 g I 3 u h z C r t q s D 2 z w k B o g r I p 0 0 o J _ 9 1 d p k 3 m I s s 8 Z k 1 m h E v u g 8 D l i t 4 C 5 q k q 1 C q j v k X 6 p i G 5 4 h c v 4 o t 3 B 3 v 7 u v L z 3 6 v B u 7 x g C 5 9 7 D 5 0 m h B 8 6 g Q m 8 0 S m n - z C g g i 4 B g - 3 x B o p p a k w g 5 B 3 r j W h 2 4 u B h l 4 t B x j v g B 6 g x r B p n 8 G k x o H t x n D 0 j v V r i 3 d i 0 0 b u z g J q 5 m L 4 x t j D r 6 5 Y v v j H 1 y 2 _ B i 0 w m C h p _ G r o - V 0 2 4 H z l k h D y y q y B w m r s B _ 4 9 O 0 r 4 G 2 0 l J 1 v 7 W 2 t w j B 6 x - v B h t p Z _ u i S 2 u z 0 B - s 9 N 8 7 g u B 2 9 j g C x k n r B j i j f n _ m V - h u q B 0 i y l B o u m K w 9 9 J s z q J 2 3 7 Y l 5 r B 5 x o R 2 7 n F g g 3 r B 4 g x G r 6 r P 8 k 2 h B p t _ 3 B 8 v n q C 1 7 r n C y g q n C r y l c o o v E g 2 q I m q k I r m x t B _ g i Q v p t r B o 7 w x B g 9 s v D q k k 4 D 3 i - H 6 p u 0 B u j 1 m D 8 8 7 w B m 0 w p E 0 j 4 o H s u 3 0 D j 8 y - D _ m j 3 D j w n s B 4 8 0 w B 7 2 j H x k 0 o B & l t ; / r i n g & g t ; & l t ; / r p o l y g o n s & g t ; & l t ; / r l i s t & g t ; & l t ; b b o x & g t ; M U L T I P O I N T   ( ( - 1 2 1 . 1 4 0 9 5   3 8 . 5 0 2 3 2 ) ,   ( - 1 1 9 . 8 7 6 9 7   3 9 . 0 6 7 4 5 ) ) & l t ; / b b o x & g t ; & l t ; / r e n t r y v a l u e & g t ; & l t ; / r e n t r y & g t ; & l t ; r e n t r y & g t ; & l t ; r e n t r y k e y & g t ; & l t ; l a t & g t ; 3 9 . 3 5 6 4 1 8 6 0 9 6 1 9 1 & l t ; / l a t & g t ; & l t ; l o n & g t ; - 1 1 6 . 6 5 5 4 1 0 7 6 6 6 0 2 & l t ; / l o n & g t ; & l t ; l o d & g t ; 0 & l t ; / l o d & g t ; & l t ; t y p e & g t ; A d m i n D i v i s i o n 2 & l t ; / t y p e & g t ; & l t ; l a n g & g t ; e n - U S & l t ; / l a n g & g t ; & l t ; u r & g t ; U S & l t ; / u r & g t ; & l t ; / r e n t r y k e y & g t ; & l t ; r e n t r y v a l u e & g t ; & l t ; r l i s t & g t ; & l t ; r p o l y g o n s & g t ; & l t ; i d & g t ; 5 0 5 9 8 0 2 6 2 5 9 9 4 6 5 3 7 1 0 & l t ; / i d & g t ; & l t ; r i n g & g t ; t q h 8 6 p 0 z - N 3 0 z D h t g m z 4 B 5 h w s g G l g g _ _ F 5 7 q 7 u p B t 8 2 t h q C h i 5 u r I o t 6 l E 6 _ 4 K t y 3 n K o s s n - R 9 o 8 L 1 q p E 2 v y 0 G u p 1 t 5 O l 6 i 2 j E h h j C v 7 6 5 m F q t 5 p 4 C o v 9 l 8 W w 1 t 2 h E 0 0 w 3 B 8 y p V g 1 5 0 3 E i w i x s O z r _ j x D m q w 9 Y o - 6 _ v R 2 5 2 7 6 T _ 0 8 7 D 5 0 x 3 1 N p l t - B v h 1 6 2 B p 3 4 l t K l y 5 w w 1 B s q 5 t z c 6 x 2 5 s L - z m o 0 B v v w 6 x S i k v 3 3 B q 2 4 5 o n B _ k o 3 3 j B 9 g v p 1 q B q 5 q k 0 H n p 3 9 G j o w H g 4 p c m s k Y z p 1 x B s 5 x X x r y _ E 9 0 8 K h v 6 L 4 x z Y 7 9 6 N z 9 2 I v r 2 D q 7 5 4 D s r k 4 B 1 v l Y j p v r B 0 o t 9 C n w 7 p C p 5 - H 3 n 0 a v g n u C 4 k y S j h l R t g r y I 8 1 u 3 F 8 _ m R v r l P g 0 k G z p o 1 B j i p N h p 3 L 7 t 3 c v t y _ B 9 _ y M 5 x 3 v B 1 1 6 G p 2 s J q m h L v p 7 j B u 6 s Z 0 8 j M 9 j _ q C m - z R h 6 m E j - v C w o l q B t s x O p 2 p e i u 6 d 6 3 6 S v m 6 D k 6 l F n g 9 C i o u h C k 2 k D i k 1 T 6 g q N w 8 s p B - k o o B q _ t f - m t 5 B 9 1 t h B m x o p B o s 3 P q 9 w S 0 9 5 Y l m q E 6 4 6 g B q - w T m 6 4 9 D w q 5 5 B 3 i y l B y - y n F g m u s D p z 8 1 G 6 v i u G g _ h C 6 0 h G k w v Q s 2 - j C 7 s q X 5 o z c k l 5 p B k l 3 J 4 q l V y m 5 W t z z D p g 9 d r u 4 O z q s G p u y M y x 4 V m l x k B y s g h B 4 9 2 z Q 9 _ 8 P l 1 8 d s o - S o 4 r u C 0 _ i g F 5 j 8 V 4 x h t B 2 x 4 R 5 j m O x q j v B j p o K g 5 u N 8 q u 9 B t l j e 0 2 r L 1 s z w B - r l t B 1 i p t F 1 t g i B x m 9 K v 3 p n B 9 5 h X y i 8 b t n 3 - C x l 6 a j i 1 6 B 7 p 9 2 B o _ u 1 D i l y G 1 t m _ C m 3 t q G l u z d l l j j B 7 5 r l B 8 g k R q 9 s e k h p t B j n q q B i g v 9 C s g 8 5 B i n - s F k u p X 5 6 9 b s 7 h Y h _ 6 Z 4 3 4 m B g s 5 X p 1 j Q v j p 3 D u 3 g r B z - h q B - t z 3 B j v s Q m j s h B o v 2 N p n k V 7 6 l f l t g 4 F _ u 9 4 B 3 2 r i B w 4 v b j 9 g Q 8 - n R 8 w 7 l B l 9 g 7 F 9 1 q g D 2 8 3 Z k w 1 y C s - k 2 D 1 y j 4 B - n p w C _ 3 r R j _ w q E y p 3 K 1 3 1 O j x - V 2 g _ y B i y v D j g 9 W g 1 2 O k 6 m P _ q z H r 4 j n B n x o e h 8 k Z 5 h 5 4 C s 5 6 l D v 9 t o B m t r T n i x j E r u z h D r 3 m x F 6 1 l r D s y u J j - l k B k o 8 5 F h t 6 u B 0 v i P v z h s H s s m W k h _ V n r w P 8 2 x a u p - b 5 p g f n _ 5 h C 0 3 n W 7 5 0 p C u 8 v R 8 s r e _ s w d g s m o B _ 7 o 8 B g 7 7 q C z i w w C - - v t C u 5 i 6 B 5 n 8 W j 2 w l B m 3 t Z 7 r y F z 7 l g F j 9 z k C r u 0 L 6 _ o r D 4 q n I 6 9 u k B y 0 5 d g o i n C j h p b 5 7 0 G p g j S 6 m t M g - j F l y 9 n B o - p G z 1 k T t 4 x K l x s V k - k v C 8 u t x C 0 g x h B _ o z H & l t ; / r i n g & g t ; & l t ; / r p o l y g o n s & g t ; & l t ; / r l i s t & g t ; & l t ; b b o x & g t ; M U L T I P O I N T   ( ( - 1 1 7 . 8 0 6 9 6   3 9 . 0 9 3 3 2 ) ,   ( - 1 1 6 . 5 8 6 6 1   4 1 . 0 0 0 1 7 ) ) & l t ; / b b o x & g t ; & l t ; / r e n t r y v a l u e & g t ; & l t ; / r e n t r y & g t ; & l t ; r e n t r y & g t ; & l t ; r e n t r y k e y & g t ; & l t ; l a t & g t ; 4 1 . 5 9 2 6 4 3 7 3 7 7 9 3 & l t ; / l a t & g t ; & l t ; l o n & g t ; - 1 2 2 . 5 4 0 4 2 0 5 3 2 2 2 7 & l t ; / l o n & g t ; & l t ; l o d & g t ; 0 & l t ; / l o d & g t ; & l t ; t y p e & g t ; A d m i n D i v i s i o n 2 & l t ; / t y p e & g t ; & l t ; l a n g & g t ; e n - U S & l t ; / l a n g & g t ; & l t ; u r & g t ; U S & l t ; / u r & g t ; & l t ; / r e n t r y k e y & g t ; & l t ; r e n t r y v a l u e & g t ; & l t ; r l i s t & g t ; & l t ; r p o l y g o n s & g t ; & l t ; i d & g t ; 5 0 5 4 2 8 9 7 8 3 0 2 3 4 6 8 5 5 8 & l t ; / i d & g t ; & l t ; r i n g & g t ; g t 2 0 4 2 q 6 o P 7 3 x h K l _ t v B 8 _ o 6 p B y k y x 7 C k 6 7 m I l o w o a m 9 u 6 T 6 n m 9 R h x q n I z y o 5 M n t 4 j f 3 o k 0 D u s y r Q m r x _ C 8 y t w c - 2 9 q G j 3 2 n n B 8 h 7 n Q p 4 w t S i 8 4 i b m 5 g s E g g 0 r 9 C 6 k 0 g D k h t s O y i i g T 4 g l n B p 9 v g T _ 1 r y D m 1 k u j B z 2 j - L x i x _ X k 2 z x D j 1 _ x F p 7 j 0 M w w _ n L r 8 q 4 O r w s l a k k l r U u 9 0 u C l 4 u v b 7 6 n - V n z z 3 H 1 p _ y I _ l w h l B r j g u F _ h - p G v 2 _ 9 K q v r i Q l 0 v - H 9 y 4 q D h r v 8 v O 5 1 g u 1 c t 9 l 6 5 0 I 5 6 m x 2 b l 4 o 1 t X u s t 3 2 T s o l k B g s p _ i S w 1 5 9 B w i 9 v q B r r 5 1 y a u _ 9 y i h J 0 n 8 6 h 9 F 3 8 y 2 2 l B h k k p 4 B w 0 k s x Z k i 0 3 y I v l 1 7 Z k x 2 n b y 5 7 n o B m 9 2 p Q l x h h W o k o 9 b - h _ u m B 7 i 0 g I l _ g p B p u h 2 G 5 w n k F 7 l w 9 Q 4 i 9 5 d s 8 0 - B 9 6 l 8 g B o o 7 p D o i i t C j j 4 m H r 3 m - z B o w i h T k 9 h p T 3 p 2 p E 5 _ q v y B 6 9 l r l B v _ z m F 2 4 o n 5 B u z k z C l 7 v q a g x q r H v 0 _ g G u _ _ _ T x h l z H _ j z m i B o v x - s C q k t 1 N 3 z 1 x H j 2 t 9 d p l u g c o x p 5 H u 6 s _ C 6 u - _ G w - p s G i - q m 1 P r k h w g B 5 y r v I z i s 0 O 1 k o g c v 6 x 3 I r - p 3 E 6 3 p 5 N 1 - u r H w k u r Y 5 r 9 w O 1 7 u q E j u 9 v K r x 7 q j F 5 n 2 j g B i 4 h q R 2 r 5 0 F 2 4 x 5 R x k l 4 P 6 g 2 p C o 6 x l k D 8 9 - 6 s B - 9 p 9 E x x k j r E k k w 4 P v t v q 3 B y 0 t h n C r l p y z C z t 9 0 L k k i m J o s 3 n G & l t ; / r i n g & g t ; & l t ; / r p o l y g o n s & g t ; & l t ; / r l i s t & g t ; & l t ; b b o x & g t ; M U L T I P O I N T   ( ( - 1 2 3 . 7 1 9 2 5   4 0 . 9 9 2 1 ) ,   ( - 1 2 1 . 4 4 6   4 2 . 0 0 9 4 7 ) ) & l t ; / b b o x & g t ; & l t ; / r e n t r y v a l u e & g t ; & l t ; / r e n t r y & g t ; & l t ; r e n t r y & g t ; & l t ; r e n t r y k e y & g t ; & l t ; l a t & g t ; 3 7 . 2 1 8 0 0 9 9 4 8 7 3 0 5 & l t ; / l a t & g t ; & l t ; l o n & g t ; - 1 1 9 . 7 6 2 7 2 5 8 3 0 0 7 8 & l t ; / l o n & g t ; & l t ; l o d & g t ; 0 & l t ; / l o d & g t ; & l t ; t y p e & g t ; A d m i n D i v i s i o n 2 & l t ; / t y p e & g t ; & l t ; l a n g & g t ; e n - U S & l t ; / l a n g & g t ; & l t ; u r & g t ; U S & l t ; / u r & g t ; & l t ; / r e n t r y k e y & g t ; & l t ; r e n t r y v a l u e & g t ; & l t ; r l i s t & g t ; & l t ; r p o l y g o n s & g t ; & l t ; i d & g t ; 5 0 5 8 4 8 7 7 5 2 3 2 5 0 7 0 8 6 2 & l t ; / i d & g t ; & l t ; r i n g & g t ; p g o i - h s 1 g O 1 k 1 M u y _ k B r 1 _ Y 7 _ h Y w 4 5 V s i 1 k F 1 u j U q i h x B 5 6 5 j B _ t o E m 7 4 s B s 3 z - B - y o j C p q s D g u t k D m - l 2 C m x 3 T p 4 - n D - i n M 2 z 6 X h l 4 d k y 4 I 1 0 - Y o x i P - 7 m W p s 2 4 C o y w X 5 o o 5 D z m u m B 1 r y Z m t _ Q s l 4 F w k w K l _ l q B l - 1 9 M 6 6 - V n 9 _ P n 3 8 8 E o 7 v a _ 5 0 t D _ t 0 y D _ 3 7 q E s j g K i o r u C u t i p F - - r U z 0 h 9 F _ 9 8 t E 6 z u u B u 3 y h C t u n 8 B 1 _ 0 p E 8 x k 7 B 5 5 1 S 3 p u _ B 9 s h h B 7 m s k B q z q u C 9 u v 1 D t 2 _ j G r 5 l h C 0 s k 8 B 3 3 u s B u 1 p Q h s 0 f 0 n s N k 0 t d _ 6 0 p C 2 8 7 o B s n n t B 2 8 p e i h h R 3 n 6 o G i l s S 2 t o z B q o 0 _ B p _ r e i r t t B 2 m k s B - 3 m u B 9 _ k r J i - j p D 6 j 9 W p - 9 S u x j h B _ 9 x o C y j i p E q t z s C 9 r r m C x 1 t i B o h w r B i q l r M h _ w T j y 2 F 3 u u N v o 6 i F 9 i m t D n g s 1 B y j r s C - l m p B g 2 q X i 0 r S o 4 w s B 0 x n j B 7 x r 1 G 2 t v z I q s 9 - M s q 1 i F w 7 5 g C 3 w n P 6 4 p 9 C v l w n I 8 8 v 7 G z k 3 k B 5 7 h 2 B w 3 z p C m y 5 6 D 7 9 s w C 7 m l m F v t z J 3 v v y C r o o V g 8 n z G j _ m u P 6 z h j C h x k 5 B g 8 k N y 4 4 j D 9 p s q B n 9 8 6 F v - - b 2 6 5 q D g 2 o o B p 6 4 M m p y I g k - h B 2 j 9 7 F o y r 8 B 4 - 3 1 E o k m t C j j v U 0 1 s s G w 1 5 m B 1 4 s 2 D 9 n 5 D o 4 v t E 3 6 _ j C m i l y B u l u m C o n u p C i - y v B w r y 7 C - g n c s 8 3 H 6 x s y K 6 r m i D s t m J o 2 l V 7 z x 0 B z _ 0 4 D 3 r x 1 F 1 q z N m l 2 1 I n q h n D m 0 5 p D u 5 w h C 6 8 8 5 K w 1 8 l H 0 m g t D 7 - 5 Y m _ h j C j 3 7 s B 4 l q 1 H x t g j I y 1 r 0 D v g l O 4 i 4 g E j l y Z 5 6 g 0 C 0 s j Y z v 7 u D t w v l D p 8 1 n D x n 9 _ E q _ y m D 6 u y R v h 3 Z o 7 n h C 8 8 v z B _ k - 1 F i z v h G 9 z _ s I w q v Z h 7 m 7 B 8 3 3 k K z n 8 p D n o 4 T g h x s B v s - 6 E n 3 o t E 0 _ t e u m x x C p 5 8 N v v u s B 9 x v w B s 6 7 V 7 h l n B 6 n z i C 3 g h 4 7 F i h s h 6 L s 8 5 y x v B t - s y D p u j x B 1 - p u B 1 3 5 n E - - 5 n B 7 q 2 P 3 n h t B s 1 r 6 B 6 k - u J 3 h u X i w 4 7 D w k t 0 B g s t u B q m 3 U _ w 5 o C v o u s D 3 8 1 F l 2 g 4 C 9 - i 9 C w k g R h 9 y o Y 5 n n t O r q v q B j 5 q j B 2 k n M h o 5 g C 3 q u v C 0 p t Z 3 0 g f 3 u j J _ 1 w d 0 p 7 W 4 4 h F 7 3 z K k 7 w W l z 9 W m p 0 n C m h g 3 F k t 8 8 H _ o t r F 1 6 _ H 3 g n q H j t w m C p n 9 x C 5 6 2 K 4 z 0 Z p k z G 7 1 y w C 3 2 j L h _ p w J m n 6 U 1 y s e _ l g - B _ o j L 2 s m S 7 1 g a 1 z 0 L 7 6 r i F n p w l 8 u C s m w q W 9 i k x t F 4 h 0 j 2 C m q 0 g W 0 n 7 G v x j j T m v r q Z w l i 3 k B 0 4 6 4 o H j 4 o - Z o 4 9 9 x T i 3 2 4 7 I o 5 9 h r U q 6 - i G m 3 m x e j u 8 o B o i 9 z G l 1 1 j E 0 n 0 v B r - 7 p B 1 p p u B 7 y m n E 8 k v v B l 9 4 J _ 7 o X g j 7 1 B w r 8 H 1 g k _ B s l z z H 2 m w k B - m 3 R z q s N 1 2 o u C z 7 8 1 C 6 z 5 f k t w 8 T 7 3 r 0 D v 0 5 6 D x 2 x 4 C n 4 9 d o r s p B 2 m o 7 B 4 h n a 8 m x F v u k p H 3 l y i C - 2 1 P x r o m D w 0 h o N z l 4 l B r w q R z j p N r i 6 h B - r o 4 C h 7 i n B q y 5 N p h i T i z y t C k 0 k - D p s n 0 E w 7 5 L 4 1 2 w B k 2 y t C z i q x B 7 t x x m I v m v r B z g 5 c u o i m C 0 t h K q k 3 2 B v l m L 3 n x h B y 3 v k B h n u s B o n z R z o h k C j z i e 0 t r W r 3 2 E 9 r 2 E g s m D w p - I o m 4 T i w j y E i r 9 Y 8 t t K y w s J m 4 p M 8 9 0 S u n y C 1 2 _ 5 B 1 8 3 w E u 6 q h B - y l f 6 n 6 5 C j m 9 m C x q 5 m E 4 m q z B 7 s 9 x C 5 u 2 6 D n i i K - i 7 i C v y g z B 5 i 7 Y y g o l E 5 m 3 E z 0 1 U 5 q 6 k C r k l X z 4 u h B 6 w o L s r p n D 1 h _ H 9 r 3 m C 2 - 5 P n y _ P i o m Q v s q w B 3 0 5 a _ 7 z e g 4 p n G 7 z r Q g 9 0 y B h 3 - F 5 _ v Y g 8 g C s x 2 Q 1 o k l B w p h a 6 g m m B l _ u F 5 6 n I q m u G h p l c g t 5 _ E - g w v B z 3 5 G o y 7 T o h k G 7 v z L u u 2 k B 4 h r N q 0 n w B j 3 9 6 B 4 4 _ O y 2 w G - 7 9 l E _ 2 u 4 D 9 4 q K t 4 k h B 1 6 x z B 8 o p I t 1 - F 1 t 3 4 B 3 o l h C v w 2 2 B 1 1 s D _ 8 5 o D r u 6 N s j z o B k i g O _ 1 g Z y p y g B m o l w E h n 0 P x i j n B p 8 j G o 0 l H r - v t B n 9 5 V m 9 m e w i v k B & l t ; / r i n g & g t ; & l t ; / r p o l y g o n s & g t ; & l t ; / r l i s t & g t ; & l t ; b b o x & g t ; M U L T I P O I N T   ( ( - 1 2 0 . 5 4 5 4 7   3 6 . 7 6 2 9 1 ) ,   ( - 1 1 9 . 0 2 2 8   3 7 . 7 7 8 1 9 ) ) & l t ; / b b o x & g t ; & l t ; / r e n t r y v a l u e & g t ; & l t ; / r e n t r y & g t ; & l t ; r e n t r y & g t ; & l t ; r e n t r y k e y & g t ; & l t ; l a t & g t ; 4 5 . 6 3 1 8 7 0 2 6 9 7 7 5 4 & l t ; / l a t & g t ; & l t ; l o n & g t ; - 6 5 . 6 9 5 4 7 2 7 1 7 2 8 5 2 & l t ; / l o n & g t ; & l t ; l o d & g t ; 0 & l t ; / l o d & g t ; & l t ; t y p e & g t ; A d m i n D i v i s i o n 2 & l t ; / t y p e & g t ; & l t ; l a n g & g t ; e n - U S & l t ; / l a n g & g t ; & l t ; u r & g t ; U S & l t ; / u r & g t ; & l t ; / r e n t r y k e y & g t ; & l t ; r e n t r y v a l u e & g t ; & l t ; r l i s t & g t ; & l t ; r p o l y g o n s & g t ; & l t ; i d & g t ; 5 3 2 0 2 8 5 8 0 0 9 9 7 3 2 2 7 5 6 & l t ; / i d & g t ; & l t ; r i n g & g t ; 1 g n - u l h 8 i H x u 0 7 F 1 h 6 m o 6 D r g u l i H g x r p 1 H z o w l B l k - i C o w 4 j r E k 3 p - u K s l q 4 7 6 D i 5 3 u p x B r j 2 - 2 C h k l l 2 C l s p 7 g C h 1 _ m g K - j g o 1 P o t 3 2 q B 2 i s k i E - q 8 p v F s 9 n u t C g 6 4 3 9 D 7 v 6 q N p p 2 1 g J g _ 2 3 1 3 D _ l 1 z a q j w u k k B 5 2 6 6 j h B 9 8 2 y E 6 5 m x C _ 3 5 h x B j g h y q m D s t v r y I s g u 7 4 C - m q 2 L 3 q 6 x - E & l t ; / r i n g & g t ; & l t ; / r p o l y g o n s & g t ; & l t ; / r l i s t & g t ; & l t ; b b o x & g t ; M U L T I P O I N T   ( ( - 6 6 . 4 6 0 3 6   4 5 . 2 2 2 1 1 ) ,   ( - 6 5 . 1 1 9 3 4   4 6 . 0 9 8 7 8 ) ) & l t ; / b b o x & g t ; & l t ; / r e n t r y v a l u e & g t ; & l t ; / r e n t r y & g t ; & l t ; r e n t r y & g t ; & l t ; r e n t r y k e y & g t ; & l t ; l a t & g t ; 4 0 . 0 0 4 6 6 9 1 8 9 4 5 3 1 & l t ; / l a t & g t ; & l t ; l o n & g t ; - 1 2 0 . 8 3 8 5 4 6 7 5 2 9 3 & l t ; / l o n & g t ; & l t ; l o d & g t ; 0 & l t ; / l o d & g t ; & l t ; t y p e & g t ; A d m i n D i v i s i o n 2 & l t ; / t y p e & g t ; & l t ; l a n g & g t ; e n - U S & l t ; / l a n g & g t ; & l t ; u r & g t ; U S & l t ; / u r & g t ; & l t ; / r e n t r y k e y & g t ; & l t ; r e n t r y v a l u e & g t ; & l t ; r l i s t & g t ; & l t ; r p o l y g o n s & g t ; & l t ; i d & g t ; 5 0 5 4 7 2 2 2 6 8 7 9 8 6 4 8 3 3 6 & l t ; / i d & g t ; & l t ; r i n g & g t ; 7 5 0 9 p 1 _ y 1 O 3 2 h C p 7 4 7 z G r x 3 K - - z Q j w l h C - t 6 z B z k u N p g o f 2 z t Q 8 z 7 T 8 1 s C 5 6 m 8 G - p j Q q 1 k f 8 3 8 D w i k G n g k 5 B h x v d _ l x n D 3 o h b z r 9 F 0 l 5 E y 8 0 X 9 6 8 F s 5 i E _ o E u m i F o w z M l n u G g m I w - o U o _ r n M 7 t k 6 C z n k o E n - k u B m r q f y o q v B z 5 x j B x 1 5 Y o p 8 f v y n g E j 1 5 0 E 1 u j i B 4 8 r I v w z s D y g - L _ j m 4 E 7 8 6 9 D m g k M s m t s B 0 j t M 9 s l 4 B 8 g q c n t - u B 9 _ r h B h r 3 c 0 w h e s 7 j l D g l _ j C 1 4 v R 8 m 4 s D y n u P j y p U n n 0 4 B k _ h M 0 s w v B 4 k 2 f 9 4 4 j C w y 8 6 C g y m 6 D 5 u m x B z l o G 2 5 - 9 D k 2 z T 4 3 v l C 5 n g R 8 2 7 w C h h p s B o g n k R t x h 0 E 5 - q J q 1 6 i C l 1 s n D r y t n D - g 2 l 5 C k n h u 3 C g q n 1 1 B u z p q K i o l k W 5 m u r x S i 6 s 7 x E s i _ k H 6 g 7 g C 8 4 y 7 G p 6 q t E s g u u B 5 q n w E m w w 4 B y 0 3 p E j k l l H 8 4 l h p E h 0 n y B q z 9 p Q z q j 4 B 8 p 2 j Q 3 p h l G 2 9 u p B i 9 m 1 B v 5 s h B g j x 0 B w v g g B i 8 8 1 B t 1 2 X u 8 8 1 B l z u u E 3 u 1 7 B l m m g E t y q 1 B 2 y x n E g q r 7 G - v 7 t Q q w 4 2 B 9 o 7 2 Z 6 w 8 m B 1 - h j M w 9 2 i D z h u q J n 7 z 5 G s 3 y w B l k q 9 B j o p 4 z C u v 1 h B z m - 8 G t 3 k g B 6 u 8 - G 3 s i t C y q z _ G _ _ z b q 0 9 4 B u j y q E y 7 q 5 B p p 3 k B n j x t H s j 1 e - r 0 3 B 3 t u x E t i _ 2 B y w g g E x h 7 v P h m g m E l 7 7 3 B r 1 4 i E g t o 1 G h 7 6 - D g l _ g H r s y f n - 8 9 G p j 6 g B 7 p 7 r P v h j 9 I 0 o j w B 2 6 g 8 a n o h h B 6 k w o H w y v f i n u 1 B y 0 y i B 5 5 u o t D x i 6 g B 4 0 3 3 b 9 _ 8 g B z 6 0 2 B y x y h B k - 4 4 J h i n g L z - h 2 G 2 2 v i B x 5 o 5 G m h 7 j E t v l 3 B 4 - o g B 0 4 h 3 B 9 w x g B x 8 j 7 G 8 _ 6 n i B r j l 5 G i q j g B n 8 8 4 b 2 t 1 r E 2 4 h 3 B 1 6 7 3 B o s g v E 3 t 5 0 - B s r h 5 D l n u l b k k x g J v w 4 x H k r k m g S 3 u n w F h q 9 h g f 4 5 r i t B l y k k D j v q 4 Q 1 6 6 t O 7 o m r j G 0 _ z s B - t x _ C 8 t w m C o h l w E k - p Q j 8 m 2 B z 3 4 J 7 j y O 4 g x J 2 p o p E 6 j s 9 D 6 z 9 6 I r g 0 5 E m 0 r q B w w n w B t n j m B 9 _ g q B o g t k B 3 u p 8 G t u 6 i F 1 m s 3 K g _ j r D z i p H s t v d x l 8 y E 4 k o h J k x r c i n 4 V v 2 r T m h w g E - z k 2 B x n z h B 8 8 q M 8 j 8 e x t 9 9 E r 4 i t D v l l o D 8 g 8 L h h j V v h 0 X v 3 1 i B 6 g i W r k 1 K r 3 l G m 6 o w C z r 6 L 4 n 7 b w z q h B 9 u s w I i z 1 n F 4 4 _ G u - z T r m g U q h t I 9 9 p 3 C 6 9 h 0 C n 7 1 Z r n 4 H o j l z F h 8 _ 5 B p o 2 k D r 4 o Q k n _ T _ 2 5 q B y 8 j w B h 4 n y C o g w c g g j V i i g d 8 8 0 T j i w J 0 5 q o B r q 6 I 8 u 7 R i p l s E m - 3 y D s t 2 7 D p 3 - I m z h J q r 8 T u u _ n T y 5 k i Z 5 t 8 - G 6 g n h B - n 2 3 B 4 z 7 h J - 1 w 3 B n s 8 q B y k o Z 8 4 u 3 B _ 1 j k E 9 t p T k t h S 0 s k u G 0 8 1 t J u w 4 2 B 3 1 u g E u 0 - 0 B n s _ i E i l 9 o E o s _ 6 B j 7 3 7 P j 7 q 4 B m n m 9 Q 1 j x 2 B t 8 t h E s 8 y k H k 2 s j E 5 y n 7 G l _ p 2 Q 9 i i o D - t q q B k s x 6 G x v g g B 7 9 q r G h y 9 x E 7 n g 9 B _ 0 u o E q - _ x G h _ 9 j E 8 n 4 3 D s m z 4 E x n 0 q B p 8 o n B 4 s 2 0 D 7 r v I m n 4 N o k r L t z x K 0 l 9 o E m 7 i 6 G s 5 x p E i 0 k 1 F m 7 - j F 0 - s 2 G k k j x D r o m w H k n g _ N 8 _ j 7 G 8 l m l E g z p l H 0 y v j E w j q p B l _ y g B h g n o B 0 - 1 a u 8 6 _ G q w 9 h Q p j q _ H z w x g B t x 1 9 G m 3 v i B 1 k 4 w B 2 h 1 g C z p j 5 B x _ h v B & l t ; / r i n g & g t ; & l t ; / r p o l y g o n s & g t ; & l t ; / r l i s t & g t ; & l t ; b b o x & g t ; M U L T I P O I N T   ( ( - 1 2 1 . 4 9 8 0 6   3 9 . 5 9 7 3 3 ) ,   ( - 1 2 0 . 0 9 9 0 1   4 0 . 4 4 9 6 9 ) ) & l t ; / b b o x & g t ; & l t ; / r e n t r y v a l u e & g t ; & l t ; / r e n t r y & g t ; & l t ; r e n t r y & g t ; & l t ; r e n t r y k e y & g t ; & l t ; l a t & g t ; 3 8 . 0 6 4 9 4 5 2 2 0 9 4 7 3 & l t ; / l a t & g t ; & l t ; l o n & g t ; - 1 2 2 . 6 9 3 3 7 4 6 3 3 7 8 9 & l t ; / l o n & g t ; & l t ; l o d & g t ; 0 & l t ; / l o d & g t ; & l t ; t y p e & g t ; A d m i n D i v i s i o n 2 & l t ; / t y p e & g t ; & l t ; l a n g & g t ; e n - U S & l t ; / l a n g & g t ; & l t ; u r & g t ; U S & l t ; / u r & g t ; & l t ; / r e n t r y k e y & g t ; & l t ; r e n t r y v a l u e & g t ; & l t ; r l i s t & g t ; & l t ; r p o l y g o n s & g t ; & l t ; i d & g t ; 5 0 5 7 8 6 9 9 6 4 2 4 5 9 9 1 4 3 8 & l t ; / i d & g t ; & l t ; r i n g & g t ; 2 k h h v y t 1 z O 9 8 t B i 9 j U j h i J u j 4 W k p - 2 E x h y u D 1 l q D m i 8 J n x i 6 B r g 8 0 D m s 2 u B z m x G 9 1 y E 5 z n D o 5 t F v 5 x 0 q D k h p r B m i 3 V 0 8 t _ 9 D _ n t r Z 3 6 8 2 C j 1 y Q v - - 6 o B 2 t q x 0 B n y j m h B l m 7 w 1 B h 4 n t i W h - v 9 G q 9 w n E 3 6 h h D l z y 6 K 6 4 - p H 3 s 7 T x q 8 u C i y y J 9 2 v x C 9 - 3 k D t - z Y g 6 - P p 3 7 v B 4 t v 4 B n 9 k H g v _ Q q 5 v i B 3 s 1 t B p 4 q j C w z 6 N w 6 1 u C 3 9 0 h B p _ y w B r g g O l q 2 j B h 8 l G 4 3 i W 5 k t V 0 5 u Z h m g 4 C 8 y q i B x o k o B l 0 8 P o o n d w o n t D u 8 4 o C i o x 0 B o w m z D y z 0 q C 4 o r F 5 j t x C o i 5 3 F 8 5 o v - p B w i y K y 3 m 3 C _ t o K o 4 i O y j - C r s 6 O n m 9 C p h - F u 8 m r B 3 0 n p B v 6 p 4 B r q x o B x j 8 n B 5 x 2 U r q h Y 4 r p t B o i j V p u q H 3 j 3 o J t x p K o 5 v j C 1 j y i D w 0 0 V z t 6 I i j v P 1 u i M i 2 - g B 2 s i t B q _ k L 5 y 2 i B 8 1 q L t k 5 t B - 2 x w B j p o 1 B 8 n 7 2 C k v 2 H 4 m r w J 9 5 r t L l g y _ B 2 x 9 9 F t w 2 p C 8 p j C n 4 x m I g 0 o 2 B z x x i C q 2 i s E u w i u C g x l 4 D 6 x r P 2 j g M 0 w 4 D - m t r H 9 2 8 Q 9 h n F 8 7 5 J t 1 _ Z j _ p - D 5 - 7 l K l 5 - g z G p s k n j D o 2 w k C _ 1 7 G k 8 k I q i z L y o o s B i j l 8 B m 1 v q B 1 y 8 O s n n 5 B _ x w H y v 8 W i p 0 c 7 m - u B 7 _ x J 7 p 1 K z p 2 s B g y o a j 5 0 a 3 w j s D o v 0 D v 5 2 g C 1 - o - I l i _ 2 H u 7 0 p J 3 7 p 2 G v 2 g y l B 5 3 _ o Y - o x 8 j B 6 p 2 H u t g I v _ 6 n B 6 3 p g H p i 2 I m s s 9 C u p r 5 I x i - r G n l h i C z 3 r P 0 p m N 0 8 4 F r 8 m W u y z r C 2 j h w D y _ x u O l - 3 5 K t i v n B z m 7 x E _ 4 y 1 B g 0 k j C z q 6 g D z - 5 6 G u 7 1 y D r 6 6 n E s 6 1 h H 5 q o w O x g 7 I o r 8 E 0 j i H _ 1 y v B y w 5 e 1 n 1 5 D n v z 9 N 5 1 0 O x s j a 4 6 g J r w 6 E g v 6 q D 3 z t K p 6 u Z n 0 8 Q w 3 u C o j v G x z g N w - r G 4 v l U 6 g l o B 4 k w q C 4 2 _ q B n 4 r K m w x M m i t D t h s Y y 9 n w B & l t ; / r i n g & g t ; & l t ; / r p o l y g o n s & g t ; & l t ; / r l i s t & g t ; & l t ; b b o x & g t ; M U L T I P O I N T   ( ( - 1 2 3 . 0 2 4 2 7   3 7 . 8 1 5 3 ) ,   ( - 1 2 2 . 3 4 7 4 8   3 8 . 3 2 1 1 5 ) ) & l t ; / b b o x & g t ; & l t ; / r e n t r y v a l u e & g t ; & l t ; / r e n t r y & g t ; & l t ; r e n t r y & g t ; & l t ; r e n t r y k e y & g t ; & l t ; l a t & g t ; 3 8 . 2 0 4 7 3 4 8 0 2 2 4 6 1 & l t ; / l a t & g t ; & l t ; l o n & g t ; - 1 2 0 . 5 5 4 0 6 1 8 8 9 6 4 8 & l t ; / l o n & g t ; & l t ; l o d & g t ; 0 & l t ; / l o d & g t ; & l t ; t y p e & g t ; A d m i n D i v i s i o n 2 & l t ; / t y p e & g t ; & l t ; l a n g & g t ; e n - U S & l t ; / l a n g & g t ; & l t ; u r & g t ; U S & l t ; / u r & g t ; & l t ; / r e n t r y k e y & g t ; & l t ; r e n t r y v a l u e & g t ; & l t ; r l i s t & g t ; & l t ; r p o l y g o n s & g t ; & l t ; i d & g t ; 5 0 5 8 3 9 0 9 6 0 6 9 0 4 2 9 9 6 6 & l t ; / i d & g t ; & l t ; r i n g & g t ; y z n u h _ v 8 o O p i p o G z _ 1 W 8 p - e m u 2 M r z 9 q D j 0 5 9 F g 0 3 t K q 1 8 G 7 z u i F u z z S p 8 p 6 B l r w t B 3 4 2 h E 2 l 9 m B t w u _ B 3 x s 7 C p m 0 1 B k i y - B 5 q 4 3 B v _ - 4 C z 4 r u C z s 6 v D - 4 h k N q 1 - e j n i y D h i 5 m C w 8 - n C 2 x 6 2 D - 0 z K v 1 j Z - s y l E - j y w E q x 2 q F s 8 p j B m 0 p 1 B 6 o _ I i u 0 W 4 _ 6 E 3 s 7 V x q _ 5 C x 3 9 - B 0 7 6 Z 7 h 5 q B u 6 2 5 B 4 r 0 b 2 g 4 1 B w w 2 u B x i v v B n x k O 7 5 4 E 7 v 0 d o 3 k P - v 2 i C 6 k 9 W t g 0 9 G k u r G 7 v 8 7 H m q w o B p h n M 7 m z u B 2 8 8 n D y n 5 b 3 _ w b 8 q l t C m s g u C 3 7 u 9 D 5 o p l Y m n y i E t 2 9 t B j 1 i V y g u W v 2 q K 0 n y H 9 s l U k j t 4 D g m 8 w F h s _ J w t v N h o w 7 B 9 7 m i C y 0 q T _ s _ X _ l 8 V s l 1 H 7 l - m B 3 r 7 O w u - G 1 p h L s l 9 p B s w v S k z l P _ j m i E j m u Z v n p 5 C i i w o B 8 k m 0 C h v 5 v D s - g s E z 0 2 H o w n S i k s K l 9 1 _ C t 9 w K r q 6 b 5 g n v B w i t Y k g o u B x x 5 x E h m v 1 C y 4 i 1 G s 6 o I 8 l p P 3 9 t C 9 9 z H u j x n C s j g F 8 4 l T i l u T g h 4 j D 5 4 l o C r 4 p h T x 5 9 J 9 h t o B 1 2 1 b h 7 z 5 B k g q - B l 3 9 F r u 9 t B p o 5 o B q 4 o U 4 z 8 o B w _ g z B 8 w p 3 E y q m R 0 j u R _ x 0 k B q k k 5 C 5 h 6 W x p n n F 7 u h F _ 1 n r C q 2 s 4 D 9 p 6 g B x - z F x h g r B y 8 k E - - l o B r _ u x C r j - W u 0 l K t r 3 Q 9 m t 7 C o p 7 r J 0 v p X q q 0 - w B x j 7 v I _ _ v c s w 2 n r C q 4 p 6 B 0 _ t w D l x u u B r u 8 T p - 7 Y l p _ r B 5 4 1 k D g y 4 9 I h 4 3 g B 3 g v p F p h s m B r 6 j p B t s 6 Z 6 _ u 0 K 0 - _ T o l s O v p k v B 0 9 m a 3 q 7 j F 1 g z w B 5 n 5 2 C - l 2 0 E n 7 g T i 7 1 8 G y 1 - I 9 i h T y 8 v k B 9 v _ h D u 9 p 9 E p t 9 n E m o _ m G q 1 p 3 B 3 z 3 2 F m k x 1 C i z - w J s 4 z P w i g x B t r j 5 C z h 2 5 E 6 8 l I y 2 p H - l i p B 0 v 1 i D - - 2 8 F y _ u 9 B 9 o w J t o t Y j n t U o 0 i l B 1 l 6 s B r 8 o Q z i z V r 7 - k D s v 7 x B n 1 x L y w 3 K s i h H s r - L t j 9 i B 0 x v Q v l 0 0 E s t x l C _ r 7 l B _ 3 o L 3 l u b u s 0 l B 9 x z i B n 8 j j D j v h l E z w v 7 C 4 9 x o B p i 5 d _ _ q 8 D k x t 5 I o i 1 M i - y j B 2 w 5 Y k l l p B i 3 g h B h w 8 i B j m k N j s x C h r q z C m o g S j j k e 2 t t - B - 4 q v D h x x Y - 4 j p B 2 6 w - D m z g Y k z i l B y s 0 m C 3 p v j B 7 t 7 M 8 2 l t D r 6 1 u B 5 s k s B v o g f 5 p h X s y h m C 3 n 4 H 8 v l Y 0 l 5 t F o 5 - W w i o o L s 2 i 2 C i v y k E q u m 4 D k i 6 6 C 1 r m 7 C z w q h B 8 z x K _ n 3 o C g 9 m c 3 z k F 2 s v 9 C x 8 v s H 6 t 5 0 E h 7 3 u N n n 1 o F 3 t t l C o _ 9 N v q 0 t B 6 k z f 4 5 r W 2 u q 6 B q - 3 i C 5 o - v I 9 v l 0 C v h t g E y l - Q y i 7 _ I x 9 1 o F x n s S m 0 6 S 2 g 2 p D h 3 g T 2 4 o 9 B 3 t n F t 5 2 t P s 3 p x 1 Q r x h j h I o 9 5 h x C 0 x j k _ C m l - 0 u G s w w - Z 2 6 n 7 3 M & l t ; / r i n g & g t ; & l t ; / r p o l y g o n s & g t ; & l t ; / r l i s t & g t ; & l t ; b b o x & g t ; M U L T I P O I N T   ( ( - 1 2 0 . 9 9 5 6 6   3 7 . 8 3 2 8 6 ) ,   ( - 1 2 0 . 0 1 7 8   3 8 . 5 0 9 9 ) ) & l t ; / b b o x & g t ; & l t ; / r e n t r y v a l u e & g t ; & l t ; / r e n t r y & g t ; & l t ; r e n t r y & g t ; & l t ; r e n t r y k e y & g t ; & l t ; l a t & g t ; 3 9 . 0 6 3 4 0 7 8 9 7 9 4 9 2 & l t ; / l a t & g t ; & l t ; l o n & g t ; - 1 2 0 . 7 1 7 8 9 5 5 0 7 8 1 3 & l t ; / l o n & g t ; & l t ; l o d & g t ; 0 & l t ; / l o d & g t ; & l t ; t y p e & g t ; A d m i n D i v i s i o n 2 & l t ; / t y p e & g t ; & l t ; l a n g & g t ; e n - U S & l t ; / l a n g & g t ; & l t ; u r & g t ; U S & l t ; / u r & g t ; & l t ; / r e n t r y k e y & g t ; & l t ; r e n t r y v a l u e & g t ; & l t ; r l i s t & g t ; & l t ; r p o l y g o n s & g t ; & l t ; i d & g t ; 5 0 5 7 7 5 1 1 8 2 7 9 8 2 2 5 4 2 3 & l t ; / i d & g t ; & l t ; r i n g & g t ; w 6 y j o n 2 7 w O o n g h G 1 n - m I m 1 4 d 9 n 9 o J w u s I u 0 z k B s t q s D z g m z C z q 8 g I w 6 s s D t w 6 w D _ k p 1 C v r 2 4 B g - v 7 C - q n U q _ x s C o 0 _ l B 9 l k 9 J x m h m F i 8 h M o q q L 5 - 2 1 C 9 o r 2 C t n m Y w - 0 2 J t 1 2 G m 7 9 y I q l g k B i 2 h h B 5 l l E v k p s G h r i y C p i v 4 B 6 w k 5 H 8 4 w 5 B l 4 y o B u y k h B 7 o q 7 D 1 1 n N z 0 t m F t g m p B s 9 g W u 3 2 3 D l 6 6 q B - l v 4 B q _ r M q 3 q E o v c j 2 h 5 F y g g z B r s - Q 8 n o t F 3 0 - v E n y y e g 7 5 s B 5 w 6 r G 1 i 2 1 B 3 j v v J - h z S 6 9 v o B w _ o h B - - y w C w q j w E s _ z 9 B g - p M 6 p 8 T h o 8 a v 2 o Z x g 0 m C j s s p B t s x 2 B k o y l B l k x a n 4 u m B 7 h o e o u z t B v m o X w v y o C 0 l o d q 0 u C x x h H 4 5 y T 2 v h M p 7 8 p B 3 g 8 i B 0 8 w D 1 h m M 6 n _ D o 7 5 J 1 g h O 4 7 k j B s n 0 a 9 j o J 5 - 9 m B y _ k W z n o U s q 8 K h - 5 L 4 8 2 5 B 7 k r t B n h 3 I 5 v l Z 3 h 3 w C j l o W 5 5 x x C 4 6 m 5 E p u r u B i g 0 M w 6 6 W p p h j C 3 g h Q - m u k B _ z h v E 6 z 3 R 6 5 k r B 8 8 l m B - z n Q t l v X t x 6 J r z h p D 0 8 0 a l 3 x 2 B s 2 o 2 C s l j h C q t y h E g s z 0 B 5 n y M s z 4 T i t 9 W t 7 _ J p o i E i 4 2 G 7 8 o F v _ 7 g B v v g X i 0 i u F 5 n w k B 2 - 6 G u j s 3 B h i i W q 5 p p B w _ z o C r o - o D n h 1 R y h 6 4 C _ s u O p 0 y f o 0 9 m B u 2 h 4 B 7 l z P l 1 0 M 3 s 2 k B 5 o j l B n k m n B 7 j 1 4 B 7 r q M r j x d g 4 3 4 D y 7 x 4 B h t y t C m m r 0 B p z 1 s B m 2 j c o g z c - u r 2 B p u o 3 B t n m 1 C 2 k 5 n 3 E z n y g K t p x l H m 0 n y w B s t i B r x i n H y q _ g B i p 3 U q i 1 z C k j r w c w l o k B 3 o n 4 E z 4 i m C p r 9 5 C i j w i E x m l 5 B x t g e 8 r z 0 7 L j 5 7 h 3 K 9 p w o q I x j m - h f r 8 n m 9 p C 4 u 9 h l C p - u a 6 7 t h C 6 - g n G 0 z w b l w 0 X g i 4 D 7 1 s 8 C y 6 j H - p 5 7 C 8 6 h 0 E x p y T k s x 2 F 6 0 j x F h 9 - 1 D j v 3 T z n - v D 9 k v x B 8 j 3 o C j y i 9 B i x 8 C g u 8 - C m j - B x g s 3 C 8 4 p 6 B 6 h m - B u 5 s 4 H 7 n t B v 4 m n D _ k q F w 8 l E u p v F - k u 2 G m s x 2 B x _ 4 s B u 3 k I g u q d t o p Q r o s M h 3 m F k r q 2 B j t k H s w x e m q r N y x 0 7 C x o l U 1 s _ L 6 k g P o s u J w 5 2 F 8 v m n B m 2 x H k p 6 x B y x 9 Y 9 2 3 N 6 x 3 1 G - 5 p O 5 s 4 S h - y R x n o G 2 o 2 9 B 7 _ v o B l g 4 L u 3 3 O s 3 w w B 3 o g E w z g d k 0 v o E l w j q B 2 5 l p B m - 5 j E y 7 2 r C l 2 z v C w h g N 2 v g H t v g k E z j p V 3 j 6 Z 7 0 - y B u z 2 i C 6 m x S y p 0 Y o 5 0 M l g h Z 0 0 3 i C p 6 p P j 0 y J y m q 2 B x 9 z 3 B _ t x 2 B p 6 y g C 8 j 3 t B 9 x h R 8 5 j K _ m j i B 8 4 y q B 3 k z b h k m 2 B k t 4 s C 4 w x u D 0 i 6 G 3 5 2 w D z y u u B z 1 y I r 0 5 y B 7 l o t B 8 v 6 n B h j 8 _ B x 1 s I m g 3 L 0 s 6 N 0 l 2 K l o h n C y 9 h h B 0 9 9 8 F r z 9 m B s 0 7 3 D h w j h E h x l m B - m 7 t E s 0 t r F z w _ v B - z 5 K w o 1 r B 2 4 l q B l 1 3 2 I z 5 2 J _ r 1 c 5 7 v M 0 p 3 S 2 k s 6 B l 1 8 m B j 9 g u L _ k x m F 2 p r I n o g m B m z 9 s D 7 l _ S u 9 o L m y n 5 D 3 t x r C 6 9 p i B 4 1 _ 7 C i u g 0 F q 0 i W 0 r m V n - 9 P 6 j p S r o i i C y o m o B - y 3 F _ v 4 1 C z m g I x 4 r I _ s j x F j 1 p v B 9 r t H k z 9 w B _ y 5 n w D y q i n 5 B m o o 6 w J o 9 v p t B 7 - l n E m l 4 t F o t i 4 8 Z 9 1 - 2 9 M & l t ; / r i n g & g t ; & l t ; / r p o l y g o n s & g t ; & l t ; / r l i s t & g t ; & l t ; b b o x & g t ; M U L T I P O I N T   ( ( - 1 2 1 . 4 8 4 4 7   3 8 . 7 1 1 4 8 ) ,   ( - 1 2 0 . 0 0 2 9 2   3 9 . 3 1 6 4 2 ) ) & l t ; / b b o x & g t ; & l t ; / r e n t r y v a l u e & g t ; & l t ; / r e n t r y & g t ; & l t ; r e n t r y & g t ; & l t ; r e n t r y k e y & g t ; & l t ; l a t & g t ; 3 9 . 6 6 7 0 5 3 2 2 2 6 5 6 3 & l t ; / l a t & g t ; & l t ; l o n & g t ; - 1 2 1 . 6 0 0 8 9 1 1 1 3 2 8 1 & l t ; / l o n & g t ; & l t ; l o d & g t ; 0 & l t ; / l o d & g t ; & l t ; t y p e & g t ; A d m i n D i v i s i o n 2 & l t ; / t y p e & g t ; & l t ; l a n g & g t ; e n - U S & l t ; / l a n g & g t ; & l t ; u r & g t ; U S & l t ; / u r & g t ; & l t ; / r e n t r y k e y & g t ; & l t ; r e n t r y v a l u e & g t ; & l t ; r l i s t & g t ; & l t ; r p o l y g o n s & g t ; & l t ; i d & g t ; 5 0 5 7 7 1 8 6 7 8 0 3 2 7 4 4 4 6 2 & l t ; / i d & g t ; & l t ; r i n g & g t ; 0 6 j 7 4 y 8 g 3 O u h 9 z C q 9 u M x t m 4 N 9 w 6 p B h 6 u n B 4 y t g D 6 r o G p 0 j P 1 p t X y 0 l z E o 4 u F 4 i 5 q C m x n j E u l w N i x 5 K y t u u B p 0 g M r u t 4 B 4 r i 9 B t l h q B 0 w j j D z - r t C z 6 m e z h 5 T j r n b g 6 0 X v x t J r r 0 O m 3 r y B t m w 0 B j z 2 P g j n l B 5 3 2 i C q 7 n g B _ z x n B l 5 _ W 1 s k z D 5 s 4 e 1 x k L r r 9 q F u r 9 u B 0 1 g D z 1 _ O r k r U t u 6 J 4 m r w I 0 j 0 6 C y x z J y o 1 2 B 2 j k j C r 2 9 T - 3 2 4 C i h o 5 G k x t e 1 n _ g C q 1 4 d k 1 n k B l _ v t D 8 w m I m _ h 4 B 8 0 i b v q - a 2 8 v u C p p - I q n 5 h B o v l y B t h s p B 8 l 6 n C s 5 o P w r j J u r y 4 B w u o h B q 3 0 0 B z _ l s C 6 9 7 N 0 p t p C 4 v i O g 8 u s J m t g j F v t _ i D 8 4 m p B 8 y n 0 G s g 1 - G n i s 9 D 7 _ q q 6 B i 4 x j B h y 8 r N _ 1 i h B 9 k 4 w B v m q o Q v 6 9 0 B 7 o h h B k y 7 q L 9 y - H 2 i r 3 B 0 n 7 x G 5 9 l n P 2 _ 5 1 E i q x Y 3 w - 4 B h i 3 g C 2 k 4 w B m 1 y i B u x 1 9 G 0 w x g B l k i _ H i 7 o i Q v 8 6 _ G 1 - 1 a i g n o B x 5 1 g B x j q p B k q 1 j E 4 g i l H 9 l m l E 9 _ j 7 G l n g _ N s o m w H l k j x D s 1 l 2 G n 7 - j F j 0 k 1 F t 5 x p E _ u 7 5 G 8 g j p E u z x K p k r L n n 4 N v 6 w I 5 s 2 0 D q 8 o n B y n 0 q B t m z 4 E 9 n 4 3 D i _ 9 j E r - _ x G - 0 u o E 8 n g 9 B i y 9 x E 3 5 j r G y v g g B 8 1 t 6 G j 2 t q B _ i i o D h w 1 2 Q 9 l g 7 G l 2 s j E s u 6 k H u 8 t h E x t t 2 B u 7 x 9 Q i 7 q 4 B s v 9 7 P p s _ 6 B 1 g z r D 4 o w j F t 0 - 0 B j r 0 g E _ m 8 2 B 1 8 1 t J z s k u G k x j S p 0 r T - 1 j k E k w y 3 B z k o Z o s 8 q B g 2 w 3 B 5 z 7 h J z w y 3 B i 9 p h B t _ 0 - G z 5 k i Z s i i - S x r 6 9 B m p 6 v G m 8 q 5 B h x n g B 7 5 3 _ P l _ m i B 0 y u 4 B t 1 - h B 5 o 5 n H h y 4 i B - y s v t D g w 7 i B 4 g 9 - B h 3 m r E 1 - l g I z 6 m F 1 3 g E q n 1 _ B 6 3 6 q B _ r 2 s B - p 2 u B s n 0 q B n g 5 4 D j 9 x 1 B v 3 9 h N 2 8 4 I m 2 y N - m m R m z z h E - n m n j C u k j w C g 9 u x D p 1 o h B l 5 0 X g 6 1 j F q w x 6 B z 1 3 i J v r x o G o l z _ G n g 4 W t n x 1 I - h l y F l z j 6 R 8 k h V h j u h o V z 0 q 9 1 B v h _ N w k q I 0 q t n G 2 t v l D 9 i n 2 B r s t t C k p 5 I i z v t B w 1 q K s p t v D h 9 4 y J k w x K q n 9 m I r h 9 - L j _ k t I 1 3 x k B 4 l _ X 5 - 8 I _ n v 4 K h j g J j 8 5 x P - 1 q 4 N v h 6 s J h v t a z k o l B p y v o E 7 x 3 m B 9 g h u B s s _ T 0 r u w B m p p q B s s 4 v B t o z Z w x o G k z 8 T y 7 r O t 5 _ v C p 7 4 7 D n - - n G h 5 t c 1 g - 0 D l 6 z b u w s o B n 5 h R t 5 _ i E 0 m p S l k w n B u o n T h p 4 L h g h D s m h 7 B l s y F 6 k r T r g t O s 3 i x B g q s z F q - 5 c i l 9 - D k v o i B m 7 0 O w l 2 a w p r U m 8 - x B i 2 m i C q t w U n u v 1 B 7 - k r E y m 6 q B 5 _ 5 _ C p 1 i r D w l s R 5 0 u q E r 2 9 8 G v l s L s t l S k j 0 o C x x l G l r 3 B 0 v v F 8 u 7 D i 8 z J 1 _ 6 f m 9 k G z p s L w 5 q N z s m z L k 5 k q B m - p z B 0 1 j G z 4 3 j B g y i N 1 - k F 8 k - v Z h p 5 m 4 E k k j N 0 p s a l 1 9 E v 2 z - H k 1 p t E l 9 k t B z 4 y K k u y j F o i l d 6 z q 6 B w n k G - 6 o g C r 8 - D 0 5 t r B j s i F _ z 4 3 C q - _ M y 9 v R s u 1 i B t 3 9 I p p r g B 8 o x K o k 8 L 2 j 0 K 2 u x K 5 m x C o i o F _ q 2 c z m r 9 B q z w K m 6 _ 9 B q 3 y _ G 0 p 5 o E p 1 j C j j n S r 1 g 5 B g - i D r j p I l x x Q y 8 9 D v 9 i S h 4 q O x x r 8 C z 9 k Z h 7 n 1 H _ 9 7 H k t 0 K w j 1 1 B m j h D 7 o 5 J z r p 4 C r s 4 l n r B 5 9 m p C 7 - 2 M 5 k i E s - 2 x D & l t ; / r i n g & g t ; & l t ; / r p o l y g o n s & g t ; & l t ; / r l i s t & g t ; & l t ; b b o x & g t ; M U L T I P O I N T   ( ( - 1 2 2 . 0 7 1 9 9   3 9 . 2 9 5 2 4 ) ,   ( - 1 2 1 . 0 7 6 6   4 0 . 1 5 1 8 2 ) ) & l t ; / b b o x & g t ; & l t ; / r e n t r y v a l u e & g t ; & l t ; / r e n t r y & g t ; & l t ; r e n t r y & g t ; & l t ; r e n t r y k e y & g t ; & l t ; l a t & g t ; 3 6 . 6 0 5 5 9 8 4 4 9 7 0 7 & l t ; / l a t & g t ; & l t ; l o n & g t ; - 1 2 1 . 0 7 4 9 2 8 2 8 3 6 9 1 & l t ; / l o n & g t ; & l t ; l o d & g t ; 0 & l t ; / l o d & g t ; & l t ; t y p e & g t ; A d m i n D i v i s i o n 2 & l t ; / t y p e & g t ; & l t ; l a n g & g t ; e n - U S & l t ; / l a n g & g t ; & l t ; u r & g t ; U S & l t ; / u r & g t ; & l t ; / r e n t r y k e y & g t ; & l t ; r e n t r y v a l u e & g t ; & l t ; r l i s t & g t ; & l t ; r p o l y g o n s & g t ; & l t ; i d & g t ; 5 0 5 9 2 5 1 0 8 8 5 2 4 3 1 2 5 9 2 & l t ; / i d & g t ; & l t ; r i n g & g t ; j 1 l 4 q u i 8 - N m 2 1 p B o 7 n D r o i w B w 0 j o B 9 g K 1 u y y J 3 o g _ C 0 r q L t 3 j z F 7 u x S x g i w D h n q K u r k 7 C 1 6 8 _ B n 9 - z B m n n _ D m t n v D 4 k s U 0 q i Y _ u 9 W k l _ M z r r N - 6 3 m S s 7 0 9 B 7 u n U o 5 w H 7 k - 0 C 3 l 5 I 0 n n L - t 0 r M q r i g B t 3 r H - s m u B g i n 2 B v z s X r j 1 g B 4 5 g r F 9 g r Y 4 n - V u z _ q e y 0 u h B s 8 l 7 C s 8 i O 0 5 l - C u i 2 H 7 3 h _ C 8 s 6 F z u u s B v 6 4 G m v r m B 0 l 9 q B 4 y l K 0 8 5 s i C o 5 m s l G g s 8 Z 7 _ p s 0 Q h w u p v s D h 6 u R r o p y l x B w p x o C y j v H h _ 3 g G 4 8 v m B 6 y i i E o p m t I k v o T o y i p I _ 4 l j D r 2 4 z B v v _ 6 B - 2 Z i q q y C x w 7 r C 4 4 - p B 3 0 o S j 4 6 d l w 8 f 0 m l 2 B t k t F _ m j w F 2 9 1 f 6 l 0 k C p 0 x 8 E - l s f z 3 g w s D j 2 _ r g K 5 n 9 v Q 5 i 4 l C w j t o D g i y c n x j r F x g h Q 0 0 i P 7 n 4 S 7 o z 7 M - i p z M w x o k C q p 9 F - v u O 6 j _ K p 6 3 d 3 m 7 _ C 8 9 - 2 j B j 2 g I g 5 m K 0 _ 2 H x 6 l p I 0 _ u l B n _ 8 z E 7 u y r C 0 7 s q B 1 i k g C - u i X i 5 - 3 B 2 s m 9 B 0 x 9 k B - q n h H z p k r D t _ v 0 O _ 4 9 T 7 s y v G 2 s k g B q _ 2 K s 0 z l k B 7 v 4 k V 5 i h j g D y 7 3 3 o G h - k O 7 y y P l 1 6 g B 4 9 o x D q p r a 9 4 1 r B v 0 o Y 8 2 i P q t t l B g 5 o P x p s q C _ p 3 J z v 7 F v r 1 H w q n C l p m r C o 2 8 U z n p Q i 7 q F 8 - v 0 B 1 8 - h L j h 4 G k - o m C 3 2 t G o v k Y v 1 k H p 1 - f g k 9 V m y t J v t t R m p 7 7 B i i r W 4 0 r - B 3 y y k C w h n - G 7 4 k w C n q v g C o 3 l l L k - j c x y 1 b 7 1 l O r g o L 8 7 i 3 D 8 w - 0 E l x h x K 7 n 3 C q t _ P 7 1 - w C 8 s v Q r o i S n 0 h 5 H 5 8 k z L o j x T 5 j l N u v n P 2 u 2 7 C n k 0 S s r z 7 C h 8 g Q 8 6 k K s x n T v 4 u q B g j u f p q s L 6 o 3 Z v 4 4 8 B 8 y n i B p - _ H v s k 6 B q r 7 k B _ s 4 N y l g 2 C i 4 1 a 8 s m 3 D o 5 n E i p - O 0 y u Q w 2 w W i 8 z K q q r P j 9 h d y z 7 n D h 7 w V r o 9 N t - 5 V j n h L 1 5 h d 6 4 g Z y 7 q n B 0 h h g D 5 3 h O 4 v 9 O w h r H 4 o u O 8 m r 4 B 2 i h 6 B 3 o h 8 C 8 r o L 9 m j y B m 9 j K 4 y q M u y g K 0 9 i k B g l 5 Q o 3 3 M 0 i l H p p y D 1 t y v D t 8 z 0 H r q 7 z C z _ k q m u B j o g q 2 B n m 0 U p 2 h F 1 n q w B m 2 h W r l 5 K 3 t q X n s t F l k w M s q k a u 7 h Q n 3 _ p D 9 s z h B y 6 h X _ 0 8 f p 3 9 t B 4 4 k r B _ 2 y G i 6 v p B n w 1 9 B u _ v p B 6 r x I 2 k 8 9 B h 0 v R w _ 6 x F - u x C 8 v t R z _ 6 k C q 0 y t F 0 z q f 2 u 1 R 7 2 r R q q 3 L 7 6 0 b y 0 h z B q - y J 5 1 n M z - z q B m 3 s t B p q j q C p _ h c 0 2 _ M 2 v t C 5 k n b - 0 2 x H 4 9 v X 0 2 s P g 8 v M r u 2 u F n n s P o u t G 0 4 w u B w g o Y 4 n 2 G l 5 9 k B o g s - B 1 t - G r q 3 H 9 s z M 5 o p m B i 1 z I t u j H 8 k u H 0 6 1 Q 5 x i E v 3 u L 5 v p I 6 - t R m 4 - a p w p Z 3 y 1 J 5 q 0 K p g l m B j 5 - S w p u Q 4 9 2 R j 9 m J u 5 2 O m l l N t 6 l L m l h R g j 5 N s 5 1 h B 1 z s c l o n F o 4 3 G n p t W p v n V 8 t 7 k B i 9 q H k 6 3 J q l x N 7 t p m B z - y N w 1 m J 5 3 x T g 9 p V l 8 - m B u q n 9 D h y k H u - k H m l y m B y 5 q o B & l t ; / r i n g & g t ; & l t ; / r p o l y g o n s & g t ; & l t ; / r l i s t & g t ; & l t ; b b o x & g t ; M U L T I P O I N T   ( ( - 1 2 1 . 6 4 4 1 8   3 6 . 1 9 6 7 8 ) ,   ( - 1 2 0 . 5 9 6 6 5   3 6 . 9 8 8 8 6 ) ) & l t ; / b b o x & g t ; & l t ; / r e n t r y v a l u e & g t ; & l t ; / r e n t r y & g t ; & l t ; r e n t r y & g t ; & l t ; r e n t r y k e y & g t ; & l t ; l a t & g t ; 3 8 . 4 4 9 8 5 9 6 1 9 1 4 0 6 & l t ; / l a t & g t ; & l t ; l o n & g t ; - 1 2 1 . 3 4 3 8 9 4 9 5 8 4 9 6 & l t ; / l o n & g t ; & l t ; l o d & g t ; 0 & l t ; / l o d & g t ; & l t ; t y p e & g t ; A d m i n D i v i s i o n 2 & l t ; / t y p e & g t ; & l t ; l a n g & g t ; e n - U S & l t ; / l a n g & g t ; & l t ; u r & g t ; U S & l t ; / u r & g t ; & l t ; / r e n t r y k e y & g t ; & l t ; r e n t r y v a l u e & g t ; & l t ; r l i s t & g t ; & l t ; r p o l y g o n s & g t ; & l t ; i d & g t ; 5 0 5 7 7 8 7 7 0 7 2 5 0 4 4 2 2 5 4 & l t ; / i d & g t ; & l t ; r i n g & g t ; x x w 0 u m u x w O z u _ _ C 2 2 _ 7 G u g - x M n _ 0 t T 3 8 v h N 9 3 s v d m 2 1 w J j p h l C _ 7 4 P 8 0 l y C - k 1 U l 5 l k M q 7 Y 2 r t 5 C x x u r E k t 8 z C 7 - z o D 8 8 g 6 Y h w p 6 B r z - O _ g - J h 8 r 5 O g k p T 0 9 s g B y h o 0 E 4 q j j M 5 j v t B w _ t q C 0 i 0 L v 3 g M z w 3 X 9 n 7 a 6 m 2 g D 2 v m L 6 s u d j 6 u l B l p w 8 C o s p e - k 4 0 D - 7 v s C r x m e h q u f i v 6 M p p k g B n k 2 d _ m 0 2 D y p j 8 C 6 m 0 d 2 t 0 a 4 4 j r B l 5 _ H z g z l E 0 j 9 r B q t 4 g E 3 h x s C 3 2 i i E n p - o B n o z k D 3 i 4 R j o r t B 5 9 w f 9 9 m u C z h n o E 8 x y G 8 u l V h u 3 K _ x z Y u r _ n E 8 z u V 9 h - H s o h 0 D m _ x U t y 5 R p t p m E o 0 j g C v 4 3 r K - v x W 7 g j 2 B j j v j J - 2 r i D l x 7 Q 1 p j M w - x I 0 6 j S n j m g D n 8 w z C 5 1 n v E 9 j 1 m E i j i p B m q 8 U r _ 2 S q z _ 5 B 3 m 6 p C u x p y D 9 j z n L 0 4 2 n H j 5 g H i l j v B j s s L m s z s C i 4 q x C h 8 2 o C m q 3 j D v v o o G x m h 8 B y 1 3 - C 5 - 1 C _ v 6 5 Q j _ 2 S 3 7 z 3 D 2 r 8 0 B o z 9 9 C u y 2 s E 1 l u 9 H - 1 0 6 i V m 1 i - 5 J 6 p 4 0 v C 6 4 h c q x j G r j v k X 6 q k q 1 C 5 r o 4 C r 8 6 7 D l 1 m h E 0 j p t C _ 1 - 2 9 M 2 o 0 n j h B u 5 g n m F m y - i L q u z 5 B v 7 t q U 7 1 k m B y s u 1 D l - - _ E 3 g 4 2 Q w 0 h 0 S m k k Y r 0 4 y F j w 4 i C _ 4 - h D u x - l Q r q h m I o 6 w j B 9 r j R s z g 6 C 7 j 9 t B u 8 4 5 C v u n p B v j y W k _ 9 _ C u u _ 8 E r 6 n - G 2 i 4 2 I v 4 q p C 3 3 t q D - 4 j 6 G _ i _ G 1 2 o 1 C x 9 y G 0 5 r 3 V - 2 l p H 7 4 0 m G 6 v y x G 9 x s d w y 9 W n k 7 l I _ q l 8 B q g v R t 1 i 4 I _ - v x D y 6 8 q D s 9 g _ G 2 i n Q 2 x m _ u B u s _ 4 D v 0 1 5 G q 6 t 3 E j 5 m X q 4 i m Q r g g l N n p 4 y T 0 v _ r D _ z p i B i s y j B j 7 u D p k z 9 B 9 t p q B h l j J o 7 s o B p v 1 v C 9 g 2 m B 4 j s R t k o g C u 0 u h D l i i r F z w i u J t v 8 o G 1 g 2 4 H w - w C i g m K h 9 i x C t 7 q z C 6 3 n 3 B u - m v C _ m h s B o z 8 4 B r z 2 j M o 1 h _ e g m v 2 a h 8 z 0 Y x x 2 v G 2 w p w B u 0 3 Z v 6 0 o E w k m - F n x 3 h r E y r x w B j j - 6 M o p _ 5 J x 4 _ 9 O 6 y 2 I p n 6 x C 3 _ 5 p F x 2 n u K n 2 m 8 F v 0 r 0 M 7 t m k D 2 t v l E & l t ; / r i n g & g t ; & l t ; / r p o l y g o n s & g t ; & l t ; / r l i s t & g t ; & l t ; b b o x & g t ; M U L T I P O I N T   ( ( - 1 2 2 . 0 1 5 9 2   3 8 . 1 0 0 2 9 5 1 ) ,   ( - 1 2 0 . 8 7 2 0 7   3 8 . 6 5 4 5 0 3 7 ) ) & l t ; / b b o x & g t ; & l t ; / r e n t r y v a l u e & g t ; & l t ; / r e n t r y & g t ; & l t ; r e n t r y & g t ; & l t ; r e n t r y k e y & g t ; & l t ; l a t & g t ; 3 7 . 7 8 2 4 0 5 8 5 3 2 7 1 5 & l t ; / l a t & g t ; & l t ; l o n & g t ; - 1 2 2 . 4 1 3 4 2 9 2 6 0 2 5 4 & l t ; / l o n & g t ; & l t ; l o d & g t ; 0 & l t ; / l o d & g t ; & l t ; t y p e & g t ; A d m i n D i v i s i o n 2 & l t ; / t y p e & g t ; & l t ; l a n g & g t ; e n - U S & l t ; / l a n g & g t ; & l t ; u r & g t ; U S & l t ; / u r & g t ; & l t ; / r e n t r y k e y & g t ; & l t ; r e n t r y v a l u e & g t ; & l t ; r l i s t & g t ; & l t ; r p o l y g o n s & g t ; & l t ; i d & g t ; 5 0 5 7 8 6 4 6 0 4 4 1 2 0 1 8 7 0 1 & l t ; / i d & g t ; & l t ; r i n g & g t ; 6 8 k n x 7 g 3 1 O j 0 - D 3 o M 6 u 0 D v m 7 G s n 8 C h x 6 B r r K l 7 0 B i z f s 4 f 1 7 N l 1 Z 3 5 n B l q R 3 0 8 C y _ n B r u y C q p r E w o z G & l t ; / r i n g & g t ; & l t ; / r p o l y g o n s & g t ; & l t ; r p o l y g o n s & g t ; & l t ; i d & g t ; 5 0 5 7 8 6 4 7 0 7 4 9 1 2 3 3 8 0 6 & l t ; / i d & g t ; & l t ; r i n g & g t ; p 2 m 2 z 1 q 5 1 O 0 0 - B 3 l j D 4 j e 3 5 z B 1 n r E x _ W s - i B z u k B - _ 9 B 1 3 j B 4 s T 1 6 1 B & l t ; / r i n g & g t ; & l t ; / r p o l y g o n s & g t ; & l t ; r p o l y g o n s & g t ; & l t ; i d & g t ; 5 0 5 7 8 7 4 8 4 3 6 1 4 0 5 2 3 6 8 & l t ; / i d & g t ; & l t ; r i n g & g t ; p h p - _ i o 5 y O 9 x W p l t k F g t q L g 9 p D h j 8 B 2 0 4 B g v e t 2 - C o - _ L m p i D 2 u g B _ v 3 W 9 k E l 6 8 H z i z I _ 0 t B h r x F k z p I t i k M 4 u e h p M s - S y 6 0 a i r 8 D t z - E 5 q Q o 0 r C x l o F v q k R r 3 6 y r C t i g q p C 6 t p v k D 7 9 h i 3 B g - g 3 C y l o q B z h j u D o s l 2 B 8 4 o h p F 1 6 t J 0 q m 9 4 D x 5 4 w K 4 6 j 2 9 B r 2 z o I n w l D 7 - N m k h K x t V w x 6 F j n g E z o 0 D p m J y 2 3 k G 5 j t x 9 B g 0 s F 1 m M 9 t O o _ v C _ 1 y E 3 9 v G s 5 e 2 _ o B 6 6 j B z i t B m t E 2 - x B u p o F p j j B t 1 z B 1 q _ F w 2 K q 2 e o 1 s D _ _ z C - 7 Z h 5 m B - 7 w D 8 _ n E z 6 9 E t k _ E 8 j 0 B 9 p K p 7 v M r 4 H x o i E k 5 s B z r 0 D 5 z H v m 1 C x 7 r C p 3 4 B 2 j z B 7 w N - 6 z B 8 u L r y i M p m z G _ 8 a z t 4 G y s v B o q T 9 8 - B l r 7 B - y - K _ - u G j k K 3 p k B 1 4 n B z t i B o t h E q 0 7 D 9 1 6 N r h 9 C 2 z 2 m U s m w B _ w x u F _ w 3 C z m _ F v k 4 I m y p m C o r 1 i E 5 9 g R 9 z w E l - 0 D 4 4 l 9 B w 3 5 r B w 4 q V v x 2 g E z - V k - u z F & l t ; / r i n g & g t ; & l t ; / r p o l y g o n s & g t ; & l t ; / r l i s t & g t ; & l t ; b b o x & g t ; M U L T I P O I N T   ( ( - 1 2 2 . 6 7 7 7 4 9   3 7 . 6 3 6 2 8 6 ) ,   ( - 1 2 2 . 1 7 0 1 8 7   3 7 . 9 3 4 2 8 8 ) ) & l t ; / b b o x & g t ; & l t ; / r e n t r y v a l u e & g t ; & l t ; / r e n t r y & g t ; & l t ; r e n t r y & g t ; & l t ; r e n t r y k e y & g t ; & l t ; l a t & g t ; 3 3 . 0 3 4 0 5 7 6 1 7 1 8 7 5 & l t ; / l a t & g t ; & l t ; l o n & g t ; - 1 1 6 . 7 3 5 2 7 5 2 6 8 5 5 5 & l t ; / l o n & g t ; & l t ; l o d & g t ; 0 & l t ; / l o d & g t ; & l t ; t y p e & g t ; A d m i n D i v i s i o n 2 & l t ; / t y p e & g t ; & l t ; l a n g & g t ; e n - U S & l t ; / l a n g & g t ; & l t ; u r & g t ; U S & l t ; / u r & g t ; & l t ; / r e n t r y k e y & g t ; & l t ; r e n t r y v a l u e & g t ; & l t ; r l i s t & g t ; & l t ; r p o l y g o n s & g t ; & l t ; i d & g t ; 5 0 7 3 4 3 2 3 8 3 3 7 4 4 9 1 6 6 9 & l t ; / i d & g t ; & l t ; r i n g & g t ; 7 o g g w j o t 3 M s g _ 2 i C 8 5 n o 0 2 C z 2 6 0 p 2 C y _ j h q v B i j 7 u y D t s 4 v S _ 6 m E 3 9 j y k D 8 j m q 7 T m _ h _ y C p t y 9 O r p z s J _ z p o i I _ n 3 9 z a p t n 0 O 0 2 2 p 8 v B t 6 r r 3 p C m 4 x z q 6 B 2 4 o I l g 4 - c 4 u u m W r m 8 m W u 8 s o 0 G i 4 o x F 6 y i w u R v u g r I j n g q g C 1 4 t - z E t k y - X q y 0 z m B l r 8 2 L o 5 n 9 I g 6 y n 9 C o 4 q C 0 h g E 6 k k B p m P i o v h D j m g _ B y 9 t i G x _ 7 u E i 0 8 8 Q s s _ t p C j p 0 r M m n u k 6 B k l k 5 1 G l o r 3 d p 4 q E 2 0 n N q - k b k 8 y a 3 1 o L x - t K u o X z 1 r E h y h J - m k K l q 8 i B 9 o s M t z t D w q 3 Q n i n G p h r F 8 m - M 1 h 8 F y 6 t B z n 2 F o j u - D 1 y o z C k 6 9 V m k g W _ p - m t B p g 6 n e t y 7 F 4 r _ y G u 1 4 v G o - p u B v 8 8 k X n w l z M n u 5 x Y u 4 u g D 3 t w i B 1 n 9 o V j x 3 p D _ 1 m f z - 7 w k B 3 m 5 o N t i z t l D 8 k l x D v 9 i H w u w H p 7 u W o 3 j 8 I u t t w C l 8 t 6 B x 6 g G 5 w g i B 1 i 3 i B i z _ u B w m s R k p - x C _ 7 7 I j 4 3 7 C v s 2 L z m o o C h t x V 6 u h D 5 x 6 C _ j q u B g 2 8 g M z x j p B 4 6 u g B i 0 x L o 0 y W g r w 8 B j n x p B j 6 n D 4 4 0 k B 7 i w 4 F x m l i B 9 0 s N o i 0 _ C 9 7 j i J n p h 9 B o _ 0 W 5 w - 3 D y 9 w e 1 k z N 6 y z 0 B 5 l - 7 D g l l l C q t h z D v g q G _ 9 8 m B 3 _ 7 n I z _ j p M r q t 6 L 0 l 7 l a v 7 s r Z h q m g L z 2 i l I k 9 y Q x _ 9 N t - u 9 E o 6 r 7 J 1 m i 6 D & l t ; / r i n g & g t ; & l t ; / r p o l y g o n s & g t ; & l t ; / r l i s t & g t ; & l t ; b b o x & g t ; M U L T I P O I N T   ( ( - 1 1 7 . 5 9 6 1 8   3 2 . 5 3 4 2 8 ) ,   ( - 1 1 6 . 0 8 0 9 7   3 3 . 5 0 5 3 5 ) ) & l t ; / b b o x & g t ; & l t ; / r e n t r y v a l u e & g t ; & l t ; / r e n t r y & g t ; & l t ; / R e g i o n C a c h e & g t ; & l t ; R e g i o n S o u r c e s   x m l n s : i = " h t t p : / / w w w . w 3 . o r g / 2 0 0 1 / X M L S c h e m a - i n s t a n c e " & g t ; & l t ; r s o u r c e & g t ; & l t ; r s o u r c e i d & g t ; 2 & l t ; / r s o u r c e i d & g t ; & l t ; r s o u r c e n a m e & g t ; N a v t e q & l t ; / r s o u r c e n a m e & g t ; & l t ; / r s o u r c e & g t ; & l t ; r s o u r c e & g t ; & l t ; r s o u r c e i d & g t ; 1 3 & l t ; / r s o u r c e i d & g t ; & l t ; r s o u r c e n a m e & g t ; G e o N a m e s & l t ; / r s o u r c e n a m e & g t ; & l t ; / r s o u r c e & g t ; & l t ; / R e g i o n S o u r c e s & g t ; < / r p > < / V i s u a l i z a t i o n P S t a t e > 
</file>

<file path=customXml/item5.xml>��< ? x m l   v e r s i o n = " 1 . 0 "   e n c o d i n g = " u t f - 1 6 " ? > < V i s u a l i z a t i o n L S t a t e   x m l n s : x s i = " h t t p : / / w w w . w 3 . o r g / 2 0 0 1 / X M L S c h e m a - i n s t a n c e "   x m l n s : x s d = " h t t p : / / w w w . w 3 . o r g / 2 0 0 1 / X M L S c h e m a "   x m l n s = " h t t p : / / m i c r o s o f t . d a t a . v i s u a l i z a t i o n . C l i e n t . E x c e l . L S t a t e / 1 . 0 " > < c g > H 4 s I A A A A A A A E A N V c 2 3 L b R h L 9 F R a r N m 8 G 5 3 7 x S n J J c p z V R n J c k e P a P M I k L K M M A g o B 2 n F + b R / 2 k / Y X 9 g z A i 0 B A l e F i N W u U q + y S T L K b P O y e 0 9 2 n 5 9 / / / N f J i 9 + X 2 e R z s i r T I j + d 0 o h M J 0 k + L x Z p f n c 6 X V c f n p n p i 7 O T C / x 4 H V f X R X 4 Z z z 8 m E z w p L 5 / / X q a n 0 4 9 V d f 9 8 N v v y 5 U v 0 h U f F 6 m 7 G C K G z f 9 x c 3 + K R y / h Z m p d V n M + T 6 e 5 Z i z 9 / 1 v T s 5 K p s n r B 7 8 D K d r 4 q y + F B F i 7 i K o 8 9 p u Y 6 z 9 I + 4 g u v R X V L w x c z 5 j 2 d O P p 1 O X 8 S L Z Z q / T M t q l c 4 r d n o b 5 1 X 8 F 0 Y u 4 t X 7 e P V d v L z / K x 7 6 L s 7 W y e T j / H T 6 I c 7 K B L / 5 I S l + T s o i W 7 u X L Q 9 + n m T V 6 Z S L S D M h h e H c G s H N d J L h o 3 t G G Y k I Y 5 p I o g 1 l E h 8 k H n z e e A F n 8 X I M r / + q W C 3 j q k o W 5 4 v F K i n L s 9 q x S e N W P L k s 1 n n 1 9 W T W e d j J 5 v G v 0 i R b w C / 3 v v K 7 C T B 4 n q f Z 6 b R a r f E R z / 7 0 P x 6 x 1 7 z c 9 t l n l + c n s / a v H r V 0 9 k u e 4 u 1 M b q u 4 S s r 9 0 2 Y H D s 9 a n + z Z S f t n v K N Z D Q b + v X o M w i K L 8 0 H I m Y g p Z Z l V T A k l 9 s j R y H K r t O B a C 0 G 9 k X P + F C E g a x t q A / N t Y v X T K s 7 v f L F y X 9 s u + r + t k 9 X X 0 z z 5 H C 9 c 4 M 7 r y P h v Y 9 Z G n F B u u N W M q j 3 w J N L K K K 2 0 R M x y X + B f 1 z 4 F A P 7 A 0 B i A / 3 X 9 3 h f 2 3 u R q E a K W G k G R Q o X Z I 0 U j L i n C 1 k q u / J G C N y F y a s v M G F D C o Y O Q u l 6 n J f 7 5 6 X 1 a 3 n d B q 0 + U A 4 z 6 D 0 Q Z c Q S R l l Y T I e 2 D 8 1 A Q Q Y i y 0 h A C J L 3 P w 4 l z b F K 7 F S S 9 x n m v x T E A e R 2 X Z T I A O 0 E i p b n i X G o p u A V r 2 Z E Z a U F u O E P K F M o X v N q d P E B m P D A 0 B q h u i k H k R U X S c G k U o 4 g z t o k y G h m m p G B W I z s a r n t w o n 2 k E 7 4 U T 0 g y H y e L j e E 2 X I 8 / + i L J 0 / x J K e W m K r h c r b t B d E R J o C M i F U 4 s J Y j B 8 b W L I h a h G E J S r O s C f 2 L p v J r A p z 8 C R F J T f 7 S M t e H 5 N g l m T Y 2 6 m P k f W m C E g I s a R a y i e 8 i o i p S U g h K t l C L M N 6 A a p v Z / C a n X 7 / Y R 0 i D 3 e E A F q 9 X O s 3 i Z L L r 4 H B V T S h L H + U D 5 6 n p 6 c z K h W K O G C s G Y I l r 0 A N R b Z j c O h S C D h 5 b G E E 3 b 7 s h l N r A 3 o i P G m a R o k D D B K X j D D j R H A x l H + S 2 4 N 2 i b 3 A S n Q g D X Z 2 0 c 4 M 1 X i L a 8 G h R u J h L C G l k n Q 0 E e I s f B A y 0 K L y O s N x G 8 j T c + h S H w H W N j w O 2 m W B R D I B M U l N A a q 6 m U W l G Q v x 1 3 1 4 h B k E X C G f P u a j h 3 5 g E I R 9 v O G I D 6 E Z 3 W Q U D J S H F q N M F Z h j I Z 6 a 8 G S u H X V g r N N P K l k X 1 c o / c o c + 6 g 0 f p 0 L e K N g Q N o X l / 4 8 4 z L O E f X b v / 4 / 3 0 z + G W S o X X x u l j 1 Z D 1 v E o g I Q t O X a i m J k m A V u w j i k Q s r Y p E Q u T 8 w 8 G n i P E o C R F H X 1 g F c 3 2 Q L / y Z e p f d F O S S Y u E b W o w K t J m O l I + h N 0 q M 2 s k Q K / B K J z 5 8 W b h w K Q S 8 6 p s Y A 2 D v Q i v X Q c Z n A C W X Q X x d a y R 2 x A G A Y l K G / x J V g 0 r s 9 2 D g U A q 9 D S 2 O A 6 + 1 6 K I F X E W O E A q 1 2 J 4 O a C E 1 c o C W M 4 s w b r d q f E O n w w N A Y s L o u X P P 9 P L 9 L s p 4 O 7 h G F s k A n w 7 g p F v p M y v U A N x k R 0 0 6 q X f v J G i L 6 W o O 9 7 A J u T R q n y g D H W J + 1 M Y D 3 v W M f L 4 t V 3 N P j 8 K Y f 3 E R a G 0 3 B 0 h 0 / 3 P J C p y S Q T A g t i W 0 y p t / k 5 P t s U n s U o u T q 2 h o D a j f J a j 4 s 1 n S E X q E B h 5 d a P 4 g 1 I A Y S j y Y 8 A w l h 3 r F W + 7 M I E G Y H h s a A 1 X X 8 y Z c m 9 u s H D g R A b 7 L 1 M v Z 9 x Y O x Z 6 3 7 w a i M E I E G F k U 3 B C 3 J b Z 4 F 9 o Y b K S A i Y N a 7 2 q 7 d C Z F h D w y N A f r z 7 D 7 1 n p V 5 g X + 7 h u R q C P g c b J U 7 i K V 1 v e f 9 n J S i h h c G D B d z 7 i M a m 8 6 f V Y D A r 9 / 4 3 t A Y 0 L + E + K 6 n Q v Q / V W 2 E V N y I E d A e 2 5 + q D L 1 p T S w G d N w 4 8 Z f f q V q 7 E 6 L e O D A 0 B q j Q M Q c N e g W t 1 z w t 5 4 P i S 0 f a M E E k G i 7 o h + 3 j i 0 U C h S O z G P Z A E O Q L G h y b b N 0 K Q Y f 6 7 Y 0 H w o t k l c c r q H 6 7 G P r H n Y g g 2 8 K s A K c g 6 N H 2 e M R A l W p 0 N w n + 1 I z J L + z c J 7 r z K h S E P Q b H g O F l k V c r p 5 G 8 L M o h 7 V C 0 1 i x G d B C S U I X Z 6 z 5 z Y u S K H w E i w x z I u 0 / d u I V D D g L w A E d d r 7 k x w P c m i w d W J S A n i g u 0 0 6 x u A N o P g h B 7 F u 3 t Y + S t t T 9 7 z v B 0 c 4 Y D Q 2 P A 6 u e 0 X p b o q f q P a N h w N 3 V w U i F r F Y b i u 0 w p I 2 s 5 B M p Q S 0 K t 7 H v W b V 0 K 0 W b r 2 h o D a D d J j t F m 3 + F 2 B G g W 8 3 E C W Q P E 4 t w R / U 2 I 8 Y h b y g z k y t q / + N s 6 F O J c 6 9 o a A 2 S 3 a b L y H j v 4 l Y C Q P C 6 7 9 O a I b 4 B x X T k t L I p A 6 C T 2 X w E W G e w C C c j G m i m 8 J 8 F x / o Q 4 F 2 / b h k a B / s e 4 j 8 j 4 Y 4 V e j W v P M c k M h H w P p B E Q Z K L I g G T W E u 0 v j b h 1 / g T B q m 1 o D F j d x I v E O 1 L 7 + m q c 4 T h 0 U j / N N a 8 H F U 1 q V T g N j c G B i K 2 s 3 t T a r 2 y G O y n k Y l c l l r M W T 6 i S e F x k 6 T 6 R h y 6 0 U X z 8 e W 8 g H V j f x Z m / b K K 1 U t c s J 0 K A R z G p s 2 h K 4 d P c 1 d G Y t m r F E B B g F i C D v t y i B j f E F / / A U P s j + z Y V y E 3 z 4 w Z b j 4 N O F R 0 J 6 I 2 F o d C g Y L q 6 I x Y s g j B F a 4 w b K D T / v o C 5 s t m 5 F I J Z d G 2 N A b a 3 a / Q X l 4 M a H Q a L v m 7 a S i k l + / 6 i U 6 B g C i C J Q c n l B J R + P G D j T w j 2 3 j E 1 B r x e Y U u 6 B y 1 / L s B V p F F l a V c f 8 w f L G c A L 6 4 T U g r w T 4 t b W / P C q / Q k R X g e G x o B V k x L / X s S / r d O B S R E 9 R G 0 I R u G N 6 n h T b d E I z W H O B M X 4 1 T W J / S B z i a p x K s R q W p + 1 M Y D n 9 G l d 0 P z b v 8 i K i C e 3 6 0 S s 0 B i E b j B j m J B x D o q H v 4 x 3 m D l v Q q D V t j M G n H D R Q p 6 C 3 Q 7 d W M M o k z P U R k 7 O s A O L g H R j 8 0 m i S G I O Q 8 8 A 2 7 o U Y q C 9 e / 9 7 Y 6 O A r Z 6 V v U y T Q V J y z t 0 c G r X S A X C Y s j j 1 C S Q I y k h 5 V G Z 0 L o U 4 z 1 x e b N s a A 2 w / D i x u s R s v w D A k t 5 Y q u 1 u O h 5 4 S S 7 x W Y F v K s X z f Q I M 3 I Z J i y 8 w Y U G q I h 1 s X H j T / w u 4 n c Q o P b E J p s p t g M l w r h L Y f M 2 z D H z 2 T Y j 3 B h E e h g q t + + 3 t j Y 8 D t h y w Z x u 1 t B L g Q X 1 j j x Q b 8 T l z O U D 1 j l I k W i M W 1 L 9 7 h 5 d w J E V 9 t O 2 M A 6 m p 5 n 6 z S Q f q 5 + u i y y k D M 4 R q w O 4 J I k S K V 5 A R / M K n 0 7 n R s P M o C T J Y 7 p s a A 2 N / W y / d F N m h Q 6 S 4 H c W c U h h 5 A y L X L d 0 M v c E Z I l y l i T 3 j r A T Y e V Q E Q 6 5 g a A 2 J v U f H 0 n V / 9 r Q 6 v o d d l n M U Y W A + L W + w R o C 2 P 3 i S u t x P q o e 4 V j U s C u Y i x 9 W V q f s f i 1 q U 9 e 3 8 6 g U H X 1 h i + B y h w q u R L u k i g 6 H l b V N 7 g e X 0 j b t P y U / p 1 8 N 4 x 9 H i 4 L W 8 z m d k V + v g 6 C E a g 4 M N 9 J 7 6 U d u P Q O k B W 6 J g a w 7 c B N + Z A K j x s x o C l L t T 5 a K i h e w a x 8 i 6 P o 5 1 W E y S 1 a Q L 4 R f D G o 6 8 B E O u Y G g N i F x B 3 d x t p / V m 8 d y C K x r T C P a I u j L A w u T 9 2 o T W H N A g D I b R A j T d R c u 6 E m C 6 0 7 Y w B q N d x z 7 V 3 R + A E Q Q h a n m 5 z H P W H W x P f J U L O c S 5 i E O v 6 a 7 6 J E N 6 E m L S 2 z I w B p b f J x 3 i Q c A c 0 1 l 3 N h S 1 I S C E h u X u A E 7 a P L S 5 f w A V 4 R + y 0 O n 9 C I F W / 8 b 2 h M W D 1 a 5 F 1 M 9 8 x I w T c x o p F c Y 6 B u G X 7 g I L + m F D V p D 3 / m 5 X h z L 4 b 8 n Q k s 2 V m D C B d 5 V + H g I S L C D H 3 x s Y x c Y K d b T B R 6 B j w W + t 2 I y G H 8 0 1 6 8 C U E R i 0 z Y 8 D o f B k P u x w I u 8 V C K E h K 7 P b G 3 M 3 h h J o e 9 3 N J x Y w 6 Q l d S + x N C E 3 5 g 6 B v D a n b l L i o / u A 7 / 7 D / M Y Z g H S V 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G e m i n i   x m l n s = " h t t p : / / g e m i n i / p i v o t c u s t o m i z a t i o n / L i n k e d T a b l e s " > < C u s t o m C o n t e n t > < ! [ C D A T A [ < L i n k e d T a b l e s   x m l n s : x s i = " h t t p : / / w w w . w 3 . o r g / 2 0 0 1 / X M L S c h e m a - i n s t a n c e "   x m l n s : x s d = " h t t p : / / w w w . w 3 . o r g / 2 0 0 1 / X M L S c h e m a " > < L i n k e d T a b l e L i s t > < L i n k e d T a b l e I n f o > < E x c e l T a b l e N a m e > C o m b i n e d D e m o < / E x c e l T a b l e N a m e > < G e m i n i T a b l e I d > C o m b i n e d D e m o < / G e m i n i T a b l e I d > < L i n k e d C o l u m n L i s t   / > < U p d a t e N e e d e d > f a l s e < / U p d a t e N e e d e d > < R o w C o u n t > 0 < / R o w C o u n t > < / L i n k e d T a b l e I n f o > < / L i n k e d T a b l e L i s t > < / L i n k e d T a b l e s > ] ] > < / C u s t o m C o n t e n t > < / G e m i n i > 
</file>

<file path=customXml/item7.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A T A _ K D I & 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 i : t y p e = " S a n d b o x E d i t o r T a b l e W i d g e t V i e w M o d e l K e y " & g t ; & l t ; T a b l e N a m e & g t ; D A T A _ K D I & l t ; / T a b l e N a m e & g t ; & l t ; / K e y & g t ; & l t ; M a i n t a i n e r 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u n t y   N a m e & l t ; / K e y & g t ; & l t ; / a : K e y & g t ; & l t ; a : V a l u e   i : t y p e = " T a b l e W i d g e t B a s e V i e w S t a t e " / & g t ; & l t ; / a : K e y V a l u e O f D i a g r a m O b j e c t K e y a n y T y p e z b w N T n L X & g t ; & l t ; a : K e y V a l u e O f D i a g r a m O b j e c t K e y a n y T y p e z b w N T n L X & g t ; & l t ; a : K e y & g t ; & l t ; K e y & g t ; C o l u m n s \ C o u n t y   S i z e & l t ; / K e y & g t ; & l t ; / a : K e y & g t ; & l t ; a : V a l u e   i : t y p e = " T a b l e W i d g e t B a s e V i e w S t a t e " / & g t ; & l t ; / a : K e y V a l u e O f D i a g r a m O b j e c t K e y a n y T y p e z b w N T n L X & g t ; & l t ; a : K e y V a l u e O f D i a g r a m O b j e c t K e y a n y T y p e z b w N T n L X & g t ; & l t ; a : K e y & g t ; & l t ; K e y & g t ; C o l u m n s \ C o u n t y   T y p e & l t ; / K e y & g t ; & l t ; / a : K e y & g t ; & l t ; a : V a l u e   i : t y p e = " T a b l e W i d g e t B a s e V i e w S t a t e " / & g t ; & l t ; / a : K e y V a l u e O f D i a g r a m O b j e c t K e y a n y T y p e z b w N T n L X & g t ; & l t ; a : K e y V a l u e O f D i a g r a m O b j e c t K e y a n y T y p e z b w N T n L X & g t ; & l t ; a : K e y & g t ; & l t ; K e y & g t ; C o l u m n s \ A u t h o r i z e d   C a s e s * & l t ; / K e y & g t ; & l t ; / a : K e y & g t ; & l t ; a : V a l u e   i : t y p e = " T a b l e W i d g e t B a s e V i e w S t a t e " / & g t ; & l t ; / a : K e y V a l u e O f D i a g r a m O b j e c t K e y a n y T y p e z b w N T n L X & g t ; & l t ; a : K e y V a l u e O f D i a g r a m O b j e c t K e y a n y T y p e z b w N T n L X & g t ; & l t ; a : K e y & g t ; & l t ; K e y & g t ; C o l u m n s \ A u t h o r i z e d   H o u r s & l t ; / K e y & g t ; & l t ; / a : K e y & g t ; & l t ; a : V a l u e   i : t y p e = " T a b l e W i d g e t B a s e V i e w S t a t e " / & g t ; & l t ; / a : K e y V a l u e O f D i a g r a m O b j e c t K e y a n y T y p e z b w N T n L X & g t ; & l t ; a : K e y V a l u e O f D i a g r a m O b j e c t K e y a n y T y p e z b w N T n L X & g t ; & l t ; a : K e y & g t ; & l t ; K e y & g t ; C o l u m n s \ A u t h o r i z e d   C a s e s   i n   E l e c t r o n i c   T i m e   S h e e t s   ( E T S ) & l t ; / K e y & g t ; & l t ; / a : K e y & g t ; & l t ; a : V a l u e   i : t y p e = " T a b l e W i d g e t B a s e V i e w S t a t e " / & g t ; & l t ; / a : K e y V a l u e O f D i a g r a m O b j e c t K e y a n y T y p e z b w N T n L X & g t ; & l t ; a : K e y V a l u e O f D i a g r a m O b j e c t K e y a n y T y p e z b w N T n L X & g t ; & l t ; a : K e y & g t ; & l t ; K e y & g t ; C o l u m n s \ S e v e r l y   I m p a i r e d   ( S I )   C a s e s & l t ; / K e y & g t ; & l t ; / a : K e y & g t ; & l t ; a : V a l u e   i : t y p e = " T a b l e W i d g e t B a s e V i e w S t a t e " / & g t ; & l t ; / a : K e y V a l u e O f D i a g r a m O b j e c t K e y a n y T y p e z b w N T n L X & g t ; & l t ; a : K e y V a l u e O f D i a g r a m O b j e c t K e y a n y T y p e z b w N T n L X & g t ; & l t ; a : K e y & g t ; & l t ; K e y & g t ; C o l u m n s \ N o n - S e v e r e l y   I m p a i r e d   ( N S I )   C a s e s & l t ; / K e y & g t ; & l t ; / a : K e y & g t ; & l t ; a : V a l u e   i : t y p e = " T a b l e W i d g e t B a s e V i e w S t a t e " / & g t ; & l t ; / a : K e y V a l u e O f D i a g r a m O b j e c t K e y a n y T y p e z b w N T n L X & g t ; & l t ; a : K e y V a l u e O f D i a g r a m O b j e c t K e y a n y T y p e z b w N T n L X & g t ; & l t ; a : K e y & g t ; & l t ; K e y & g t ; C o l u m n s \ P r o t e c t i v e   S u p .   ( P S )   C a s e s & l t ; / K e y & g t ; & l t ; / a : K e y & g t ; & l t ; a : V a l u e   i : t y p e = " T a b l e W i d g e t B a s e V i e w S t a t e " / & g t ; & l t ; / a : K e y V a l u e O f D i a g r a m O b j e c t K e y a n y T y p e z b w N T n L X & g t ; & l t ; a : K e y V a l u e O f D i a g r a m O b j e c t K e y a n y T y p e z b w N T n L X & g t ; & l t ; a : K e y & g t ; & l t ; K e y & g t ; C o l u m n s \ P a r a m e d i c a l   ( P M )   C a s e s & l t ; / K e y & g t ; & l t ; / a : K e y & g t ; & l t ; a : V a l u e   i : t y p e = " T a b l e W i d g e t B a s e V i e w S t a t e " / & g t ; & l t ; / a : K e y V a l u e O f D i a g r a m O b j e c t K e y a n y T y p e z b w N T n L X & g t ; & l t ; a : K e y V a l u e O f D i a g r a m O b j e c t K e y a n y T y p e z b w N T n L X & g t ; & l t ; a : K e y & g t ; & l t ; K e y & g t ; C o l u m n s \ C a s e s   t h a t   E n t e r e d   I H S S   a s   " A g e d " & l t ; / K e y & g t ; & l t ; / a : K e y & g t ; & l t ; a : V a l u e   i : t y p e = " T a b l e W i d g e t B a s e V i e w S t a t e " / & g t ; & l t ; / a : K e y V a l u e O f D i a g r a m O b j e c t K e y a n y T y p e z b w N T n L X & g t ; & l t ; a : K e y V a l u e O f D i a g r a m O b j e c t K e y a n y T y p e z b w N T n L X & g t ; & l t ; a : K e y & g t ; & l t ; K e y & g t ; C o l u m n s \ H o u r s   f o r   C a s e s   t h a t   E n t e r e d   I H S S   a s   " A g e d " & l t ; / K e y & g t ; & l t ; / a : K e y & g t ; & l t ; a : V a l u e   i : t y p e = " T a b l e W i d g e t B a s e V i e w S t a t e " / & g t ; & l t ; / a : K e y V a l u e O f D i a g r a m O b j e c t K e y a n y T y p e z b w N T n L X & g t ; & l t ; a : K e y V a l u e O f D i a g r a m O b j e c t K e y a n y T y p e z b w N T n L X & g t ; & l t ; a : K e y & g t ; & l t ; K e y & g t ; C o l u m n s \ C a s e s   t h a t   E n t e r e d   I H S S   a s   " B l i n d " & l t ; / K e y & g t ; & l t ; / a : K e y & g t ; & l t ; a : V a l u e   i : t y p e = " T a b l e W i d g e t B a s e V i e w S t a t e " / & g t ; & l t ; / a : K e y V a l u e O f D i a g r a m O b j e c t K e y a n y T y p e z b w N T n L X & g t ; & l t ; a : K e y V a l u e O f D i a g r a m O b j e c t K e y a n y T y p e z b w N T n L X & g t ; & l t ; a : K e y & g t ; & l t ; K e y & g t ; C o l u m n s \ H o u r s   f o r   C a s e s   t h a t   E n t e r e d   I H S S   a s   " B l i n d " & l t ; / K e y & g t ; & l t ; / a : K e y & g t ; & l t ; a : V a l u e   i : t y p e = " T a b l e W i d g e t B a s e V i e w S t a t e " / & g t ; & l t ; / a : K e y V a l u e O f D i a g r a m O b j e c t K e y a n y T y p e z b w N T n L X & g t ; & l t ; a : K e y V a l u e O f D i a g r a m O b j e c t K e y a n y T y p e z b w N T n L X & g t ; & l t ; a : K e y & g t ; & l t ; K e y & g t ; C o l u m n s \ C a s e s   t h a t   E n t e r e d   I H S S   a s   " D i s a b l e d " & l t ; / K e y & g t ; & l t ; / a : K e y & g t ; & l t ; a : V a l u e   i : t y p e = " T a b l e W i d g e t B a s e V i e w S t a t e " / & g t ; & l t ; / a : K e y V a l u e O f D i a g r a m O b j e c t K e y a n y T y p e z b w N T n L X & g t ; & l t ; a : K e y V a l u e O f D i a g r a m O b j e c t K e y a n y T y p e z b w N T n L X & g t ; & l t ; a : K e y & g t ; & l t ; K e y & g t ; C o l u m n s \ H o u r s   f o r   C a s e s   t h a t   E n t e r e d   I H S S   a s   " D i s a b l e d " & l t ; / K e y & g t ; & l t ; / a : K e y & g t ; & l t ; a : V a l u e   i : t y p e = " T a b l e W i d g e t B a s e V i e w S t a t e " / & g t ; & l t ; / a : K e y V a l u e O f D i a g r a m O b j e c t K e y a n y T y p e z b w N T n L X & g t ; & l t ; a : K e y V a l u e O f D i a g r a m O b j e c t K e y a n y T y p e z b w N T n L X & g t ; & l t ; a : K e y & g t ; & l t ; K e y & g t ; C o l u m n s \ A c t i v e   o r   L e a v e   I n d .   P r o v i d e r s & l t ; / K e y & g t ; & l t ; / a : K e y & g t ; & l t ; a : V a l u e   i : t y p e = " T a b l e W i d g e t B a s e V i e w S t a t e " / & g t ; & l t ; / a : K e y V a l u e O f D i a g r a m O b j e c t K e y a n y T y p e z b w N T n L X & g t ; & l t ; a : K e y V a l u e O f D i a g r a m O b j e c t K e y a n y T y p e z b w N T n L X & g t ; & l t ; a : K e y & g t ; & l t ; K e y & g t ; C o l u m n s \ A c t i v e   o r   L e a v e   I n d .   P r o v i d e r s   E n r o l l e d   i n   E T S & l t ; / K e y & g t ; & l t ; / a : K e y & g t ; & l t ; a : V a l u e   i : t y p e = " T a b l e W i d g e t B a s e V i e w S t a t e " / & g t ; & l t ; / a : K e y V a l u e O f D i a g r a m O b j e c t K e y a n y T y p e z b w N T n L X & g t ; & l t ; a : K e y V a l u e O f D i a g r a m O b j e c t K e y a n y T y p e z b w N T n L X & g t ; & l t ; a : K e y & g t ; & l t ; K e y & g t ; C o l u m n s \ A c t i v e / L e a v e   L i v e - I n   P r o v i d e r s & l t ; / K e y & g t ; & l t ; / a : K e y & g t ; & l t ; a : V a l u e   i : t y p e = " T a b l e W i d g e t B a s e V i e w S t a t e " / & g t ; & l t ; / a : K e y V a l u e O f D i a g r a m O b j e c t K e y a n y T y p e z b w N T n L X & g t ; & l t ; a : K e y V a l u e O f D i a g r a m O b j e c t K e y a n y T y p e z b w N T n L X & g t ; & l t ; a : K e y & g t ; & l t ; K e y & g t ; C o l u m n s \ A c t i v e / L e a v e   R e l a t i v e s   P r o v i d e r s & l t ; / K e y & g t ; & l t ; / a : K e y & g t ; & l t ; a : V a l u e   i : t y p e = " T a b l e W i d g e t B a s e V i e w S t a t e " / & g t ; & l t ; / a : K e y V a l u e O f D i a g r a m O b j e c t K e y a n y T y p e z b w N T n L X & g t ; & l t ; a : K e y V a l u e O f D i a g r a m O b j e c t K e y a n y T y p e z b w N T n L X & g t ; & l t ; a : K e y & g t ; & l t ; K e y & g t ; C o l u m n s \ A c t i v e / L e a v e   L i v e - I n   R e l a t i v e   P r o v & l t ; / K e y & g t ; & l t ; / a : K e y & g t ; & l t ; a : V a l u e   i : t y p e = " T a b l e W i d g e t B a s e V i e w S t a t e " / & g t ; & l t ; / a : K e y V a l u e O f D i a g r a m O b j e c t K e y a n y T y p e z b w N T n L X & g t ; & l t ; a : K e y V a l u e O f D i a g r a m O b j e c t K e y a n y T y p e z b w N T n L X & g t ; & l t ; a : K e y & g t ; & l t ; K e y & g t ; C o l u m n s \ A c t i v e / L e a v e   S p o u s e   P r o v i d e r s & l t ; / K e y & g t ; & l t ; / a : K e y & g t ; & l t ; a : V a l u e   i : t y p e = " T a b l e W i d g e t B a s e V i e w S t a t e " / & g t ; & l t ; / a : K e y V a l u e O f D i a g r a m O b j e c t K e y a n y T y p e z b w N T n L X & g t ; & l t ; a : K e y V a l u e O f D i a g r a m O b j e c t K e y a n y T y p e z b w N T n L X & g t ; & l t ; a : K e y & g t ; & l t ; K e y & g t ; C o l u m n s \ A c t i v e / L e a v e   P a r e n t   P r o v i d e r s & l t ; / K e y & g t ; & l t ; / a : K e y & g t ; & l t ; a : V a l u e   i : t y p e = " T a b l e W i d g e t B a s e V i e w S t a t e " / & g t ; & l t ; / a : K e y V a l u e O f D i a g r a m O b j e c t K e y a n y T y p e z b w N T n L X & g t ; & l t ; a : K e y V a l u e O f D i a g r a m O b j e c t K e y a n y T y p e z b w N T n L X & g t ; & l t ; a : K e y & g t ; & l t ; K e y & g t ; C o l u m n s \ W a g e   R a t e   ( I P s ) & l t ; / K e y & g t ; & l t ; / a : K e y & g t ; & l t ; a : V a l u e   i : t y p e = " T a b l e W i d g e t B a s e V i e w S t a t e " / & g t ; & l t ; / a : K e y V a l u e O f D i a g r a m O b j e c t K e y a n y T y p e z b w N T n L X & g t ; & l t ; a : K e y V a l u e O f D i a g r a m O b j e c t K e y a n y T y p e z b w N T n L X & g t ; & l t ; a : K e y & g t ; & l t ; K e y & g t ; C o l u m n s \ C a s e s   i n   P C S P & l t ; / K e y & g t ; & l t ; / a : K e y & g t ; & l t ; a : V a l u e   i : t y p e = " T a b l e W i d g e t B a s e V i e w S t a t e " / & g t ; & l t ; / a : K e y V a l u e O f D i a g r a m O b j e c t K e y a n y T y p e z b w N T n L X & g t ; & l t ; a : K e y V a l u e O f D i a g r a m O b j e c t K e y a n y T y p e z b w N T n L X & g t ; & l t ; a : K e y & g t ; & l t ; K e y & g t ; C o l u m n s \ C a s e s   i n   C F C O & l t ; / K e y & g t ; & l t ; / a : K e y & g t ; & l t ; a : V a l u e   i : t y p e = " T a b l e W i d g e t B a s e V i e w S t a t e " / & g t ; & l t ; / a : K e y V a l u e O f D i a g r a m O b j e c t K e y a n y T y p e z b w N T n L X & g t ; & l t ; a : K e y V a l u e O f D i a g r a m O b j e c t K e y a n y T y p e z b w N T n L X & g t ; & l t ; a : K e y & g t ; & l t ; K e y & g t ; C o l u m n s \ C a s e s   i n   I P O & l t ; / K e y & g t ; & l t ; / a : K e y & g t ; & l t ; a : V a l u e   i : t y p e = " T a b l e W i d g e t B a s e V i e w S t a t e " / & g t ; & l t ; / a : K e y V a l u e O f D i a g r a m O b j e c t K e y a n y T y p e z b w N T n L X & g t ; & l t ; a : K e y V a l u e O f D i a g r a m O b j e c t K e y a n y T y p e z b w N T n L X & g t ; & l t ; a : K e y & g t ; & l t ; K e y & g t ; C o l u m n s \ C a s e s   i n           I H S S - R & l t ; / K e y & g t ; & l t ; / a : K e y & g t ; & l t ; a : V a l u e   i : t y p e = " T a b l e W i d g e t B a s e V i e w S t a t e " / & g t ; & l t ; / a : K e y V a l u e O f D i a g r a m O b j e c t K e y a n y T y p e z b w N T n L X & g t ; & l t ; a : K e y V a l u e O f D i a g r a m O b j e c t K e y a n y T y p e z b w N T n L X & g t ; & l t ; a : K e y & g t ; & l t ; K e y & g t ; C o l u m n s \ F e m a l e & l t ; / K e y & g t ; & l t ; / a : K e y & g t ; & l t ; a : V a l u e   i : t y p e = " T a b l e W i d g e t B a s e V i e w S t a t e " / & g t ; & l t ; / a : K e y V a l u e O f D i a g r a m O b j e c t K e y a n y T y p e z b w N T n L X & g t ; & l t ; a : K e y V a l u e O f D i a g r a m O b j e c t K e y a n y T y p e z b w N T n L X & g t ; & l t ; a : K e y & g t ; & l t ; K e y & g t ; C o l u m n s \ M a l e & l t ; / K e y & g t ; & l t ; / a : K e y & g t ; & l t ; a : V a l u e   i : t y p e = " T a b l e W i d g e t B a s e V i e w S t a t e " / & g t ; & l t ; / a : K e y V a l u e O f D i a g r a m O b j e c t K e y a n y T y p e z b w N T n L X & g t ; & l t ; a : K e y V a l u e O f D i a g r a m O b j e c t K e y a n y T y p e z b w N T n L X & g t ; & l t ; a : K e y & g t ; & l t ; K e y & g t ; C o l u m n s \ W h i t e & l t ; / K e y & g t ; & l t ; / a : K e y & g t ; & l t ; a : V a l u e   i : t y p e = " T a b l e W i d g e t B a s e V i e w S t a t e " / & g t ; & l t ; / a : K e y V a l u e O f D i a g r a m O b j e c t K e y a n y T y p e z b w N T n L X & g t ; & l t ; a : K e y V a l u e O f D i a g r a m O b j e c t K e y a n y T y p e z b w N T n L X & g t ; & l t ; a : K e y & g t ; & l t ; K e y & g t ; C o l u m n s \ H i s p a n i c & l t ; / K e y & g t ; & l t ; / a : K e y & g t ; & l t ; a : V a l u e   i : t y p e = " T a b l e W i d g e t B a s e V i e w S t a t e " / & g t ; & l t ; / a : K e y V a l u e O f D i a g r a m O b j e c t K e y a n y T y p e z b w N T n L X & g t ; & l t ; a : K e y V a l u e O f D i a g r a m O b j e c t K e y a n y T y p e z b w N T n L X & g t ; & l t ; a : K e y & g t ; & l t ; K e y & g t ; C o l u m n s \ B l a c k & l t ; / K e y & g t ; & l t ; / a : K e y & g t ; & l t ; a : V a l u e   i : t y p e = " T a b l e W i d g e t B a s e V i e w S t a t e " / & g t ; & l t ; / a : K e y V a l u e O f D i a g r a m O b j e c t K e y a n y T y p e z b w N T n L X & g t ; & l t ; a : K e y V a l u e O f D i a g r a m O b j e c t K e y a n y T y p e z b w N T n L X & g t ; & l t ; a : K e y & g t ; & l t ; K e y & g t ; C o l u m n s \ A s i a n   o r   P a c i f i c   I s l a n d e r & l t ; / K e y & g t ; & l t ; / a : K e y & g t ; & l t ; a : V a l u e   i : t y p e = " T a b l e W i d g e t B a s e V i e w S t a t e " / & g t ; & l t ; / a : K e y V a l u e O f D i a g r a m O b j e c t K e y a n y T y p e z b w N T n L X & g t ; & l t ; a : K e y V a l u e O f D i a g r a m O b j e c t K e y a n y T y p e z b w N T n L X & g t ; & l t ; a : K e y & g t ; & l t ; K e y & g t ; C o l u m n s \ A l a s k a n   N a t i v e   o r   A m e r i c a n   I n d i a n & l t ; / K e y & g t ; & l t ; / a : K e y & g t ; & l t ; a : V a l u e   i : t y p e = " T a b l e W i d g e t B a s e V i e w S t a t e " / & g t ; & l t ; / a : K e y V a l u e O f D i a g r a m O b j e c t K e y a n y T y p e z b w N T n L X & g t ; & l t ; a : K e y V a l u e O f D i a g r a m O b j e c t K e y a n y T y p e z b w N T n L X & g t ; & l t ; a : K e y & g t ; & l t ; K e y & g t ; C o l u m n s \ F i l i p i n o & l t ; / K e y & g t ; & l t ; / a : K e y & g t ; & l t ; a : V a l u e   i : t y p e = " T a b l e W i d g e t B a s e V i e w S t a t e " / & g t ; & l t ; / a : K e y V a l u e O f D i a g r a m O b j e c t K e y a n y T y p e z b w N T n L X & g t ; & l t ; a : K e y V a l u e O f D i a g r a m O b j e c t K e y a n y T y p e z b w N T n L X & g t ; & l t ; a : K e y & g t ; & l t ; K e y & g t ; C o l u m n s \ N o   V a l i d   D a t a   R e p o r t e d & l t ; / K e y & g t ; & l t ; / a : K e y & g t ; & l t ; a : V a l u e   i : t y p e = " T a b l e W i d g e t B a s e V i e w S t a t e " / & g t ; & l t ; / a : K e y V a l u e O f D i a g r a m O b j e c t K e y a n y T y p e z b w N T n L X & g t ; & l t ; a : K e y V a l u e O f D i a g r a m O b j e c t K e y a n y T y p e z b w N T n L X & g t ; & l t ; a : K e y & g t ; & l t ; K e y & g t ; C o l u m n s \ N o   R e s p o n s e ;   c l i e n t   d e c l i n e d   t o   s t a t e & l t ; / K e y & g t ; & l t ; / a : K e y & g t ; & l t ; a : V a l u e   i : t y p e = " T a b l e W i d g e t B a s e V i e w S t a t e " / & g t ; & l t ; / a : K e y V a l u e O f D i a g r a m O b j e c t K e y a n y T y p e z b w N T n L X & g t ; & l t ; a : K e y V a l u e O f D i a g r a m O b j e c t K e y a n y T y p e z b w N T n L X & g t ; & l t ; a : K e y & g t ; & l t ; K e y & g t ; C o l u m n s \ A m e r a s i a n & l t ; / K e y & g t ; & l t ; / a : K e y & g t ; & l t ; a : V a l u e   i : t y p e = " T a b l e W i d g e t B a s e V i e w S t a t e " / & g t ; & l t ; / a : K e y V a l u e O f D i a g r a m O b j e c t K e y a n y T y p e z b w N T n L X & g t ; & l t ; a : K e y V a l u e O f D i a g r a m O b j e c t K e y a n y T y p e z b w N T n L X & g t ; & l t ; a : K e y & g t ; & l t ; K e y & g t ; C o l u m n s \ C h i n e s e & l t ; / K e y & g t ; & l t ; / a : K e y & g t ; & l t ; a : V a l u e   i : t y p e = " T a b l e W i d g e t B a s e V i e w S t a t e " / & g t ; & l t ; / a : K e y V a l u e O f D i a g r a m O b j e c t K e y a n y T y p e z b w N T n L X & g t ; & l t ; a : K e y V a l u e O f D i a g r a m O b j e c t K e y a n y T y p e z b w N T n L X & g t ; & l t ; a : K e y & g t ; & l t ; K e y & g t ; C o l u m n s \ C a m b o d i a n & l t ; / K e y & g t ; & l t ; / a : K e y & g t ; & l t ; a : V a l u e   i : t y p e = " T a b l e W i d g e t B a s e V i e w S t a t e " / & g t ; & l t ; / a : K e y V a l u e O f D i a g r a m O b j e c t K e y a n y T y p e z b w N T n L X & g t ; & l t ; a : K e y V a l u e O f D i a g r a m O b j e c t K e y a n y T y p e z b w N T n L X & g t ; & l t ; a : K e y & g t ; & l t ; K e y & g t ; C o l u m n s \ J a p a n e s e & l t ; / K e y & g t ; & l t ; / a : K e y & g t ; & l t ; a : V a l u e   i : t y p e = " T a b l e W i d g e t B a s e V i e w S t a t e " / & g t ; & l t ; / a : K e y V a l u e O f D i a g r a m O b j e c t K e y a n y T y p e z b w N T n L X & g t ; & l t ; a : K e y V a l u e O f D i a g r a m O b j e c t K e y a n y T y p e z b w N T n L X & g t ; & l t ; a : K e y & g t ; & l t ; K e y & g t ; C o l u m n s \ K o r e a n & l t ; / K e y & g t ; & l t ; / a : K e y & g t ; & l t ; a : V a l u e   i : t y p e = " T a b l e W i d g e t B a s e V i e w S t a t e " / & g t ; & l t ; / a : K e y V a l u e O f D i a g r a m O b j e c t K e y a n y T y p e z b w N T n L X & g t ; & l t ; a : K e y V a l u e O f D i a g r a m O b j e c t K e y a n y T y p e z b w N T n L X & g t ; & l t ; a : K e y & g t ; & l t ; K e y & g t ; C o l u m n s \ S a m o a n & l t ; / K e y & g t ; & l t ; / a : K e y & g t ; & l t ; a : V a l u e   i : t y p e = " T a b l e W i d g e t B a s e V i e w S t a t e " / & g t ; & l t ; / a : K e y V a l u e O f D i a g r a m O b j e c t K e y a n y T y p e z b w N T n L X & g t ; & l t ; a : K e y V a l u e O f D i a g r a m O b j e c t K e y a n y T y p e z b w N T n L X & g t ; & l t ; a : K e y & g t ; & l t ; K e y & g t ; C o l u m n s \ A s i a n   I n d i a n & l t ; / K e y & g t ; & l t ; / a : K e y & g t ; & l t ; a : V a l u e   i : t y p e = " T a b l e W i d g e t B a s e V i e w S t a t e " / & g t ; & l t ; / a : K e y V a l u e O f D i a g r a m O b j e c t K e y a n y T y p e z b w N T n L X & g t ; & l t ; a : K e y V a l u e O f D i a g r a m O b j e c t K e y a n y T y p e z b w N T n L X & g t ; & l t ; a : K e y & g t ; & l t ; K e y & g t ; C o l u m n s \ H a w a i i a n & l t ; / K e y & g t ; & l t ; / a : K e y & g t ; & l t ; a : V a l u e   i : t y p e = " T a b l e W i d g e t B a s e V i e w S t a t e " / & g t ; & l t ; / a : K e y V a l u e O f D i a g r a m O b j e c t K e y a n y T y p e z b w N T n L X & g t ; & l t ; a : K e y V a l u e O f D i a g r a m O b j e c t K e y a n y T y p e z b w N T n L X & g t ; & l t ; a : K e y & g t ; & l t ; K e y & g t ; C o l u m n s \ G u a m i a n & l t ; / K e y & g t ; & l t ; / a : K e y & g t ; & l t ; a : V a l u e   i : t y p e = " T a b l e W i d g e t B a s e V i e w S t a t e " / & g t ; & l t ; / a : K e y V a l u e O f D i a g r a m O b j e c t K e y a n y T y p e z b w N T n L X & g t ; & l t ; a : K e y V a l u e O f D i a g r a m O b j e c t K e y a n y T y p e z b w N T n L X & g t ; & l t ; a : K e y & g t ; & l t ; K e y & g t ; C o l u m n s \ L a o t i a n & l t ; / K e y & g t ; & l t ; / a : K e y & g t ; & l t ; a : V a l u e   i : t y p e = " T a b l e W i d g e t B a s e V i e w S t a t e " / & g t ; & l t ; / a : K e y V a l u e O f D i a g r a m O b j e c t K e y a n y T y p e z b w N T n L X & g t ; & l t ; a : K e y V a l u e O f D i a g r a m O b j e c t K e y a n y T y p e z b w N T n L X & g t ; & l t ; a : K e y & g t ; & l t ; K e y & g t ; C o l u m n s \ V i e t n a m e s e & l t ; / K e y & g t ; & l t ; / a : K e y & g t ; & l t ; a : V a l u e   i : t y p e = " T a b l e W i d g e t B a s e V i e w S t a t e " / & g t ; & l t ; / a : K e y V a l u e O f D i a g r a m O b j e c t K e y a n y T y p e z b w N T n L X & g t ; & l t ; a : K e y V a l u e O f D i a g r a m O b j e c t K e y a n y T y p e z b w N T n L X & g t ; & l t ; a : K e y & g t ; & l t ; K e y & g t ; C o l u m n s \ O t h e r & l t ; / K e y & g t ; & l t ; / a : K e y & g t ; & l t ; a : V a l u e   i : t y p e = " T a b l e W i d g e t B a s e V i e w S t a t e " / & g t ; & l t ; / a : K e y V a l u e O f D i a g r a m O b j e c t K e y a n y T y p e z b w N T n L X & g t ; & l t ; a : K e y V a l u e O f D i a g r a m O b j e c t K e y a n y T y p e z b w N T n L X & g t ; & l t ; a : K e y & g t ; & l t ; K e y & g t ; C o l u m n s \ S p o k e n   L a n g u a g e   -   E n g l i s h & l t ; / K e y & g t ; & l t ; / a : K e y & g t ; & l t ; a : V a l u e   i : t y p e = " T a b l e W i d g e t B a s e V i e w S t a t e " / & g t ; & l t ; / a : K e y V a l u e O f D i a g r a m O b j e c t K e y a n y T y p e z b w N T n L X & g t ; & l t ; a : K e y V a l u e O f D i a g r a m O b j e c t K e y a n y T y p e z b w N T n L X & g t ; & l t ; a : K e y & g t ; & l t ; K e y & g t ; C o l u m n s \ S p o k e n   L a n g u a g e   -   S p a n i s h & l t ; / K e y & g t ; & l t ; / a : K e y & g t ; & l t ; a : V a l u e   i : t y p e = " T a b l e W i d g e t B a s e V i e w S t a t e " / & g t ; & l t ; / a : K e y V a l u e O f D i a g r a m O b j e c t K e y a n y T y p e z b w N T n L X & g t ; & l t ; a : K e y V a l u e O f D i a g r a m O b j e c t K e y a n y T y p e z b w N T n L X & g t ; & l t ; a : K e y & g t ; & l t ; K e y & g t ; C o l u m n s \ S p o k e n   L a n g u a g e   -   C a n t o n e s e & l t ; / K e y & g t ; & l t ; / a : K e y & g t ; & l t ; a : V a l u e   i : t y p e = " T a b l e W i d g e t B a s e V i e w S t a t e " / & g t ; & l t ; / a : K e y V a l u e O f D i a g r a m O b j e c t K e y a n y T y p e z b w N T n L X & g t ; & l t ; a : K e y V a l u e O f D i a g r a m O b j e c t K e y a n y T y p e z b w N T n L X & g t ; & l t ; a : K e y & g t ; & l t ; K e y & g t ; C o l u m n s \ S p o k e n   L a n g u a g e   -   M a n d a r i n & l t ; / K e y & g t ; & l t ; / a : K e y & g t ; & l t ; a : V a l u e   i : t y p e = " T a b l e W i d g e t B a s e V i e w S t a t e " / & g t ; & l t ; / a : K e y V a l u e O f D i a g r a m O b j e c t K e y a n y T y p e z b w N T n L X & g t ; & l t ; a : K e y V a l u e O f D i a g r a m O b j e c t K e y a n y T y p e z b w N T n L X & g t ; & l t ; a : K e y & g t ; & l t ; K e y & g t ; C o l u m n s \ S p o k e n   L a n g u a g e   -   O t h e r   C h i n e s e   L a n g u a g e s & l t ; / K e y & g t ; & l t ; / a : K e y & g t ; & l t ; a : V a l u e   i : t y p e = " T a b l e W i d g e t B a s e V i e w S t a t e " / & g t ; & l t ; / a : K e y V a l u e O f D i a g r a m O b j e c t K e y a n y T y p e z b w N T n L X & g t ; & l t ; a : K e y V a l u e O f D i a g r a m O b j e c t K e y a n y T y p e z b w N T n L X & g t ; & l t ; a : K e y & g t ; & l t ; K e y & g t ; C o l u m n s \ S p o k e n   L a n g u a g e   -   A r m e n i a n & l t ; / K e y & g t ; & l t ; / a : K e y & g t ; & l t ; a : V a l u e   i : t y p e = " T a b l e W i d g e t B a s e V i e w S t a t e " / & g t ; & l t ; / a : K e y V a l u e O f D i a g r a m O b j e c t K e y a n y T y p e z b w N T n L X & g t ; & l t ; a : K e y V a l u e O f D i a g r a m O b j e c t K e y a n y T y p e z b w N T n L X & g t ; & l t ; a : K e y & g t ; & l t ; K e y & g t ; C o l u m n s \ S p o k e n   L a n g u a g e   -   O t h e r & l t ; / K e y & g t ; & l t ; / a : K e y & g t ; & l t ; a : V a l u e   i : t y p e = " T a b l e W i d g e t B a s e V i e w S t a t e " / & g t ; & l t ; / a : K e y V a l u e O f D i a g r a m O b j e c t K e y a n y T y p e z b w N T n L X & g t ; & l t ; a : K e y V a l u e O f D i a g r a m O b j e c t K e y a n y T y p e z b w N T n L X & g t ; & l t ; a : K e y & g t ; & l t ; K e y & g t ; C o l u m n s \ W r i t t e n   L a n g u a g e   -   E n g l i s h & l t ; / K e y & g t ; & l t ; / a : K e y & g t ; & l t ; a : V a l u e   i : t y p e = " T a b l e W i d g e t B a s e V i e w S t a t e " / & g t ; & l t ; / a : K e y V a l u e O f D i a g r a m O b j e c t K e y a n y T y p e z b w N T n L X & g t ; & l t ; a : K e y V a l u e O f D i a g r a m O b j e c t K e y a n y T y p e z b w N T n L X & g t ; & l t ; a : K e y & g t ; & l t ; K e y & g t ; C o l u m n s \ W r i t t e n   L a n g u a g e   -   S p a n i s h & l t ; / K e y & g t ; & l t ; / a : K e y & g t ; & l t ; a : V a l u e   i : t y p e = " T a b l e W i d g e t B a s e V i e w S t a t e " / & g t ; & l t ; / a : K e y V a l u e O f D i a g r a m O b j e c t K e y a n y T y p e z b w N T n L X & g t ; & l t ; a : K e y V a l u e O f D i a g r a m O b j e c t K e y a n y T y p e z b w N T n L X & g t ; & l t ; a : K e y & g t ; & l t ; K e y & g t ; C o l u m n s \ W r i t t e n   L a n g u a g e   -   C a n t o n e s e & l t ; / K e y & g t ; & l t ; / a : K e y & g t ; & l t ; a : V a l u e   i : t y p e = " T a b l e W i d g e t B a s e V i e w S t a t e " / & g t ; & l t ; / a : K e y V a l u e O f D i a g r a m O b j e c t K e y a n y T y p e z b w N T n L X & g t ; & l t ; a : K e y V a l u e O f D i a g r a m O b j e c t K e y a n y T y p e z b w N T n L X & g t ; & l t ; a : K e y & g t ; & l t ; K e y & g t ; C o l u m n s \ W r i t t e n   L a n g u a g e   -   M a n d a r i n & l t ; / K e y & g t ; & l t ; / a : K e y & g t ; & l t ; a : V a l u e   i : t y p e = " T a b l e W i d g e t B a s e V i e w S t a t e " / & g t ; & l t ; / a : K e y V a l u e O f D i a g r a m O b j e c t K e y a n y T y p e z b w N T n L X & g t ; & l t ; a : K e y V a l u e O f D i a g r a m O b j e c t K e y a n y T y p e z b w N T n L X & g t ; & l t ; a : K e y & g t ; & l t ; K e y & g t ; C o l u m n s \ W r i t t e n   L a n g u a g e   -   O t h e r   C h i n e s e   L a n g u a g e s & l t ; / K e y & g t ; & l t ; / a : K e y & g t ; & l t ; a : V a l u e   i : t y p e = " T a b l e W i d g e t B a s e V i e w S t a t e " / & g t ; & l t ; / a : K e y V a l u e O f D i a g r a m O b j e c t K e y a n y T y p e z b w N T n L X & g t ; & l t ; a : K e y V a l u e O f D i a g r a m O b j e c t K e y a n y T y p e z b w N T n L X & g t ; & l t ; a : K e y & g t ; & l t ; K e y & g t ; C o l u m n s \ W r i t t e n   L a n g u a g e   -   A r m e n i a n & l t ; / K e y & g t ; & l t ; / a : K e y & g t ; & l t ; a : V a l u e   i : t y p e = " T a b l e W i d g e t B a s e V i e w S t a t e " / & g t ; & l t ; / a : K e y V a l u e O f D i a g r a m O b j e c t K e y a n y T y p e z b w N T n L X & g t ; & l t ; a : K e y V a l u e O f D i a g r a m O b j e c t K e y a n y T y p e z b w N T n L X & g t ; & l t ; a : K e y & g t ; & l t ; K e y & g t ; C o l u m n s \ W r i t t e n   L a n g u a g e   -   O t h e r & l t ; / K e y & g t ; & l t ; / a : K e y & g t ; & l t ; a : V a l u e   i : t y p e = " T a b l e W i d g e t B a s e V i e w S t a t e " / & g t ; & l t ; / a : K e y V a l u e O f D i a g r a m O b j e c t K e y a n y T y p e z b w N T n L X & g t ; & l t ; a : K e y V a l u e O f D i a g r a m O b j e c t K e y a n y T y p e z b w N T n L X & g t ; & l t ; a : K e y & g t ; & l t ; K e y & g t ; C o l u m n s \ 0 - 1 7   A g e   G r o u p   ( M i n o r s )   C a s e s & l t ; / K e y & g t ; & l t ; / a : K e y & g t ; & l t ; a : V a l u e   i : t y p e = " T a b l e W i d g e t B a s e V i e w S t a t e " / & g t ; & l t ; / a : K e y V a l u e O f D i a g r a m O b j e c t K e y a n y T y p e z b w N T n L X & g t ; & l t ; a : K e y V a l u e O f D i a g r a m O b j e c t K e y a n y T y p e z b w N T n L X & g t ; & l t ; a : K e y & g t ; & l t ; K e y & g t ; C o l u m n s \ 1 8 - 4 4   A g e   G r o u p   C a s e s & l t ; / K e y & g t ; & l t ; / a : K e y & g t ; & l t ; a : V a l u e   i : t y p e = " T a b l e W i d g e t B a s e V i e w S t a t e " / & g t ; & l t ; / a : K e y V a l u e O f D i a g r a m O b j e c t K e y a n y T y p e z b w N T n L X & g t ; & l t ; a : K e y V a l u e O f D i a g r a m O b j e c t K e y a n y T y p e z b w N T n L X & g t ; & l t ; a : K e y & g t ; & l t ; K e y & g t ; C o l u m n s \ 4 5   t o   6 4   A g e   G r o u p   C a s e s & l t ; / K e y & g t ; & l t ; / a : K e y & g t ; & l t ; a : V a l u e   i : t y p e = " T a b l e W i d g e t B a s e V i e w S t a t e " / & g t ; & l t ; / a : K e y V a l u e O f D i a g r a m O b j e c t K e y a n y T y p e z b w N T n L X & g t ; & l t ; a : K e y V a l u e O f D i a g r a m O b j e c t K e y a n y T y p e z b w N T n L X & g t ; & l t ; a : K e y & g t ; & l t ; K e y & g t ; C o l u m n s \ 6 5   t o   7 4   A g e   G r o u p   C a s e s & l t ; / K e y & g t ; & l t ; / a : K e y & g t ; & l t ; a : V a l u e   i : t y p e = " T a b l e W i d g e t B a s e V i e w S t a t e " / & g t ; & l t ; / a : K e y V a l u e O f D i a g r a m O b j e c t K e y a n y T y p e z b w N T n L X & g t ; & l t ; a : K e y V a l u e O f D i a g r a m O b j e c t K e y a n y T y p e z b w N T n L X & g t ; & l t ; a : K e y & g t ; & l t ; K e y & g t ; C o l u m n s \ 7 5   t o   8 4   A g e   G r o u p   C a s e s & l t ; / K e y & g t ; & l t ; / a : K e y & g t ; & l t ; a : V a l u e   i : t y p e = " T a b l e W i d g e t B a s e V i e w S t a t e " / & g t ; & l t ; / a : K e y V a l u e O f D i a g r a m O b j e c t K e y a n y T y p e z b w N T n L X & g t ; & l t ; a : K e y V a l u e O f D i a g r a m O b j e c t K e y a n y T y p e z b w N T n L X & g t ; & l t ; a : K e y & g t ; & l t ; K e y & g t ; C o l u m n s \ 8 5 +   A g e   G r o u p   C a s e s & l t ; / K e y & g t ; & l t ; / a : K e y & g t ; & l t ; a : V a l u e 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m b i n e d D e m o & 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 i : t y p e = " S a n d b o x E d i t o r T a b l e W i d g e t V i e w M o d e l K e y " & g t ; & l t ; T a b l e N a m e & g t ; C o m b i n e d D e m o & l t ; / T a b l e N a m e & g t ; & l t ; / K e y & g t ; & l t ; M a i n t a i n e r 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u n t y   N a m e & l t ; / K e y & g t ; & l t ; / a : K e y & g t ; & l t ; a : V a l u e   i : t y p e = " T a b l e W i d g e t B a s e V i e w S t a t e " / & g t ; & l t ; / a : K e y V a l u e O f D i a g r a m O b j e c t K e y a n y T y p e z b w N T n L X & g t ; & l t ; a : K e y V a l u e O f D i a g r a m O b j e c t K e y a n y T y p e z b w N T n L X & g t ; & l t ; a : K e y & g t ; & l t ; K e y & g t ; C o l u m n s \ C o u n t y   S i z e & l t ; / K e y & g t ; & l t ; / a : K e y & g t ; & l t ; a : V a l u e   i : t y p e = " T a b l e W i d g e t B a s e V i e w S t a t e " / & g t ; & l t ; / a : K e y V a l u e O f D i a g r a m O b j e c t K e y a n y T y p e z b w N T n L X & g t ; & l t ; a : K e y V a l u e O f D i a g r a m O b j e c t K e y a n y T y p e z b w N T n L X & g t ; & l t ; a : K e y & g t ; & l t ; K e y & g t ; C o l u m n s \ C o u n t y   T y p e & l t ; / K e y & g t ; & l t ; / a : K e y & g t ; & l t ; a : V a l u e   i : t y p e = " T a b l e W i d g e t B a s e V i e w S t a t e " / & g t ; & l t ; / a : K e y V a l u e O f D i a g r a m O b j e c t K e y a n y T y p e z b w N T n L X & g t ; & l t ; a : K e y V a l u e O f D i a g r a m O b j e c t K e y a n y T y p e z b w N T n L X & g t ; & l t ; a : K e y & g t ; & l t ; K e y & g t ; C o l u m n s \ A u t h o r i z e d   C a s e s * & l t ; / K e y & g t ; & l t ; / a : K e y & g t ; & l t ; a : V a l u e   i : t y p e = " T a b l e W i d g e t B a s e V i e w S t a t e " / & g t ; & l t ; / a : K e y V a l u e O f D i a g r a m O b j e c t K e y a n y T y p e z b w N T n L X & g t ; & l t ; a : K e y V a l u e O f D i a g r a m O b j e c t K e y a n y T y p e z b w N T n L X & g t ; & l t ; a : K e y & g t ; & l t ; K e y & g t ; C o l u m n s \ A u t h o r i z e d   H o u r s & l t ; / K e y & g t ; & l t ; / a : K e y & g t ; & l t ; a : V a l u e   i : t y p e = " T a b l e W i d g e t B a s e V i e w S t a t e " / & g t ; & l t ; / a : K e y V a l u e O f D i a g r a m O b j e c t K e y a n y T y p e z b w N T n L X & g t ; & l t ; a : K e y V a l u e O f D i a g r a m O b j e c t K e y a n y T y p e z b w N T n L X & g t ; & l t ; a : K e y & g t ; & l t ; K e y & g t ; C o l u m n s \ A u t h o r i z e d   C a s e s   i n   E l e c t r o n i c   T i m e   S h e e t s   ( E T S ) & l t ; / K e y & g t ; & l t ; / a : K e y & g t ; & l t ; a : V a l u e   i : t y p e = " T a b l e W i d g e t B a s e V i e w S t a t e " / & g t ; & l t ; / a : K e y V a l u e O f D i a g r a m O b j e c t K e y a n y T y p e z b w N T n L X & g t ; & l t ; a : K e y V a l u e O f D i a g r a m O b j e c t K e y a n y T y p e z b w N T n L X & g t ; & l t ; a : K e y & g t ; & l t ; K e y & g t ; C o l u m n s \ A c t i v e   o r   L e a v e   I n d .   P r o v i d e r s   E n r o l l e d   i n   E T S & l t ; / K e y & g t ; & l t ; / a : K e y & g t ; & l t ; a : V a l u e   i : t y p e = " T a b l e W i d g e t B a s e V i e w S t a t e " / & g t ; & l t ; / a : K e y V a l u e O f D i a g r a m O b j e c t K e y a n y T y p e z b w N T n L X & g t ; & l t ; a : K e y V a l u e O f D i a g r a m O b j e c t K e y a n y T y p e z b w N T n L X & g t ; & l t ; a : K e y & g t ; & l t ; K e y & g t ; C o l u m n s \ S e v e r l y   I m p a i r e d   ( S I )   C a s e s & l t ; / K e y & g t ; & l t ; / a : K e y & g t ; & l t ; a : V a l u e   i : t y p e = " T a b l e W i d g e t B a s e V i e w S t a t e " / & g t ; & l t ; / a : K e y V a l u e O f D i a g r a m O b j e c t K e y a n y T y p e z b w N T n L X & g t ; & l t ; a : K e y V a l u e O f D i a g r a m O b j e c t K e y a n y T y p e z b w N T n L X & g t ; & l t ; a : K e y & g t ; & l t ; K e y & g t ; C o l u m n s \ S I   A u t h o r i z e d   H o u r s & l t ; / K e y & g t ; & l t ; / a : K e y & g t ; & l t ; a : V a l u e   i : t y p e = " T a b l e W i d g e t B a s e V i e w S t a t e " / & g t ; & l t ; / a : K e y V a l u e O f D i a g r a m O b j e c t K e y a n y T y p e z b w N T n L X & g t ; & l t ; a : K e y V a l u e O f D i a g r a m O b j e c t K e y a n y T y p e z b w N T n L X & g t ; & l t ; a : K e y & g t ; & l t ; K e y & g t ; C o l u m n s \ N o n - S e v e r e l y   I m p a i r e d   ( N S I )   C a s e s & l t ; / K e y & g t ; & l t ; / a : K e y & g t ; & l t ; a : V a l u e   i : t y p e = " T a b l e W i d g e t B a s e V i e w S t a t e " / & g t ; & l t ; / a : K e y V a l u e O f D i a g r a m O b j e c t K e y a n y T y p e z b w N T n L X & g t ; & l t ; a : K e y V a l u e O f D i a g r a m O b j e c t K e y a n y T y p e z b w N T n L X & g t ; & l t ; a : K e y & g t ; & l t ; K e y & g t ; C o l u m n s \ N S I   A u t h o r i z e d   H o u r s & l t ; / K e y & g t ; & l t ; / a : K e y & g t ; & l t ; a : V a l u e   i : t y p e = " T a b l e W i d g e t B a s e V i e w S t a t e " / & g t ; & l t ; / a : K e y V a l u e O f D i a g r a m O b j e c t K e y a n y T y p e z b w N T n L X & g t ; & l t ; a : K e y V a l u e O f D i a g r a m O b j e c t K e y a n y T y p e z b w N T n L X & g t ; & l t ; a : K e y & g t ; & l t ; K e y & g t ; C o l u m n s \ P r o t e c t i v e   S u p .   ( P S )   C a s e s & l t ; / K e y & g t ; & l t ; / a : K e y & g t ; & l t ; a : V a l u e   i : t y p e = " T a b l e W i d g e t B a s e V i e w S t a t e " / & g t ; & l t ; / a : K e y V a l u e O f D i a g r a m O b j e c t K e y a n y T y p e z b w N T n L X & g t ; & l t ; a : K e y V a l u e O f D i a g r a m O b j e c t K e y a n y T y p e z b w N T n L X & g t ; & l t ; a : K e y & g t ; & l t ; K e y & g t ; C o l u m n s \ P r o t e c t i v e   S u p .   ( P S )   A u t h .   H o u r s & l t ; / K e y & g t ; & l t ; / a : K e y & g t ; & l t ; a : V a l u e   i : t y p e = " T a b l e W i d g e t B a s e V i e w S t a t e " / & g t ; & l t ; / a : K e y V a l u e O f D i a g r a m O b j e c t K e y a n y T y p e z b w N T n L X & g t ; & l t ; a : K e y V a l u e O f D i a g r a m O b j e c t K e y a n y T y p e z b w N T n L X & g t ; & l t ; a : K e y & g t ; & l t ; K e y & g t ; C o l u m n s \ P a r a m e d i c a l   ( P M )   C a s e s & l t ; / K e y & g t ; & l t ; / a : K e y & g t ; & l t ; a : V a l u e   i : t y p e = " T a b l e W i d g e t B a s e V i e w S t a t e " / & g t ; & l t ; / a : K e y V a l u e O f D i a g r a m O b j e c t K e y a n y T y p e z b w N T n L X & g t ; & l t ; a : K e y V a l u e O f D i a g r a m O b j e c t K e y a n y T y p e z b w N T n L X & g t ; & l t ; a : K e y & g t ; & l t ; K e y & g t ; C o l u m n s \ P a r a m e d i c a l   ( P M )   A u t h .   H o u r s & l t ; / K e y & g t ; & l t ; / a : K e y & g t ; & l t ; a : V a l u e   i : t y p e = " T a b l e W i d g e t B a s e V i e w S t a t e " / & g t ; & l t ; / a : K e y V a l u e O f D i a g r a m O b j e c t K e y a n y T y p e z b w N T n L X & g t ; & l t ; a : K e y V a l u e O f D i a g r a m O b j e c t K e y a n y T y p e z b w N T n L X & g t ; & l t ; a : K e y & g t ; & l t ; K e y & g t ; C o l u m n s \ C a s e s   t h a t   E n t e r e d   I H S S   a s   " A g e d " & l t ; / K e y & g t ; & l t ; / a : K e y & g t ; & l t ; a : V a l u e   i : t y p e = " T a b l e W i d g e t B a s e V i e w S t a t e " / & g t ; & l t ; / a : K e y V a l u e O f D i a g r a m O b j e c t K e y a n y T y p e z b w N T n L X & g t ; & l t ; a : K e y V a l u e O f D i a g r a m O b j e c t K e y a n y T y p e z b w N T n L X & g t ; & l t ; a : K e y & g t ; & l t ; K e y & g t ; C o l u m n s \ H o u r s   f o r   C a s e s   t h a t   E n t e r e d   I H S S   a s   " A g e d " & l t ; / K e y & g t ; & l t ; / a : K e y & g t ; & l t ; a : V a l u e   i : t y p e = " T a b l e W i d g e t B a s e V i e w S t a t e " / & g t ; & l t ; / a : K e y V a l u e O f D i a g r a m O b j e c t K e y a n y T y p e z b w N T n L X & g t ; & l t ; a : K e y V a l u e O f D i a g r a m O b j e c t K e y a n y T y p e z b w N T n L X & g t ; & l t ; a : K e y & g t ; & l t ; K e y & g t ; C o l u m n s \ C a s e s   t h a t   E n t e r e d   I H S S   a s   " B l i n d " & l t ; / K e y & g t ; & l t ; / a : K e y & g t ; & l t ; a : V a l u e   i : t y p e = " T a b l e W i d g e t B a s e V i e w S t a t e " / & g t ; & l t ; / a : K e y V a l u e O f D i a g r a m O b j e c t K e y a n y T y p e z b w N T n L X & g t ; & l t ; a : K e y V a l u e O f D i a g r a m O b j e c t K e y a n y T y p e z b w N T n L X & g t ; & l t ; a : K e y & g t ; & l t ; K e y & g t ; C o l u m n s \ H o u r s   f o r   C a s e s   t h a t   E n t e r e d   I H S S   a s   " B l i n d " & l t ; / K e y & g t ; & l t ; / a : K e y & g t ; & l t ; a : V a l u e   i : t y p e = " T a b l e W i d g e t B a s e V i e w S t a t e " / & g t ; & l t ; / a : K e y V a l u e O f D i a g r a m O b j e c t K e y a n y T y p e z b w N T n L X & g t ; & l t ; a : K e y V a l u e O f D i a g r a m O b j e c t K e y a n y T y p e z b w N T n L X & g t ; & l t ; a : K e y & g t ; & l t ; K e y & g t ; C o l u m n s \ C a s e s   t h a t   E n t e r e d   I H S S   a s   " D i s a b l e d " & l t ; / K e y & g t ; & l t ; / a : K e y & g t ; & l t ; a : V a l u e   i : t y p e = " T a b l e W i d g e t B a s e V i e w S t a t e " / & g t ; & l t ; / a : K e y V a l u e O f D i a g r a m O b j e c t K e y a n y T y p e z b w N T n L X & g t ; & l t ; a : K e y V a l u e O f D i a g r a m O b j e c t K e y a n y T y p e z b w N T n L X & g t ; & l t ; a : K e y & g t ; & l t ; K e y & g t ; C o l u m n s \ H o u r s   f o r   C a s e s   t h a t   E n t e r e d   I H S S   a s   " D i s a b l e d " & l t ; / K e y & g t ; & l t ; / a : K e y & g t ; & l t ; a : V a l u e   i : t y p e = " T a b l e W i d g e t B a s e V i e w S t a t e " / & g t ; & l t ; / a : K e y V a l u e O f D i a g r a m O b j e c t K e y a n y T y p e z b w N T n L X & g t ; & l t ; a : K e y V a l u e O f D i a g r a m O b j e c t K e y a n y T y p e z b w N T n L X & g t ; & l t ; a : K e y & g t ; & l t ; K e y & g t ; C o l u m n s \ A c t i v e   o r   L e a v e   I n d .   P r o v i d e r s & l t ; / K e y & g t ; & l t ; / a : K e y & g t ; & l t ; a : V a l u e   i : t y p e = " T a b l e W i d g e t B a s e V i e w S t a t e " / & g t ; & l t ; / a : K e y V a l u e O f D i a g r a m O b j e c t K e y a n y T y p e z b w N T n L X & g t ; & l t ; a : K e y V a l u e O f D i a g r a m O b j e c t K e y a n y T y p e z b w N T n L X & g t ; & l t ; a : K e y & g t ; & l t ; K e y & g t ; C o l u m n s \ A c t i v e / L e a v e   L i v e - I n   P r o v i d e r s & l t ; / K e y & g t ; & l t ; / a : K e y & g t ; & l t ; a : V a l u e   i : t y p e = " T a b l e W i d g e t B a s e V i e w S t a t e " / & g t ; & l t ; / a : K e y V a l u e O f D i a g r a m O b j e c t K e y a n y T y p e z b w N T n L X & g t ; & l t ; a : K e y V a l u e O f D i a g r a m O b j e c t K e y a n y T y p e z b w N T n L X & g t ; & l t ; a : K e y & g t ; & l t ; K e y & g t ; C o l u m n s \ A c t i v e / L e a v e   R e l a t i v e s   P r o v i d e r s & l t ; / K e y & g t ; & l t ; / a : K e y & g t ; & l t ; a : V a l u e   i : t y p e = " T a b l e W i d g e t B a s e V i e w S t a t e " / & g t ; & l t ; / a : K e y V a l u e O f D i a g r a m O b j e c t K e y a n y T y p e z b w N T n L X & g t ; & l t ; a : K e y V a l u e O f D i a g r a m O b j e c t K e y a n y T y p e z b w N T n L X & g t ; & l t ; a : K e y & g t ; & l t ; K e y & g t ; C o l u m n s \ C a s e s   i n   P C S P & l t ; / K e y & g t ; & l t ; / a : K e y & g t ; & l t ; a : V a l u e   i : t y p e = " T a b l e W i d g e t B a s e V i e w S t a t e " / & g t ; & l t ; / a : K e y V a l u e O f D i a g r a m O b j e c t K e y a n y T y p e z b w N T n L X & g t ; & l t ; a : K e y V a l u e O f D i a g r a m O b j e c t K e y a n y T y p e z b w N T n L X & g t ; & l t ; a : K e y & g t ; & l t ; K e y & g t ; C o l u m n s \ H o u r s   i n   P C S P & l t ; / K e y & g t ; & l t ; / a : K e y & g t ; & l t ; a : V a l u e   i : t y p e = " T a b l e W i d g e t B a s e V i e w S t a t e " / & g t ; & l t ; / a : K e y V a l u e O f D i a g r a m O b j e c t K e y a n y T y p e z b w N T n L X & g t ; & l t ; a : K e y V a l u e O f D i a g r a m O b j e c t K e y a n y T y p e z b w N T n L X & g t ; & l t ; a : K e y & g t ; & l t ; K e y & g t ; C o l u m n s \ C a s e s   i n   C F C O & l t ; / K e y & g t ; & l t ; / a : K e y & g t ; & l t ; a : V a l u e   i : t y p e = " T a b l e W i d g e t B a s e V i e w S t a t e " / & g t ; & l t ; / a : K e y V a l u e O f D i a g r a m O b j e c t K e y a n y T y p e z b w N T n L X & g t ; & l t ; a : K e y V a l u e O f D i a g r a m O b j e c t K e y a n y T y p e z b w N T n L X & g t ; & l t ; a : K e y & g t ; & l t ; K e y & g t ; C o l u m n s \ H o u r s   i n   C F C O & l t ; / K e y & g t ; & l t ; / a : K e y & g t ; & l t ; a : V a l u e   i : t y p e = " T a b l e W i d g e t B a s e V i e w S t a t e " / & g t ; & l t ; / a : K e y V a l u e O f D i a g r a m O b j e c t K e y a n y T y p e z b w N T n L X & g t ; & l t ; a : K e y V a l u e O f D i a g r a m O b j e c t K e y a n y T y p e z b w N T n L X & g t ; & l t ; a : K e y & g t ; & l t ; K e y & g t ; C o l u m n s \ C a s e s   i n   I P O & l t ; / K e y & g t ; & l t ; / a : K e y & g t ; & l t ; a : V a l u e   i : t y p e = " T a b l e W i d g e t B a s e V i e w S t a t e " / & g t ; & l t ; / a : K e y V a l u e O f D i a g r a m O b j e c t K e y a n y T y p e z b w N T n L X & g t ; & l t ; a : K e y V a l u e O f D i a g r a m O b j e c t K e y a n y T y p e z b w N T n L X & g t ; & l t ; a : K e y & g t ; & l t ; K e y & g t ; C o l u m n s \ H o u r s   i n   I P O & l t ; / K e y & g t ; & l t ; / a : K e y & g t ; & l t ; a : V a l u e   i : t y p e = " T a b l e W i d g e t B a s e V i e w S t a t e " / & g t ; & l t ; / a : K e y V a l u e O f D i a g r a m O b j e c t K e y a n y T y p e z b w N T n L X & g t ; & l t ; a : K e y V a l u e O f D i a g r a m O b j e c t K e y a n y T y p e z b w N T n L X & g t ; & l t ; a : K e y & g t ; & l t ; K e y & g t ; C o l u m n s \ C a s e s   i n           I H S S - R & l t ; / K e y & g t ; & l t ; / a : K e y & g t ; & l t ; a : V a l u e   i : t y p e = " T a b l e W i d g e t B a s e V i e w S t a t e " / & g t ; & l t ; / a : K e y V a l u e O f D i a g r a m O b j e c t K e y a n y T y p e z b w N T n L X & g t ; & l t ; a : K e y V a l u e O f D i a g r a m O b j e c t K e y a n y T y p e z b w N T n L X & g t ; & l t ; a : K e y & g t ; & l t ; K e y & g t ; C o l u m n s \ H o u r s   i n           I H S S - R & l t ; / K e y & g t ; & l t ; / a : K e y & g t ; & l t ; a : V a l u e   i : t y p e = " T a b l e W i d g e t B a s e V i e w S t a t e " / & g t ; & l t ; / a : K e y V a l u e O f D i a g r a m O b j e c t K e y a n y T y p e z b w N T n L X & g t ; & l t ; a : K e y V a l u e O f D i a g r a m O b j e c t K e y a n y T y p e z b w N T n L X & g t ; & l t ; a : K e y & g t ; & l t ; K e y & g t ; C o l u m n s \ P e r c e n t   o f   A u t h .   H o u r s   t h a t   a r e   P a i d & l t ; / K e y & g t ; & l t ; / a : K e y & g t ; & l t ; a : V a l u e   i : t y p e = " T a b l e W i d g e t B a s e V i e w S t a t e " / & g t ; & l t ; / a : K e y V a l u e O f D i a g r a m O b j e c t K e y a n y T y p e z b w N T n L X & g t ; & l t ; a : K e y V a l u e O f D i a g r a m O b j e c t K e y a n y T y p e z b w N T n L X & g t ; & l t ; a : K e y & g t ; & l t ; K e y & g t ; C o l u m n s \ P e r c e n t   o f   A c t i v e /   L e a v e   P r o v i d e r s   t h a t   a r e   P a i d & l t ; / K e y & g t ; & l t ; / a : K e y & g t ; & l t ; a : V a l u e   i : t y p e = " T a b l e W i d g e t B a s e V i e w S t a t e " / & g t ; & l t ; / a : K e y V a l u e O f D i a g r a m O b j e c t K e y a n y T y p e z b w N T n L X & g t ; & l t ; a : K e y V a l u e O f D i a g r a m O b j e c t K e y a n y T y p e z b w N T n L X & g t ; & l t ; a : K e y & g t ; & l t ; K e y & g t ; C o l u m n s \ P e r c e n t   o f   A c t i v e /   L e a v e   P r o v i d e r s   L i v i n g   w i t h   t h e i r   R e c i p i e n t s & l t ; / K e y & g t ; & l t ; / a : K e y & g t ; & l t ; a : V a l u e   i : t y p e = " T a b l e W i d g e t B a s e V i e w S t a t e " / & g t ; & l t ; / a : K e y V a l u e O f D i a g r a m O b j e c t K e y a n y T y p e z b w N T n L X & g t ; & l t ; a : K e y V a l u e O f D i a g r a m O b j e c t K e y a n y T y p e z b w N T n L X & g t ; & l t ; a : K e y & g t ; & l t ; K e y & g t ; C o l u m n s \ P e r c e n t   o f   A c t i v e /   L e a v e   P r o v i d e r s   t h a t   a r e   R e l a t i v e s & l t ; / K e y & g t ; & l t ; / a : K e y & g t ; & l t ; a : V a l u e   i : t y p e = " T a b l e W i d g e t B a s e V i e w S t a t e " / & g t ; & l t ; / a : K e y V a l u e O f D i a g r a m O b j e c t K e y a n y T y p e z b w N T n L X & g t ; & l t ; a : K e y V a l u e O f D i a g r a m O b j e c t K e y a n y T y p e z b w N T n L X & g t ; & l t ; a : K e y & g t ; & l t ; K e y & g t ; C o l u m n s \ F e m a l e & l t ; / K e y & g t ; & l t ; / a : K e y & g t ; & l t ; a : V a l u e   i : t y p e = " T a b l e W i d g e t B a s e V i e w S t a t e " / & g t ; & l t ; / a : K e y V a l u e O f D i a g r a m O b j e c t K e y a n y T y p e z b w N T n L X & g t ; & l t ; a : K e y V a l u e O f D i a g r a m O b j e c t K e y a n y T y p e z b w N T n L X & g t ; & l t ; a : K e y & g t ; & l t ; K e y & g t ; C o l u m n s \ M a l e & l t ; / K e y & g t ; & l t ; / a : K e y & g t ; & l t ; a : V a l u e   i : t y p e = " T a b l e W i d g e t B a s e V i e w S t a t e " / & g t ; & l t ; / a : K e y V a l u e O f D i a g r a m O b j e c t K e y a n y T y p e z b w N T n L X & g t ; & l t ; a : K e y V a l u e O f D i a g r a m O b j e c t K e y a n y T y p e z b w N T n L X & g t ; & l t ; a : K e y & g t ; & l t ; K e y & g t ; C o l u m n s \ W h i t e & l t ; / K e y & g t ; & l t ; / a : K e y & g t ; & l t ; a : V a l u e   i : t y p e = " T a b l e W i d g e t B a s e V i e w S t a t e " / & g t ; & l t ; / a : K e y V a l u e O f D i a g r a m O b j e c t K e y a n y T y p e z b w N T n L X & g t ; & l t ; a : K e y V a l u e O f D i a g r a m O b j e c t K e y a n y T y p e z b w N T n L X & g t ; & l t ; a : K e y & g t ; & l t ; K e y & g t ; C o l u m n s \ H i s p a n i c & l t ; / K e y & g t ; & l t ; / a : K e y & g t ; & l t ; a : V a l u e   i : t y p e = " T a b l e W i d g e t B a s e V i e w S t a t e " / & g t ; & l t ; / a : K e y V a l u e O f D i a g r a m O b j e c t K e y a n y T y p e z b w N T n L X & g t ; & l t ; a : K e y V a l u e O f D i a g r a m O b j e c t K e y a n y T y p e z b w N T n L X & g t ; & l t ; a : K e y & g t ; & l t ; K e y & g t ; C o l u m n s \ B l a c k & l t ; / K e y & g t ; & l t ; / a : K e y & g t ; & l t ; a : V a l u e   i : t y p e = " T a b l e W i d g e t B a s e V i e w S t a t e " / & g t ; & l t ; / a : K e y V a l u e O f D i a g r a m O b j e c t K e y a n y T y p e z b w N T n L X & g t ; & l t ; a : K e y V a l u e O f D i a g r a m O b j e c t K e y a n y T y p e z b w N T n L X & g t ; & l t ; a : K e y & g t ; & l t ; K e y & g t ; C o l u m n s \ A s i a n   o r   P a c i f i c   I s l a n d e r & l t ; / K e y & g t ; & l t ; / a : K e y & g t ; & l t ; a : V a l u e   i : t y p e = " T a b l e W i d g e t B a s e V i e w S t a t e " / & g t ; & l t ; / a : K e y V a l u e O f D i a g r a m O b j e c t K e y a n y T y p e z b w N T n L X & g t ; & l t ; a : K e y V a l u e O f D i a g r a m O b j e c t K e y a n y T y p e z b w N T n L X & g t ; & l t ; a : K e y & g t ; & l t ; K e y & g t ; C o l u m n s \ A l a s k a n   N a t i v e   o r   A m e r i c a n   I n d i a n & l t ; / K e y & g t ; & l t ; / a : K e y & g t ; & l t ; a : V a l u e   i : t y p e = " T a b l e W i d g e t B a s e V i e w S t a t e " / & g t ; & l t ; / a : K e y V a l u e O f D i a g r a m O b j e c t K e y a n y T y p e z b w N T n L X & g t ; & l t ; a : K e y V a l u e O f D i a g r a m O b j e c t K e y a n y T y p e z b w N T n L X & g t ; & l t ; a : K e y & g t ; & l t ; K e y & g t ; C o l u m n s \ F i l i p i n o & l t ; / K e y & g t ; & l t ; / a : K e y & g t ; & l t ; a : V a l u e   i : t y p e = " T a b l e W i d g e t B a s e V i e w S t a t e " / & g t ; & l t ; / a : K e y V a l u e O f D i a g r a m O b j e c t K e y a n y T y p e z b w N T n L X & g t ; & l t ; a : K e y V a l u e O f D i a g r a m O b j e c t K e y a n y T y p e z b w N T n L X & g t ; & l t ; a : K e y & g t ; & l t ; K e y & g t ; C o l u m n s \ N o   V a l i d   D a t a   R e p o r t e d & l t ; / K e y & g t ; & l t ; / a : K e y & g t ; & l t ; a : V a l u e   i : t y p e = " T a b l e W i d g e t B a s e V i e w S t a t e " / & g t ; & l t ; / a : K e y V a l u e O f D i a g r a m O b j e c t K e y a n y T y p e z b w N T n L X & g t ; & l t ; a : K e y V a l u e O f D i a g r a m O b j e c t K e y a n y T y p e z b w N T n L X & g t ; & l t ; a : K e y & g t ; & l t ; K e y & g t ; C o l u m n s \ N o   R e s p o n s e ;   c l i e n t   d e c l i n e d   t o   s t a t e & l t ; / K e y & g t ; & l t ; / a : K e y & g t ; & l t ; a : V a l u e   i : t y p e = " T a b l e W i d g e t B a s e V i e w S t a t e " / & g t ; & l t ; / a : K e y V a l u e O f D i a g r a m O b j e c t K e y a n y T y p e z b w N T n L X & g t ; & l t ; a : K e y V a l u e O f D i a g r a m O b j e c t K e y a n y T y p e z b w N T n L X & g t ; & l t ; a : K e y & g t ; & l t ; K e y & g t ; C o l u m n s \ A m e r a s i a n & l t ; / K e y & g t ; & l t ; / a : K e y & g t ; & l t ; a : V a l u e   i : t y p e = " T a b l e W i d g e t B a s e V i e w S t a t e " / & g t ; & l t ; / a : K e y V a l u e O f D i a g r a m O b j e c t K e y a n y T y p e z b w N T n L X & g t ; & l t ; a : K e y V a l u e O f D i a g r a m O b j e c t K e y a n y T y p e z b w N T n L X & g t ; & l t ; a : K e y & g t ; & l t ; K e y & g t ; C o l u m n s \ C h i n e s e & l t ; / K e y & g t ; & l t ; / a : K e y & g t ; & l t ; a : V a l u e   i : t y p e = " T a b l e W i d g e t B a s e V i e w S t a t e " / & g t ; & l t ; / a : K e y V a l u e O f D i a g r a m O b j e c t K e y a n y T y p e z b w N T n L X & g t ; & l t ; a : K e y V a l u e O f D i a g r a m O b j e c t K e y a n y T y p e z b w N T n L X & g t ; & l t ; a : K e y & g t ; & l t ; K e y & g t ; C o l u m n s \ C a m b o d i a n & l t ; / K e y & g t ; & l t ; / a : K e y & g t ; & l t ; a : V a l u e   i : t y p e = " T a b l e W i d g e t B a s e V i e w S t a t e " / & g t ; & l t ; / a : K e y V a l u e O f D i a g r a m O b j e c t K e y a n y T y p e z b w N T n L X & g t ; & l t ; a : K e y V a l u e O f D i a g r a m O b j e c t K e y a n y T y p e z b w N T n L X & g t ; & l t ; a : K e y & g t ; & l t ; K e y & g t ; C o l u m n s \ J a p a n e s e & l t ; / K e y & g t ; & l t ; / a : K e y & g t ; & l t ; a : V a l u e   i : t y p e = " T a b l e W i d g e t B a s e V i e w S t a t e " / & g t ; & l t ; / a : K e y V a l u e O f D i a g r a m O b j e c t K e y a n y T y p e z b w N T n L X & g t ; & l t ; a : K e y V a l u e O f D i a g r a m O b j e c t K e y a n y T y p e z b w N T n L X & g t ; & l t ; a : K e y & g t ; & l t ; K e y & g t ; C o l u m n s \ K o r e a n & l t ; / K e y & g t ; & l t ; / a : K e y & g t ; & l t ; a : V a l u e   i : t y p e = " T a b l e W i d g e t B a s e V i e w S t a t e " / & g t ; & l t ; / a : K e y V a l u e O f D i a g r a m O b j e c t K e y a n y T y p e z b w N T n L X & g t ; & l t ; a : K e y V a l u e O f D i a g r a m O b j e c t K e y a n y T y p e z b w N T n L X & g t ; & l t ; a : K e y & g t ; & l t ; K e y & g t ; C o l u m n s \ S a m o a n & l t ; / K e y & g t ; & l t ; / a : K e y & g t ; & l t ; a : V a l u e   i : t y p e = " T a b l e W i d g e t B a s e V i e w S t a t e " / & g t ; & l t ; / a : K e y V a l u e O f D i a g r a m O b j e c t K e y a n y T y p e z b w N T n L X & g t ; & l t ; a : K e y V a l u e O f D i a g r a m O b j e c t K e y a n y T y p e z b w N T n L X & g t ; & l t ; a : K e y & g t ; & l t ; K e y & g t ; C o l u m n s \ A s i a n   I n d i a n & l t ; / K e y & g t ; & l t ; / a : K e y & g t ; & l t ; a : V a l u e   i : t y p e = " T a b l e W i d g e t B a s e V i e w S t a t e " / & g t ; & l t ; / a : K e y V a l u e O f D i a g r a m O b j e c t K e y a n y T y p e z b w N T n L X & g t ; & l t ; a : K e y V a l u e O f D i a g r a m O b j e c t K e y a n y T y p e z b w N T n L X & g t ; & l t ; a : K e y & g t ; & l t ; K e y & g t ; C o l u m n s \ H a w a i i a n & l t ; / K e y & g t ; & l t ; / a : K e y & g t ; & l t ; a : V a l u e   i : t y p e = " T a b l e W i d g e t B a s e V i e w S t a t e " / & g t ; & l t ; / a : K e y V a l u e O f D i a g r a m O b j e c t K e y a n y T y p e z b w N T n L X & g t ; & l t ; a : K e y V a l u e O f D i a g r a m O b j e c t K e y a n y T y p e z b w N T n L X & g t ; & l t ; a : K e y & g t ; & l t ; K e y & g t ; C o l u m n s \ G u a m i a n & l t ; / K e y & g t ; & l t ; / a : K e y & g t ; & l t ; a : V a l u e   i : t y p e = " T a b l e W i d g e t B a s e V i e w S t a t e " / & g t ; & l t ; / a : K e y V a l u e O f D i a g r a m O b j e c t K e y a n y T y p e z b w N T n L X & g t ; & l t ; a : K e y V a l u e O f D i a g r a m O b j e c t K e y a n y T y p e z b w N T n L X & g t ; & l t ; a : K e y & g t ; & l t ; K e y & g t ; C o l u m n s \ L a o t i a n & l t ; / K e y & g t ; & l t ; / a : K e y & g t ; & l t ; a : V a l u e   i : t y p e = " T a b l e W i d g e t B a s e V i e w S t a t e " / & g t ; & l t ; / a : K e y V a l u e O f D i a g r a m O b j e c t K e y a n y T y p e z b w N T n L X & g t ; & l t ; a : K e y V a l u e O f D i a g r a m O b j e c t K e y a n y T y p e z b w N T n L X & g t ; & l t ; a : K e y & g t ; & l t ; K e y & g t ; C o l u m n s \ V i e t n a m e s e & l t ; / K e y & g t ; & l t ; / a : K e y & g t ; & l t ; a : V a l u e   i : t y p e = " T a b l e W i d g e t B a s e V i e w S t a t e " / & g t ; & l t ; / a : K e y V a l u e O f D i a g r a m O b j e c t K e y a n y T y p e z b w N T n L X & g t ; & l t ; a : K e y V a l u e O f D i a g r a m O b j e c t K e y a n y T y p e z b w N T n L X & g t ; & l t ; a : K e y & g t ; & l t ; K e y & g t ; C o l u m n s \ O t h e r & l t ; / K e y & g t ; & l t ; / a : K e y & g t ; & l t ; a : V a l u e   i : t y p e = " T a b l e W i d g e t B a s e V i e w S t a t e " / & g t ; & l t ; / a : K e y V a l u e O f D i a g r a m O b j e c t K e y a n y T y p e z b w N T n L X & g t ; & l t ; a : K e y V a l u e O f D i a g r a m O b j e c t K e y a n y T y p e z b w N T n L X & g t ; & l t ; a : K e y & g t ; & l t ; K e y & g t ; C o l u m n s \ S p o k e n   L a n g u a g e   -   E n g l i s h & l t ; / K e y & g t ; & l t ; / a : K e y & g t ; & l t ; a : V a l u e   i : t y p e = " T a b l e W i d g e t B a s e V i e w S t a t e " / & g t ; & l t ; / a : K e y V a l u e O f D i a g r a m O b j e c t K e y a n y T y p e z b w N T n L X & g t ; & l t ; a : K e y V a l u e O f D i a g r a m O b j e c t K e y a n y T y p e z b w N T n L X & g t ; & l t ; a : K e y & g t ; & l t ; K e y & g t ; C o l u m n s \ S p o k e n   L a n g u a g e   -   S p a n i s h & l t ; / K e y & g t ; & l t ; / a : K e y & g t ; & l t ; a : V a l u e   i : t y p e = " T a b l e W i d g e t B a s e V i e w S t a t e " / & g t ; & l t ; / a : K e y V a l u e O f D i a g r a m O b j e c t K e y a n y T y p e z b w N T n L X & g t ; & l t ; a : K e y V a l u e O f D i a g r a m O b j e c t K e y a n y T y p e z b w N T n L X & g t ; & l t ; a : K e y & g t ; & l t ; K e y & g t ; C o l u m n s \ S p o k e n   L a n g u a g e   -   C a n t o n e s e & l t ; / K e y & g t ; & l t ; / a : K e y & g t ; & l t ; a : V a l u e   i : t y p e = " T a b l e W i d g e t B a s e V i e w S t a t e " / & g t ; & l t ; / a : K e y V a l u e O f D i a g r a m O b j e c t K e y a n y T y p e z b w N T n L X & g t ; & l t ; a : K e y V a l u e O f D i a g r a m O b j e c t K e y a n y T y p e z b w N T n L X & g t ; & l t ; a : K e y & g t ; & l t ; K e y & g t ; C o l u m n s \ S p o k e n   L a n g u a g e   -   M a n d a r i n & l t ; / K e y & g t ; & l t ; / a : K e y & g t ; & l t ; a : V a l u e   i : t y p e = " T a b l e W i d g e t B a s e V i e w S t a t e " / & g t ; & l t ; / a : K e y V a l u e O f D i a g r a m O b j e c t K e y a n y T y p e z b w N T n L X & g t ; & l t ; a : K e y V a l u e O f D i a g r a m O b j e c t K e y a n y T y p e z b w N T n L X & g t ; & l t ; a : K e y & g t ; & l t ; K e y & g t ; C o l u m n s \ S p o k e n   L a n g u a g e   -   O t h e r   C h i n e s e   L a n g u a g e s & l t ; / K e y & g t ; & l t ; / a : K e y & g t ; & l t ; a : V a l u e   i : t y p e = " T a b l e W i d g e t B a s e V i e w S t a t e " / & g t ; & l t ; / a : K e y V a l u e O f D i a g r a m O b j e c t K e y a n y T y p e z b w N T n L X & g t ; & l t ; a : K e y V a l u e O f D i a g r a m O b j e c t K e y a n y T y p e z b w N T n L X & g t ; & l t ; a : K e y & g t ; & l t ; K e y & g t ; C o l u m n s \ S p o k e n   L a n g u a g e   -   A r m e n i a n & l t ; / K e y & g t ; & l t ; / a : K e y & g t ; & l t ; a : V a l u e   i : t y p e = " T a b l e W i d g e t B a s e V i e w S t a t e " / & g t ; & l t ; / a : K e y V a l u e O f D i a g r a m O b j e c t K e y a n y T y p e z b w N T n L X & g t ; & l t ; a : K e y V a l u e O f D i a g r a m O b j e c t K e y a n y T y p e z b w N T n L X & g t ; & l t ; a : K e y & g t ; & l t ; K e y & g t ; C o l u m n s \ S p o k e n   L a n g u a g e   -   O t h e r & l t ; / K e y & g t ; & l t ; / a : K e y & g t ; & l t ; a : V a l u e   i : t y p e = " T a b l e W i d g e t B a s e V i e w S t a t e " / & g t ; & l t ; / a : K e y V a l u e O f D i a g r a m O b j e c t K e y a n y T y p e z b w N T n L X & g t ; & l t ; a : K e y V a l u e O f D i a g r a m O b j e c t K e y a n y T y p e z b w N T n L X & g t ; & l t ; a : K e y & g t ; & l t ; K e y & g t ; C o l u m n s \ 0 - 1 7   A g e   G r o u p   ( M i n o r s )   C a s e s & l t ; / K e y & g t ; & l t ; / a : K e y & g t ; & l t ; a : V a l u e   i : t y p e = " T a b l e W i d g e t B a s e V i e w S t a t e " / & g t ; & l t ; / a : K e y V a l u e O f D i a g r a m O b j e c t K e y a n y T y p e z b w N T n L X & g t ; & l t ; a : K e y V a l u e O f D i a g r a m O b j e c t K e y a n y T y p e z b w N T n L X & g t ; & l t ; a : K e y & g t ; & l t ; K e y & g t ; C o l u m n s \ 0 - 1 7   A g e   G r o u p   ( M i n o r s )   H o u r s & l t ; / K e y & g t ; & l t ; / a : K e y & g t ; & l t ; a : V a l u e   i : t y p e = " T a b l e W i d g e t B a s e V i e w S t a t e " / & g t ; & l t ; / a : K e y V a l u e O f D i a g r a m O b j e c t K e y a n y T y p e z b w N T n L X & g t ; & l t ; a : K e y V a l u e O f D i a g r a m O b j e c t K e y a n y T y p e z b w N T n L X & g t ; & l t ; a : K e y & g t ; & l t ; K e y & g t ; C o l u m n s \ 1 8 - 4 4   A g e   G r o u p   C a s e s & l t ; / K e y & g t ; & l t ; / a : K e y & g t ; & l t ; a : V a l u e   i : t y p e = " T a b l e W i d g e t B a s e V i e w S t a t e " / & g t ; & l t ; / a : K e y V a l u e O f D i a g r a m O b j e c t K e y a n y T y p e z b w N T n L X & g t ; & l t ; a : K e y V a l u e O f D i a g r a m O b j e c t K e y a n y T y p e z b w N T n L X & g t ; & l t ; a : K e y & g t ; & l t ; K e y & g t ; C o l u m n s \ 1 8 - 4 4   A g e   G r o u p   H o u r s & l t ; / K e y & g t ; & l t ; / a : K e y & g t ; & l t ; a : V a l u e   i : t y p e = " T a b l e W i d g e t B a s e V i e w S t a t e " / & g t ; & l t ; / a : K e y V a l u e O f D i a g r a m O b j e c t K e y a n y T y p e z b w N T n L X & g t ; & l t ; a : K e y V a l u e O f D i a g r a m O b j e c t K e y a n y T y p e z b w N T n L X & g t ; & l t ; a : K e y & g t ; & l t ; K e y & g t ; C o l u m n s \ 4 5   t o   6 4   A g e   G r o u p   C a s e s & l t ; / K e y & g t ; & l t ; / a : K e y & g t ; & l t ; a : V a l u e   i : t y p e = " T a b l e W i d g e t B a s e V i e w S t a t e " / & g t ; & l t ; / a : K e y V a l u e O f D i a g r a m O b j e c t K e y a n y T y p e z b w N T n L X & g t ; & l t ; a : K e y V a l u e O f D i a g r a m O b j e c t K e y a n y T y p e z b w N T n L X & g t ; & l t ; a : K e y & g t ; & l t ; K e y & g t ; C o l u m n s \ 4 5   t o   6 4   A g e   G r o u p   H o u r s & l t ; / K e y & g t ; & l t ; / a : K e y & g t ; & l t ; a : V a l u e   i : t y p e = " T a b l e W i d g e t B a s e V i e w S t a t e " / & g t ; & l t ; / a : K e y V a l u e O f D i a g r a m O b j e c t K e y a n y T y p e z b w N T n L X & g t ; & l t ; a : K e y V a l u e O f D i a g r a m O b j e c t K e y a n y T y p e z b w N T n L X & g t ; & l t ; a : K e y & g t ; & l t ; K e y & g t ; C o l u m n s \ 6 5   t o   7 4   A g e   G r o u p   C a s e s & l t ; / K e y & g t ; & l t ; / a : K e y & g t ; & l t ; a : V a l u e   i : t y p e = " T a b l e W i d g e t B a s e V i e w S t a t e " / & g t ; & l t ; / a : K e y V a l u e O f D i a g r a m O b j e c t K e y a n y T y p e z b w N T n L X & g t ; & l t ; a : K e y V a l u e O f D i a g r a m O b j e c t K e y a n y T y p e z b w N T n L X & g t ; & l t ; a : K e y & g t ; & l t ; K e y & g t ; C o l u m n s \ 6 5   t o   7 4   A g e   G r o u p   H o u r s & l t ; / K e y & g t ; & l t ; / a : K e y & g t ; & l t ; a : V a l u e   i : t y p e = " T a b l e W i d g e t B a s e V i e w S t a t e " / & g t ; & l t ; / a : K e y V a l u e O f D i a g r a m O b j e c t K e y a n y T y p e z b w N T n L X & g t ; & l t ; a : K e y V a l u e O f D i a g r a m O b j e c t K e y a n y T y p e z b w N T n L X & g t ; & l t ; a : K e y & g t ; & l t ; K e y & g t ; C o l u m n s \ 7 5   t o   8 4   A g e   G r o u p   C a s e s & l t ; / K e y & g t ; & l t ; / a : K e y & g t ; & l t ; a : V a l u e   i : t y p e = " T a b l e W i d g e t B a s e V i e w S t a t e " / & g t ; & l t ; / a : K e y V a l u e O f D i a g r a m O b j e c t K e y a n y T y p e z b w N T n L X & g t ; & l t ; a : K e y V a l u e O f D i a g r a m O b j e c t K e y a n y T y p e z b w N T n L X & g t ; & l t ; a : K e y & g t ; & l t ; K e y & g t ; C o l u m n s \ 7 5   t o   8 4   A g e   G r o u p   H o u r s & l t ; / K e y & g t ; & l t ; / a : K e y & g t ; & l t ; a : V a l u e   i : t y p e = " T a b l e W i d g e t B a s e V i e w S t a t e " / & g t ; & l t ; / a : K e y V a l u e O f D i a g r a m O b j e c t K e y a n y T y p e z b w N T n L X & g t ; & l t ; a : K e y V a l u e O f D i a g r a m O b j e c t K e y a n y T y p e z b w N T n L X & g t ; & l t ; a : K e y & g t ; & l t ; K e y & g t ; C o l u m n s \ 8 5 +   A g e   G r o u p   C a s e s & l t ; / K e y & g t ; & l t ; / a : K e y & g t ; & l t ; a : V a l u e   i : t y p e = " T a b l e W i d g e t B a s e V i e w S t a t e " / & g t ; & l t ; / a : K e y V a l u e O f D i a g r a m O b j e c t K e y a n y T y p e z b w N T n L X & g t ; & l t ; a : K e y V a l u e O f D i a g r a m O b j e c t K e y a n y T y p e z b w N T n L X & g t ; & l t ; a : K e y & g t ; & l t ; K e y & g t ; C o l u m n s \ 8 5 +   A g e   G r o u p   H o u r s & l t ; / K e y & g t ; & l t ; / a : K e y & g t ; & l t ; a : V a l u e 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964300AE-F802-4CFB-A808-47F7913717F5}">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A70CA71-4E61-45A1-8068-2E8305E852BC}">
  <ds:schemaRefs/>
</ds:datastoreItem>
</file>

<file path=customXml/itemProps3.xml><?xml version="1.0" encoding="utf-8"?>
<ds:datastoreItem xmlns:ds="http://schemas.openxmlformats.org/officeDocument/2006/customXml" ds:itemID="{D847F86C-9033-4FA5-81FA-61AD0E88DC61}">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B68A1758-9C49-47E8-8B58-E2C410FC1072}">
  <ds:schemaRefs>
    <ds:schemaRef ds:uri="http://www.w3.org/2001/XMLSchema"/>
    <ds:schemaRef ds:uri="http://microsoft.data.visualization.Client.Excel.PState/1.0"/>
  </ds:schemaRefs>
</ds:datastoreItem>
</file>

<file path=customXml/itemProps5.xml><?xml version="1.0" encoding="utf-8"?>
<ds:datastoreItem xmlns:ds="http://schemas.openxmlformats.org/officeDocument/2006/customXml" ds:itemID="{4B5FC951-E39C-49CA-84E7-6E785A7E51E1}">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193FCA34-995A-4544-88C7-354D1AF2C560}">
  <ds:schemaRefs/>
</ds:datastoreItem>
</file>

<file path=customXml/itemProps7.xml><?xml version="1.0" encoding="utf-8"?>
<ds:datastoreItem xmlns:ds="http://schemas.openxmlformats.org/officeDocument/2006/customXml" ds:itemID="{499F63BF-D7D7-4A3A-A55F-63F6841934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188</vt:i4>
      </vt:variant>
    </vt:vector>
  </HeadingPairs>
  <TitlesOfParts>
    <vt:vector size="200" baseType="lpstr">
      <vt:lpstr>Navigation</vt:lpstr>
      <vt:lpstr>Dashboard</vt:lpstr>
      <vt:lpstr>General Data</vt:lpstr>
      <vt:lpstr>Aged, Blind, or Disabled</vt:lpstr>
      <vt:lpstr>Program Equity</vt:lpstr>
      <vt:lpstr>IHSS Services</vt:lpstr>
      <vt:lpstr>Age Gender</vt:lpstr>
      <vt:lpstr>Ethnicity Language</vt:lpstr>
      <vt:lpstr>Provider Details</vt:lpstr>
      <vt:lpstr>Appendix Terms</vt:lpstr>
      <vt:lpstr>Data</vt:lpstr>
      <vt:lpstr>IHSS Applicants</vt:lpstr>
      <vt:lpstr>A1_Aged</vt:lpstr>
      <vt:lpstr>A1_AgeGender</vt:lpstr>
      <vt:lpstr>A1_AllData</vt:lpstr>
      <vt:lpstr>A1_APPLICANTS</vt:lpstr>
      <vt:lpstr>A1_Dashboard</vt:lpstr>
      <vt:lpstr>A1_Data</vt:lpstr>
      <vt:lpstr>A1_Ethnicity</vt:lpstr>
      <vt:lpstr>A1_General</vt:lpstr>
      <vt:lpstr>A1_Navigation</vt:lpstr>
      <vt:lpstr>A1_Programs</vt:lpstr>
      <vt:lpstr>A1_Provider</vt:lpstr>
      <vt:lpstr>A1_Services</vt:lpstr>
      <vt:lpstr>A1_Terms</vt:lpstr>
      <vt:lpstr>Appen_AGE_GROUPS</vt:lpstr>
      <vt:lpstr>Appen_AgedBD</vt:lpstr>
      <vt:lpstr>Appen_AUTH_HRS_RECIP</vt:lpstr>
      <vt:lpstr>Appen_Auth_Recip</vt:lpstr>
      <vt:lpstr>Appen_BVI</vt:lpstr>
      <vt:lpstr>Appen_BVI_DELIVERY</vt:lpstr>
      <vt:lpstr>Appen_BVI_TIMESHEET</vt:lpstr>
      <vt:lpstr>Appen_COUNTY_SIZE</vt:lpstr>
      <vt:lpstr>Appen_DDG</vt:lpstr>
      <vt:lpstr>Appen_DENIED_APP</vt:lpstr>
      <vt:lpstr>Appen_Equity</vt:lpstr>
      <vt:lpstr>Appen_ETS</vt:lpstr>
      <vt:lpstr>Appen_EVV</vt:lpstr>
      <vt:lpstr>Appen_Exemptions</vt:lpstr>
      <vt:lpstr>Appen_ExitProgram</vt:lpstr>
      <vt:lpstr>Appen_FLSA</vt:lpstr>
      <vt:lpstr>Appen_LIVEIN</vt:lpstr>
      <vt:lpstr>Appen_NEW_APP</vt:lpstr>
      <vt:lpstr>Appen_NOA</vt:lpstr>
      <vt:lpstr>Appen_NSI</vt:lpstr>
      <vt:lpstr>Appen_OT</vt:lpstr>
      <vt:lpstr>Appen_PROGRAMS</vt:lpstr>
      <vt:lpstr>Appen_Prov</vt:lpstr>
      <vt:lpstr>Appen_REASSESS</vt:lpstr>
      <vt:lpstr>Appen_Recip</vt:lpstr>
      <vt:lpstr>Appen_RELATIVE_PROV</vt:lpstr>
      <vt:lpstr>Appen_SERVICES</vt:lpstr>
      <vt:lpstr>Appen_SI</vt:lpstr>
      <vt:lpstr>Appen_Violations</vt:lpstr>
      <vt:lpstr>Appen_WAGE_RATE</vt:lpstr>
      <vt:lpstr>columntitleregion1.a7.a28.11</vt:lpstr>
      <vt:lpstr>COUNTY_NAME</vt:lpstr>
      <vt:lpstr>COUNTY_SELECT</vt:lpstr>
      <vt:lpstr>COUNTY_SIZE</vt:lpstr>
      <vt:lpstr>Data_Date</vt:lpstr>
      <vt:lpstr>Home_Aged</vt:lpstr>
      <vt:lpstr>Home_AllData</vt:lpstr>
      <vt:lpstr>Home_Appendix</vt:lpstr>
      <vt:lpstr>Home_Applicants</vt:lpstr>
      <vt:lpstr>Home_Dashboard</vt:lpstr>
      <vt:lpstr>Home_Data</vt:lpstr>
      <vt:lpstr>Home_Ethn</vt:lpstr>
      <vt:lpstr>Home_GenData</vt:lpstr>
      <vt:lpstr>Home_Gender</vt:lpstr>
      <vt:lpstr>Home_Nav</vt:lpstr>
      <vt:lpstr>Home_Prog</vt:lpstr>
      <vt:lpstr>Home_Prov</vt:lpstr>
      <vt:lpstr>Home_Serv</vt:lpstr>
      <vt:lpstr>Home_Terms</vt:lpstr>
      <vt:lpstr>'IHSS Applicants'!ht</vt:lpstr>
      <vt:lpstr>ht</vt:lpstr>
      <vt:lpstr>Data!Nav_AgedBlDis</vt:lpstr>
      <vt:lpstr>'IHSS Applicants'!Nav_AgedBlDis</vt:lpstr>
      <vt:lpstr>Nav_AgedBlDis</vt:lpstr>
      <vt:lpstr>Data!Nav_AgeGen</vt:lpstr>
      <vt:lpstr>'IHSS Applicants'!Nav_AgeGen</vt:lpstr>
      <vt:lpstr>Nav_AgeGen</vt:lpstr>
      <vt:lpstr>Data!Nav_AllData</vt:lpstr>
      <vt:lpstr>'IHSS Applicants'!Nav_AllData</vt:lpstr>
      <vt:lpstr>Nav_AllData</vt:lpstr>
      <vt:lpstr>Data!Nav_Dash</vt:lpstr>
      <vt:lpstr>'IHSS Applicants'!Nav_Dash</vt:lpstr>
      <vt:lpstr>Nav_Dash</vt:lpstr>
      <vt:lpstr>Data!Nav_EthLang</vt:lpstr>
      <vt:lpstr>'IHSS Applicants'!Nav_EthLang</vt:lpstr>
      <vt:lpstr>Nav_EthLang</vt:lpstr>
      <vt:lpstr>Data!Nav_GenData</vt:lpstr>
      <vt:lpstr>'IHSS Applicants'!Nav_GenData</vt:lpstr>
      <vt:lpstr>Nav_GenData</vt:lpstr>
      <vt:lpstr>Data!Nav_Programs</vt:lpstr>
      <vt:lpstr>'IHSS Applicants'!Nav_Programs</vt:lpstr>
      <vt:lpstr>Nav_Programs</vt:lpstr>
      <vt:lpstr>Data!Nav_Prov</vt:lpstr>
      <vt:lpstr>'IHSS Applicants'!Nav_Prov</vt:lpstr>
      <vt:lpstr>Nav_Prov</vt:lpstr>
      <vt:lpstr>Data!Nav_Serv</vt:lpstr>
      <vt:lpstr>'IHSS Applicants'!Nav_Serv</vt:lpstr>
      <vt:lpstr>Nav_Serv</vt:lpstr>
      <vt:lpstr>Data!Nav_Terms</vt:lpstr>
      <vt:lpstr>'IHSS Applicants'!Nav_Terms</vt:lpstr>
      <vt:lpstr>Nav_Terms</vt:lpstr>
      <vt:lpstr>Data!NavTable</vt:lpstr>
      <vt:lpstr>'IHSS Applicants'!NavTable</vt:lpstr>
      <vt:lpstr>NavTable</vt:lpstr>
      <vt:lpstr>'Appendix Terms'!Print_Area</vt:lpstr>
      <vt:lpstr>'Provider Details'!Print_Area</vt:lpstr>
      <vt:lpstr>Term_AgedBlindDisabled</vt:lpstr>
      <vt:lpstr>Term_AgeGroup</vt:lpstr>
      <vt:lpstr>Term_AuthHoursPerRecip</vt:lpstr>
      <vt:lpstr>Term_AuthRecipHours</vt:lpstr>
      <vt:lpstr>Term_BlindVisImpaird</vt:lpstr>
      <vt:lpstr>Term_BVIDelivery</vt:lpstr>
      <vt:lpstr>Term_BVITimesheet</vt:lpstr>
      <vt:lpstr>Term_CountySize</vt:lpstr>
      <vt:lpstr>Term_DDG</vt:lpstr>
      <vt:lpstr>Term_DeniedApp</vt:lpstr>
      <vt:lpstr>Term_EnrolledETS</vt:lpstr>
      <vt:lpstr>Term_Equity</vt:lpstr>
      <vt:lpstr>Term_EVV</vt:lpstr>
      <vt:lpstr>Term_Exemptions</vt:lpstr>
      <vt:lpstr>Term_ExitProgram</vt:lpstr>
      <vt:lpstr>Term_FLSA</vt:lpstr>
      <vt:lpstr>Term_IHSSProgram</vt:lpstr>
      <vt:lpstr>Term_IHSSServices</vt:lpstr>
      <vt:lpstr>Term_LiveInProv</vt:lpstr>
      <vt:lpstr>Term_NewApp</vt:lpstr>
      <vt:lpstr>Term_NOA</vt:lpstr>
      <vt:lpstr>Term_NSI</vt:lpstr>
      <vt:lpstr>Term_Overtime</vt:lpstr>
      <vt:lpstr>Term_Provider</vt:lpstr>
      <vt:lpstr>Term_ReassessRate</vt:lpstr>
      <vt:lpstr>Term_Recip</vt:lpstr>
      <vt:lpstr>Term_RelativeProv</vt:lpstr>
      <vt:lpstr>Term_SI</vt:lpstr>
      <vt:lpstr>Term_Violations</vt:lpstr>
      <vt:lpstr>Term_WageRate</vt:lpstr>
      <vt:lpstr>'IHSS Applicants'!titleregion1.a11.k21.2</vt:lpstr>
      <vt:lpstr>titleregion1.a11.k21.2</vt:lpstr>
      <vt:lpstr>Data!titleregion1.a3.vn62.12</vt:lpstr>
      <vt:lpstr>titleregion1.a3.vn62.12</vt:lpstr>
      <vt:lpstr>titleregion1.c21.f25.6</vt:lpstr>
      <vt:lpstr>titleregion1.c22.o25.7</vt:lpstr>
      <vt:lpstr>titleregion1.d20.g26.4</vt:lpstr>
      <vt:lpstr>titleregion1.d20.g26.5</vt:lpstr>
      <vt:lpstr>titleregion1.d22.g25.3</vt:lpstr>
      <vt:lpstr>titleregion1.d23.g28.9</vt:lpstr>
      <vt:lpstr>titleregion1.d27.g30.13</vt:lpstr>
      <vt:lpstr>titleregion1.d32.i51.5</vt:lpstr>
      <vt:lpstr>titleregion1.i8.o27.8</vt:lpstr>
      <vt:lpstr>titleregion10.k225.p244.5</vt:lpstr>
      <vt:lpstr>titleregion11.d273.i292.5</vt:lpstr>
      <vt:lpstr>titleregion12.k273.p292.5</vt:lpstr>
      <vt:lpstr>titleregion13.d321.i340.5</vt:lpstr>
      <vt:lpstr>titleregion14.k321.p340.5</vt:lpstr>
      <vt:lpstr>titleregion2.a63.vn68.12</vt:lpstr>
      <vt:lpstr>titleregion2.c43.o46.7</vt:lpstr>
      <vt:lpstr>titleregion2.h21.k25.6</vt:lpstr>
      <vt:lpstr>titleregion2.i20.l26.4</vt:lpstr>
      <vt:lpstr>titleregion2.i22.l26.3</vt:lpstr>
      <vt:lpstr>titleregion2.i23.l28.9</vt:lpstr>
      <vt:lpstr>titleregion2.i27.l34.13</vt:lpstr>
      <vt:lpstr>titleregion2.i41.o72.8</vt:lpstr>
      <vt:lpstr>titleregion2.k32.p51.5</vt:lpstr>
      <vt:lpstr>titleregion3.a70.vn72.12</vt:lpstr>
      <vt:lpstr>titleregion3.c62.f88.6</vt:lpstr>
      <vt:lpstr>titleregion3.d43.g45.4</vt:lpstr>
      <vt:lpstr>titleregion3.d43.g47.3</vt:lpstr>
      <vt:lpstr>titleregion3.d79.i98.5</vt:lpstr>
      <vt:lpstr>titleregion3.g43.j47.7</vt:lpstr>
      <vt:lpstr>titleregion3.i33.o64.9</vt:lpstr>
      <vt:lpstr>titleregion3.i41.O66.13</vt:lpstr>
      <vt:lpstr>titleregion4.d71.g83.4</vt:lpstr>
      <vt:lpstr>titleregion4.d82.g83.9</vt:lpstr>
      <vt:lpstr>titleregion4.h62.k88.6</vt:lpstr>
      <vt:lpstr>titleregion4.i43.l47.3</vt:lpstr>
      <vt:lpstr>titleregion4.k79.p98.5</vt:lpstr>
      <vt:lpstr>titleregion5.c122.f136.6</vt:lpstr>
      <vt:lpstr>titleregion5.d128.i147.5</vt:lpstr>
      <vt:lpstr>titleregion5.d67.g70.3</vt:lpstr>
      <vt:lpstr>titleregion5.i71.l79.4</vt:lpstr>
      <vt:lpstr>titleregion5.i82.l85.9</vt:lpstr>
      <vt:lpstr>titleregion6.d104.g111.9</vt:lpstr>
      <vt:lpstr>titleregion6.h122.k136.6</vt:lpstr>
      <vt:lpstr>titleregion6.i67.l71.3</vt:lpstr>
      <vt:lpstr>titleregion6.k128.p147.5</vt:lpstr>
      <vt:lpstr>titleregion7.c139.f143.6</vt:lpstr>
      <vt:lpstr>titleregion7.d176.i195.5</vt:lpstr>
      <vt:lpstr>titleregion7.d91.g99.3</vt:lpstr>
      <vt:lpstr>titleregion7.d93.g96.3</vt:lpstr>
      <vt:lpstr>titleregion7.i104.l109.9</vt:lpstr>
      <vt:lpstr>titleregion8.h139.k143.6</vt:lpstr>
      <vt:lpstr>titleregion8.i91.l99.3</vt:lpstr>
      <vt:lpstr>titleregion8.i93.l97.3</vt:lpstr>
      <vt:lpstr>titleregion8.k176.p195.5</vt:lpstr>
      <vt:lpstr>titleregion9.d225.i244.5</vt:lpstr>
    </vt:vector>
  </TitlesOfParts>
  <Company>CDSS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IHSS Program Data</dc:title>
  <dc:creator>Adult Programs Division</dc:creator>
  <cp:lastModifiedBy>Adult Programs Division</cp:lastModifiedBy>
  <cp:lastPrinted>2020-08-12T15:15:35Z</cp:lastPrinted>
  <dcterms:created xsi:type="dcterms:W3CDTF">2015-05-15T19:55:41Z</dcterms:created>
  <dcterms:modified xsi:type="dcterms:W3CDTF">2023-10-03T17:58:29Z</dcterms:modified>
</cp:coreProperties>
</file>